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kmm13\Desktop\"/>
    </mc:Choice>
  </mc:AlternateContent>
  <bookViews>
    <workbookView xWindow="0" yWindow="0" windowWidth="16500" windowHeight="8145"/>
  </bookViews>
  <sheets>
    <sheet name="Funds Flow Summary" sheetId="1" r:id="rId1"/>
    <sheet name="Funds Flow - Partner Detail" sheetId="2" r:id="rId2"/>
    <sheet name="2nd Tier Funds Flow" sheetId="16" r:id="rId3"/>
    <sheet name="Partner Engagement" sheetId="3" r:id="rId4"/>
    <sheet name="Millennium Perf Network 032017" sheetId="15" state="hidden" r:id="rId5"/>
  </sheets>
  <definedNames>
    <definedName name="_xlnm._FilterDatabase" localSheetId="4" hidden="1">'Millennium Perf Network 032017'!$A$1:$AI$5000</definedName>
    <definedName name="_xlnm.Print_Area" localSheetId="2">'2nd Tier Funds Flow'!$A$1:$J$293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6" l="1"/>
  <c r="F4" i="16"/>
  <c r="F13" i="16"/>
  <c r="J100" i="2"/>
  <c r="J113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4" i="2"/>
  <c r="J115" i="2"/>
  <c r="J116" i="2"/>
  <c r="J54" i="2"/>
  <c r="H21" i="2"/>
  <c r="B153" i="2" l="1"/>
  <c r="F153" i="2" s="1"/>
  <c r="B17" i="2"/>
  <c r="D153" i="2" l="1"/>
  <c r="E153" i="2"/>
  <c r="B7" i="2"/>
  <c r="D7" i="2" s="1"/>
  <c r="B150" i="2" l="1"/>
  <c r="B113" i="2"/>
  <c r="B152" i="2"/>
  <c r="B10" i="2"/>
  <c r="D10" i="2" s="1"/>
  <c r="B6" i="2"/>
  <c r="D6" i="2" s="1"/>
  <c r="B11" i="2"/>
  <c r="E11" i="2" s="1"/>
  <c r="J11" i="2"/>
  <c r="D11" i="2" l="1"/>
  <c r="E13" i="2"/>
  <c r="F13" i="2"/>
  <c r="F11" i="2"/>
  <c r="B54" i="2"/>
  <c r="F54" i="2" s="1"/>
  <c r="D27" i="2"/>
  <c r="E27" i="2"/>
  <c r="F27" i="2"/>
  <c r="J27" i="2"/>
  <c r="J44" i="2"/>
  <c r="F44" i="2"/>
  <c r="E44" i="2"/>
  <c r="D44" i="2"/>
  <c r="J35" i="2"/>
  <c r="F35" i="2"/>
  <c r="E35" i="2"/>
  <c r="D35" i="2"/>
  <c r="A3" i="16"/>
  <c r="B39" i="2"/>
  <c r="A21" i="1"/>
  <c r="B43" i="2"/>
  <c r="B34" i="2"/>
  <c r="F21" i="2"/>
  <c r="J154" i="2"/>
  <c r="F154" i="2"/>
  <c r="E154" i="2"/>
  <c r="D154" i="2"/>
  <c r="J67" i="2"/>
  <c r="F67" i="2"/>
  <c r="E67" i="2"/>
  <c r="D67" i="2"/>
  <c r="J57" i="2"/>
  <c r="F57" i="2"/>
  <c r="E57" i="2"/>
  <c r="B8" i="2"/>
  <c r="E8" i="2" s="1"/>
  <c r="J19" i="2"/>
  <c r="F19" i="2"/>
  <c r="E19" i="2"/>
  <c r="J13" i="2"/>
  <c r="J6" i="2"/>
  <c r="F6" i="2"/>
  <c r="E6" i="2"/>
  <c r="J10" i="2"/>
  <c r="F10" i="2"/>
  <c r="E10" i="2"/>
  <c r="J53" i="2"/>
  <c r="J68" i="2"/>
  <c r="F68" i="2"/>
  <c r="E68" i="2"/>
  <c r="D68" i="2"/>
  <c r="B63" i="2"/>
  <c r="B64" i="2"/>
  <c r="J92" i="2"/>
  <c r="J88" i="2"/>
  <c r="J93" i="2"/>
  <c r="B59" i="2"/>
  <c r="B61" i="2"/>
  <c r="B124" i="2"/>
  <c r="B40" i="2"/>
  <c r="B118" i="2"/>
  <c r="B58" i="2"/>
  <c r="B30" i="2"/>
  <c r="B60" i="2"/>
  <c r="B31" i="2"/>
  <c r="D54" i="2" l="1"/>
  <c r="E54" i="2"/>
  <c r="E21" i="2"/>
  <c r="F8" i="2"/>
  <c r="D8" i="2"/>
  <c r="E53" i="2"/>
  <c r="F53" i="2"/>
  <c r="F62" i="2"/>
  <c r="J61" i="2"/>
  <c r="F61" i="2"/>
  <c r="E61" i="2"/>
  <c r="D61" i="2"/>
  <c r="J58" i="2"/>
  <c r="F58" i="2"/>
  <c r="E58" i="2"/>
  <c r="D58" i="2"/>
  <c r="J60" i="2"/>
  <c r="F60" i="2"/>
  <c r="E60" i="2"/>
  <c r="D60" i="2"/>
  <c r="J62" i="2"/>
  <c r="E62" i="2"/>
  <c r="D62" i="2"/>
  <c r="J64" i="2"/>
  <c r="F64" i="2"/>
  <c r="E64" i="2"/>
  <c r="D64" i="2"/>
  <c r="J59" i="2"/>
  <c r="F59" i="2"/>
  <c r="E59" i="2"/>
  <c r="D59" i="2"/>
  <c r="J63" i="2"/>
  <c r="F63" i="2"/>
  <c r="E63" i="2"/>
  <c r="D63" i="2"/>
  <c r="B18" i="2"/>
  <c r="E18" i="2" s="1"/>
  <c r="B65" i="2"/>
  <c r="B32" i="2"/>
  <c r="B41" i="2"/>
  <c r="B42" i="2"/>
  <c r="B33" i="2"/>
  <c r="C57" i="2"/>
  <c r="B9" i="2"/>
  <c r="F9" i="2" s="1"/>
  <c r="B14" i="2"/>
  <c r="E14" i="2" s="1"/>
  <c r="D17" i="2"/>
  <c r="J9" i="2"/>
  <c r="J18" i="2"/>
  <c r="J12" i="2"/>
  <c r="J8" i="2"/>
  <c r="J21" i="2"/>
  <c r="E12" i="2"/>
  <c r="F12" i="2"/>
  <c r="E7" i="2"/>
  <c r="F7" i="2"/>
  <c r="J7" i="2"/>
  <c r="B66" i="2"/>
  <c r="B56" i="2"/>
  <c r="B130" i="2"/>
  <c r="D130" i="2" s="1"/>
  <c r="B16" i="2"/>
  <c r="B55" i="2"/>
  <c r="B20" i="2"/>
  <c r="B117" i="2"/>
  <c r="F117" i="2" s="1"/>
  <c r="B131" i="2"/>
  <c r="D131" i="2" s="1"/>
  <c r="B120" i="2"/>
  <c r="F120" i="2" s="1"/>
  <c r="B149" i="2"/>
  <c r="J117" i="2"/>
  <c r="J131" i="2"/>
  <c r="J120" i="2"/>
  <c r="J124" i="2"/>
  <c r="F124" i="2"/>
  <c r="E124" i="2"/>
  <c r="D124" i="2"/>
  <c r="J118" i="2"/>
  <c r="F118" i="2"/>
  <c r="E118" i="2"/>
  <c r="D118" i="2"/>
  <c r="J122" i="2"/>
  <c r="J130" i="2"/>
  <c r="J134" i="2"/>
  <c r="F134" i="2"/>
  <c r="E134" i="2"/>
  <c r="D134" i="2"/>
  <c r="J127" i="2"/>
  <c r="F127" i="2"/>
  <c r="E127" i="2"/>
  <c r="B123" i="2"/>
  <c r="D123" i="2" s="1"/>
  <c r="B5" i="2"/>
  <c r="J132" i="2"/>
  <c r="F132" i="2"/>
  <c r="E132" i="2"/>
  <c r="D132" i="2"/>
  <c r="J129" i="2"/>
  <c r="F129" i="2"/>
  <c r="E129" i="2"/>
  <c r="D129" i="2"/>
  <c r="F113" i="2"/>
  <c r="E113" i="2"/>
  <c r="D113" i="2"/>
  <c r="J128" i="2"/>
  <c r="F128" i="2"/>
  <c r="E128" i="2"/>
  <c r="J126" i="2"/>
  <c r="F126" i="2"/>
  <c r="E126" i="2"/>
  <c r="D126" i="2"/>
  <c r="J133" i="2"/>
  <c r="F133" i="2"/>
  <c r="E133" i="2"/>
  <c r="D133" i="2"/>
  <c r="J119" i="2"/>
  <c r="F119" i="2"/>
  <c r="E119" i="2"/>
  <c r="D119" i="2"/>
  <c r="J135" i="2"/>
  <c r="F135" i="2"/>
  <c r="E135" i="2"/>
  <c r="D135" i="2"/>
  <c r="J123" i="2"/>
  <c r="D121" i="2"/>
  <c r="E121" i="2"/>
  <c r="F121" i="2"/>
  <c r="J121" i="2"/>
  <c r="D125" i="2"/>
  <c r="E125" i="2"/>
  <c r="F125" i="2"/>
  <c r="J125" i="2"/>
  <c r="D136" i="2"/>
  <c r="E136" i="2"/>
  <c r="F136" i="2"/>
  <c r="J136" i="2"/>
  <c r="D105" i="2"/>
  <c r="E105" i="2"/>
  <c r="F105" i="2"/>
  <c r="D107" i="2"/>
  <c r="E107" i="2"/>
  <c r="F107" i="2"/>
  <c r="D108" i="2"/>
  <c r="E108" i="2"/>
  <c r="F108" i="2"/>
  <c r="D109" i="2"/>
  <c r="E109" i="2"/>
  <c r="F109" i="2"/>
  <c r="D110" i="2"/>
  <c r="E110" i="2"/>
  <c r="F110" i="2"/>
  <c r="D111" i="2"/>
  <c r="E111" i="2"/>
  <c r="F111" i="2"/>
  <c r="D112" i="2"/>
  <c r="E112" i="2"/>
  <c r="F112" i="2"/>
  <c r="D114" i="2"/>
  <c r="E114" i="2"/>
  <c r="F114" i="2"/>
  <c r="D115" i="2"/>
  <c r="E115" i="2"/>
  <c r="F115" i="2"/>
  <c r="D116" i="2"/>
  <c r="E116" i="2"/>
  <c r="F116" i="2"/>
  <c r="D102" i="2"/>
  <c r="E102" i="2"/>
  <c r="F102" i="2"/>
  <c r="D99" i="2"/>
  <c r="E99" i="2"/>
  <c r="F99" i="2"/>
  <c r="J99" i="2"/>
  <c r="D101" i="2"/>
  <c r="E101" i="2"/>
  <c r="F101" i="2"/>
  <c r="D103" i="2"/>
  <c r="E103" i="2"/>
  <c r="F103" i="2"/>
  <c r="D97" i="2"/>
  <c r="E97" i="2"/>
  <c r="F97" i="2"/>
  <c r="J97" i="2"/>
  <c r="D100" i="2"/>
  <c r="E100" i="2"/>
  <c r="F100" i="2"/>
  <c r="D98" i="2"/>
  <c r="E98" i="2"/>
  <c r="F98" i="2"/>
  <c r="J98" i="2"/>
  <c r="F18" i="2" l="1"/>
  <c r="F14" i="2"/>
  <c r="D18" i="2"/>
  <c r="D9" i="2"/>
  <c r="E120" i="2"/>
  <c r="E130" i="2"/>
  <c r="D117" i="2"/>
  <c r="D120" i="2"/>
  <c r="F123" i="2"/>
  <c r="F131" i="2"/>
  <c r="E117" i="2"/>
  <c r="F130" i="2"/>
  <c r="E9" i="2"/>
  <c r="F17" i="2"/>
  <c r="D14" i="2"/>
  <c r="E17" i="2"/>
  <c r="E131" i="2"/>
  <c r="E123" i="2"/>
  <c r="I23" i="2"/>
  <c r="H23" i="2"/>
  <c r="C5" i="1" s="1"/>
  <c r="I29" i="2"/>
  <c r="D6" i="1" s="1"/>
  <c r="H29" i="2"/>
  <c r="C6" i="1" s="1"/>
  <c r="I38" i="2"/>
  <c r="D7" i="1" s="1"/>
  <c r="H38" i="2"/>
  <c r="C7" i="1" s="1"/>
  <c r="I47" i="2"/>
  <c r="D8" i="1" s="1"/>
  <c r="H47" i="2"/>
  <c r="C8" i="1" s="1"/>
  <c r="I52" i="2"/>
  <c r="D9" i="1" s="1"/>
  <c r="H52" i="2"/>
  <c r="C9" i="1" s="1"/>
  <c r="G9" i="1" s="1"/>
  <c r="I71" i="2"/>
  <c r="D10" i="1" s="1"/>
  <c r="H10" i="1" s="1"/>
  <c r="H71" i="2"/>
  <c r="C10" i="1" s="1"/>
  <c r="I76" i="2"/>
  <c r="D11" i="1" s="1"/>
  <c r="H11" i="1" s="1"/>
  <c r="H76" i="2"/>
  <c r="C11" i="1" s="1"/>
  <c r="G11" i="1" s="1"/>
  <c r="I81" i="2"/>
  <c r="D12" i="1" s="1"/>
  <c r="H81" i="2"/>
  <c r="C12" i="1" s="1"/>
  <c r="G12" i="1" s="1"/>
  <c r="I86" i="2"/>
  <c r="H86" i="2"/>
  <c r="C13" i="1" s="1"/>
  <c r="I96" i="2"/>
  <c r="D14" i="1" s="1"/>
  <c r="H14" i="1" s="1"/>
  <c r="H96" i="2"/>
  <c r="C14" i="1" s="1"/>
  <c r="I138" i="2"/>
  <c r="D15" i="1" s="1"/>
  <c r="H138" i="2"/>
  <c r="C15" i="1" s="1"/>
  <c r="I143" i="2"/>
  <c r="D16" i="1" s="1"/>
  <c r="H143" i="2"/>
  <c r="C16" i="1" s="1"/>
  <c r="G16" i="1" s="1"/>
  <c r="I148" i="2"/>
  <c r="D17" i="1" s="1"/>
  <c r="H17" i="1" s="1"/>
  <c r="H148" i="2"/>
  <c r="C17" i="1" s="1"/>
  <c r="I157" i="2"/>
  <c r="D18" i="1" s="1"/>
  <c r="H18" i="1" s="1"/>
  <c r="H157" i="2"/>
  <c r="C18" i="1" s="1"/>
  <c r="I162" i="2"/>
  <c r="D20" i="1" s="1"/>
  <c r="H162" i="2"/>
  <c r="C20" i="1" s="1"/>
  <c r="G20" i="1" s="1"/>
  <c r="I170" i="2"/>
  <c r="D21" i="1" s="1"/>
  <c r="H170" i="2"/>
  <c r="C21" i="1" s="1"/>
  <c r="I175" i="2"/>
  <c r="D22" i="1" s="1"/>
  <c r="H175" i="2"/>
  <c r="I180" i="2"/>
  <c r="D23" i="1" s="1"/>
  <c r="H180" i="2"/>
  <c r="D13" i="1"/>
  <c r="H13" i="1" s="1"/>
  <c r="J178" i="2"/>
  <c r="J177" i="2"/>
  <c r="J176" i="2"/>
  <c r="J173" i="2"/>
  <c r="J172" i="2"/>
  <c r="J171" i="2"/>
  <c r="J168" i="2"/>
  <c r="J167" i="2"/>
  <c r="J166" i="2"/>
  <c r="J165" i="2"/>
  <c r="J164" i="2"/>
  <c r="J163" i="2"/>
  <c r="J160" i="2"/>
  <c r="J159" i="2"/>
  <c r="J158" i="2"/>
  <c r="J155" i="2"/>
  <c r="J152" i="2"/>
  <c r="J149" i="2"/>
  <c r="J150" i="2"/>
  <c r="J151" i="2"/>
  <c r="J153" i="2"/>
  <c r="J146" i="2"/>
  <c r="J145" i="2"/>
  <c r="J144" i="2"/>
  <c r="J141" i="2"/>
  <c r="J140" i="2"/>
  <c r="J139" i="2"/>
  <c r="J94" i="2"/>
  <c r="J89" i="2"/>
  <c r="J91" i="2"/>
  <c r="J87" i="2"/>
  <c r="J90" i="2"/>
  <c r="J84" i="2"/>
  <c r="J83" i="2"/>
  <c r="J82" i="2"/>
  <c r="J79" i="2"/>
  <c r="J78" i="2"/>
  <c r="J77" i="2"/>
  <c r="J74" i="2"/>
  <c r="J73" i="2"/>
  <c r="J72" i="2"/>
  <c r="J69" i="2"/>
  <c r="J65" i="2"/>
  <c r="J66" i="2"/>
  <c r="J56" i="2"/>
  <c r="J55" i="2"/>
  <c r="J50" i="2"/>
  <c r="J49" i="2"/>
  <c r="J48" i="2"/>
  <c r="J45" i="2"/>
  <c r="J43" i="2"/>
  <c r="J40" i="2"/>
  <c r="J39" i="2"/>
  <c r="J41" i="2"/>
  <c r="J42" i="2"/>
  <c r="J36" i="2"/>
  <c r="J34" i="2"/>
  <c r="J30" i="2"/>
  <c r="J31" i="2"/>
  <c r="J32" i="2"/>
  <c r="J33" i="2"/>
  <c r="J26" i="2"/>
  <c r="J25" i="2"/>
  <c r="J24" i="2"/>
  <c r="J15" i="2"/>
  <c r="J14" i="2"/>
  <c r="J17" i="2"/>
  <c r="J16" i="2"/>
  <c r="J20" i="2"/>
  <c r="J5" i="2"/>
  <c r="F178" i="2"/>
  <c r="E178" i="2"/>
  <c r="D178" i="2"/>
  <c r="F177" i="2"/>
  <c r="E177" i="2"/>
  <c r="D177" i="2"/>
  <c r="F176" i="2"/>
  <c r="E176" i="2"/>
  <c r="D176" i="2"/>
  <c r="F173" i="2"/>
  <c r="E173" i="2"/>
  <c r="D173" i="2"/>
  <c r="F172" i="2"/>
  <c r="E172" i="2"/>
  <c r="D172" i="2"/>
  <c r="F171" i="2"/>
  <c r="E171" i="2"/>
  <c r="D171" i="2"/>
  <c r="F168" i="2"/>
  <c r="E168" i="2"/>
  <c r="D168" i="2"/>
  <c r="F167" i="2"/>
  <c r="E167" i="2"/>
  <c r="D167" i="2"/>
  <c r="F166" i="2"/>
  <c r="E166" i="2"/>
  <c r="D166" i="2"/>
  <c r="F165" i="2"/>
  <c r="E165" i="2"/>
  <c r="D165" i="2"/>
  <c r="F164" i="2"/>
  <c r="E164" i="2"/>
  <c r="D164" i="2"/>
  <c r="F163" i="2"/>
  <c r="F155" i="2"/>
  <c r="E155" i="2"/>
  <c r="D155" i="2"/>
  <c r="F152" i="2"/>
  <c r="E152" i="2"/>
  <c r="D152" i="2"/>
  <c r="F149" i="2"/>
  <c r="E149" i="2"/>
  <c r="D149" i="2"/>
  <c r="F150" i="2"/>
  <c r="E150" i="2"/>
  <c r="D150" i="2"/>
  <c r="F151" i="2"/>
  <c r="E151" i="2"/>
  <c r="D151" i="2"/>
  <c r="F146" i="2"/>
  <c r="E146" i="2"/>
  <c r="D146" i="2"/>
  <c r="F145" i="2"/>
  <c r="E145" i="2"/>
  <c r="D145" i="2"/>
  <c r="F144" i="2"/>
  <c r="E144" i="2"/>
  <c r="D144" i="2"/>
  <c r="F141" i="2"/>
  <c r="E141" i="2"/>
  <c r="D141" i="2"/>
  <c r="F140" i="2"/>
  <c r="E140" i="2"/>
  <c r="D140" i="2"/>
  <c r="F139" i="2"/>
  <c r="E139" i="2"/>
  <c r="D139" i="2"/>
  <c r="F106" i="2"/>
  <c r="E106" i="2"/>
  <c r="D106" i="2"/>
  <c r="F104" i="2"/>
  <c r="E104" i="2"/>
  <c r="D104" i="2"/>
  <c r="F84" i="2"/>
  <c r="E84" i="2"/>
  <c r="D84" i="2"/>
  <c r="F83" i="2"/>
  <c r="E83" i="2"/>
  <c r="D83" i="2"/>
  <c r="F82" i="2"/>
  <c r="E82" i="2"/>
  <c r="D82" i="2"/>
  <c r="F79" i="2"/>
  <c r="E79" i="2"/>
  <c r="D79" i="2"/>
  <c r="F78" i="2"/>
  <c r="E78" i="2"/>
  <c r="D78" i="2"/>
  <c r="F77" i="2"/>
  <c r="E77" i="2"/>
  <c r="D77" i="2"/>
  <c r="F74" i="2"/>
  <c r="E74" i="2"/>
  <c r="D74" i="2"/>
  <c r="F73" i="2"/>
  <c r="E73" i="2"/>
  <c r="D73" i="2"/>
  <c r="F72" i="2"/>
  <c r="E72" i="2"/>
  <c r="D72" i="2"/>
  <c r="F69" i="2"/>
  <c r="E69" i="2"/>
  <c r="D69" i="2"/>
  <c r="F65" i="2"/>
  <c r="E65" i="2"/>
  <c r="D65" i="2"/>
  <c r="F66" i="2"/>
  <c r="E66" i="2"/>
  <c r="D66" i="2"/>
  <c r="F56" i="2"/>
  <c r="E56" i="2"/>
  <c r="D56" i="2"/>
  <c r="F55" i="2"/>
  <c r="E55" i="2"/>
  <c r="D55" i="2"/>
  <c r="F50" i="2"/>
  <c r="E50" i="2"/>
  <c r="D50" i="2"/>
  <c r="F49" i="2"/>
  <c r="E49" i="2"/>
  <c r="D49" i="2"/>
  <c r="F48" i="2"/>
  <c r="E48" i="2"/>
  <c r="D48" i="2"/>
  <c r="F45" i="2"/>
  <c r="E45" i="2"/>
  <c r="D45" i="2"/>
  <c r="F43" i="2"/>
  <c r="E43" i="2"/>
  <c r="D43" i="2"/>
  <c r="F40" i="2"/>
  <c r="E40" i="2"/>
  <c r="D40" i="2"/>
  <c r="F39" i="2"/>
  <c r="E39" i="2"/>
  <c r="D39" i="2"/>
  <c r="F41" i="2"/>
  <c r="E41" i="2"/>
  <c r="D41" i="2"/>
  <c r="F42" i="2"/>
  <c r="E42" i="2"/>
  <c r="D42" i="2"/>
  <c r="F36" i="2"/>
  <c r="E36" i="2"/>
  <c r="D36" i="2"/>
  <c r="F34" i="2"/>
  <c r="E34" i="2"/>
  <c r="D34" i="2"/>
  <c r="F30" i="2"/>
  <c r="E30" i="2"/>
  <c r="D30" i="2"/>
  <c r="F31" i="2"/>
  <c r="E31" i="2"/>
  <c r="D31" i="2"/>
  <c r="F32" i="2"/>
  <c r="E32" i="2"/>
  <c r="D32" i="2"/>
  <c r="F33" i="2"/>
  <c r="E33" i="2"/>
  <c r="D33" i="2"/>
  <c r="F26" i="2"/>
  <c r="E26" i="2"/>
  <c r="D26" i="2"/>
  <c r="F25" i="2"/>
  <c r="E25" i="2"/>
  <c r="D25" i="2"/>
  <c r="F24" i="2"/>
  <c r="E24" i="2"/>
  <c r="D24" i="2"/>
  <c r="F15" i="2"/>
  <c r="E15" i="2"/>
  <c r="F16" i="2"/>
  <c r="E16" i="2"/>
  <c r="D16" i="2"/>
  <c r="F20" i="2"/>
  <c r="E20" i="2"/>
  <c r="D20" i="2"/>
  <c r="F5" i="2"/>
  <c r="E5" i="2"/>
  <c r="D5" i="2"/>
  <c r="V4997" i="15"/>
  <c r="A4997" i="15"/>
  <c r="AA4996" i="15"/>
  <c r="B4996" i="15"/>
  <c r="A4996" i="15"/>
  <c r="AA4995" i="15"/>
  <c r="B4995" i="15"/>
  <c r="A4995" i="15"/>
  <c r="AA2732" i="15"/>
  <c r="B2732" i="15"/>
  <c r="A2732" i="15"/>
  <c r="V4993" i="15"/>
  <c r="A4993" i="15"/>
  <c r="V4992" i="15"/>
  <c r="A4992" i="15"/>
  <c r="V4991" i="15"/>
  <c r="A4991" i="15"/>
  <c r="V4990" i="15"/>
  <c r="A4990" i="15"/>
  <c r="V4989" i="15"/>
  <c r="A4989" i="15"/>
  <c r="V4988" i="15"/>
  <c r="A4988" i="15"/>
  <c r="V4987" i="15"/>
  <c r="A4987" i="15"/>
  <c r="V4986" i="15"/>
  <c r="A4986" i="15"/>
  <c r="V4985" i="15"/>
  <c r="A4985" i="15"/>
  <c r="V4984" i="15"/>
  <c r="A4984" i="15"/>
  <c r="V4983" i="15"/>
  <c r="A4983" i="15"/>
  <c r="V4982" i="15"/>
  <c r="A4982" i="15"/>
  <c r="V4981" i="15"/>
  <c r="A4981" i="15"/>
  <c r="V4980" i="15"/>
  <c r="A4980" i="15"/>
  <c r="A4979" i="15"/>
  <c r="V4978" i="15"/>
  <c r="A4978" i="15"/>
  <c r="AA4977" i="15"/>
  <c r="B4977" i="15"/>
  <c r="A4977" i="15"/>
  <c r="B4976" i="15"/>
  <c r="A4976" i="15"/>
  <c r="AA4975" i="15"/>
  <c r="B4975" i="15"/>
  <c r="A4975" i="15"/>
  <c r="AA4974" i="15"/>
  <c r="B4974" i="15"/>
  <c r="A4974" i="15"/>
  <c r="AA4973" i="15"/>
  <c r="B4973" i="15"/>
  <c r="A4973" i="15"/>
  <c r="AA4972" i="15"/>
  <c r="B4972" i="15"/>
  <c r="A4972" i="15"/>
  <c r="AA4971" i="15"/>
  <c r="B4971" i="15"/>
  <c r="A4971" i="15"/>
  <c r="AA4970" i="15"/>
  <c r="B4970" i="15"/>
  <c r="A4970" i="15"/>
  <c r="AA4969" i="15"/>
  <c r="B4969" i="15"/>
  <c r="A4969" i="15"/>
  <c r="AA4968" i="15"/>
  <c r="B4968" i="15"/>
  <c r="A4968" i="15"/>
  <c r="AA4967" i="15"/>
  <c r="B4967" i="15"/>
  <c r="A4967" i="15"/>
  <c r="B4966" i="15"/>
  <c r="A4966" i="15"/>
  <c r="AA4965" i="15"/>
  <c r="B4965" i="15"/>
  <c r="A4965" i="15"/>
  <c r="AA128" i="15"/>
  <c r="B128" i="15"/>
  <c r="A128" i="15"/>
  <c r="Q4963" i="15"/>
  <c r="Q4962" i="15"/>
  <c r="Q4961" i="15"/>
  <c r="AA4960" i="15"/>
  <c r="B4960" i="15"/>
  <c r="A4960" i="15"/>
  <c r="B4959" i="15"/>
  <c r="A4959" i="15"/>
  <c r="AA4958" i="15"/>
  <c r="B4958" i="15"/>
  <c r="A4958" i="15"/>
  <c r="AA4957" i="15"/>
  <c r="B4957" i="15"/>
  <c r="A4957" i="15"/>
  <c r="AA4956" i="15"/>
  <c r="B4956" i="15"/>
  <c r="A4956" i="15"/>
  <c r="AA4955" i="15"/>
  <c r="B4955" i="15"/>
  <c r="A4955" i="15"/>
  <c r="AA4954" i="15"/>
  <c r="B4954" i="15"/>
  <c r="A4954" i="15"/>
  <c r="B4953" i="15"/>
  <c r="A4953" i="15"/>
  <c r="B4952" i="15"/>
  <c r="A4952" i="15"/>
  <c r="AA4951" i="15"/>
  <c r="B4951" i="15"/>
  <c r="A4951" i="15"/>
  <c r="AA4950" i="15"/>
  <c r="B4950" i="15"/>
  <c r="A4950" i="15"/>
  <c r="AA4949" i="15"/>
  <c r="B4949" i="15"/>
  <c r="A4949" i="15"/>
  <c r="AA4948" i="15"/>
  <c r="B4948" i="15"/>
  <c r="A4948" i="15"/>
  <c r="AA4947" i="15"/>
  <c r="B4947" i="15"/>
  <c r="A4947" i="15"/>
  <c r="B4946" i="15"/>
  <c r="A4946" i="15"/>
  <c r="AA4945" i="15"/>
  <c r="B4945" i="15"/>
  <c r="A4945" i="15"/>
  <c r="B4944" i="15"/>
  <c r="A4944" i="15"/>
  <c r="AA4943" i="15"/>
  <c r="B4943" i="15"/>
  <c r="A4943" i="15"/>
  <c r="AA4942" i="15"/>
  <c r="B4942" i="15"/>
  <c r="A4942" i="15"/>
  <c r="AA4941" i="15"/>
  <c r="B4941" i="15"/>
  <c r="A4941" i="15"/>
  <c r="AA4940" i="15"/>
  <c r="B4940" i="15"/>
  <c r="A4940" i="15"/>
  <c r="AA4939" i="15"/>
  <c r="B4939" i="15"/>
  <c r="A4939" i="15"/>
  <c r="B4938" i="15"/>
  <c r="A4938" i="15"/>
  <c r="AA4937" i="15"/>
  <c r="B4937" i="15"/>
  <c r="A4937" i="15"/>
  <c r="AA4936" i="15"/>
  <c r="B4936" i="15"/>
  <c r="A4936" i="15"/>
  <c r="B4935" i="15"/>
  <c r="A4935" i="15"/>
  <c r="AA4934" i="15"/>
  <c r="B4934" i="15"/>
  <c r="A4934" i="15"/>
  <c r="B4933" i="15"/>
  <c r="A4933" i="15"/>
  <c r="AA4932" i="15"/>
  <c r="B4932" i="15"/>
  <c r="A4932" i="15"/>
  <c r="AA4931" i="15"/>
  <c r="B4931" i="15"/>
  <c r="A4931" i="15"/>
  <c r="AA4930" i="15"/>
  <c r="B4930" i="15"/>
  <c r="A4930" i="15"/>
  <c r="AA4929" i="15"/>
  <c r="B4929" i="15"/>
  <c r="A4929" i="15"/>
  <c r="AA4928" i="15"/>
  <c r="B4928" i="15"/>
  <c r="A4928" i="15"/>
  <c r="B4927" i="15"/>
  <c r="A4927" i="15"/>
  <c r="B4926" i="15"/>
  <c r="A4926" i="15"/>
  <c r="AA4925" i="15"/>
  <c r="B4925" i="15"/>
  <c r="A4925" i="15"/>
  <c r="AA4924" i="15"/>
  <c r="B4924" i="15"/>
  <c r="A4924" i="15"/>
  <c r="AA4923" i="15"/>
  <c r="B4923" i="15"/>
  <c r="A4923" i="15"/>
  <c r="AA4922" i="15"/>
  <c r="B4922" i="15"/>
  <c r="A4922" i="15"/>
  <c r="AA4921" i="15"/>
  <c r="B4921" i="15"/>
  <c r="A4921" i="15"/>
  <c r="AA4920" i="15"/>
  <c r="B4920" i="15"/>
  <c r="A4920" i="15"/>
  <c r="AA4919" i="15"/>
  <c r="B4919" i="15"/>
  <c r="A4919" i="15"/>
  <c r="AA4918" i="15"/>
  <c r="B4918" i="15"/>
  <c r="A4918" i="15"/>
  <c r="B4917" i="15"/>
  <c r="A4917" i="15"/>
  <c r="AA4916" i="15"/>
  <c r="B4916" i="15"/>
  <c r="A4916" i="15"/>
  <c r="AA4915" i="15"/>
  <c r="B4915" i="15"/>
  <c r="A4915" i="15"/>
  <c r="AA4914" i="15"/>
  <c r="B4914" i="15"/>
  <c r="A4914" i="15"/>
  <c r="AA4913" i="15"/>
  <c r="B4913" i="15"/>
  <c r="A4913" i="15"/>
  <c r="AA4912" i="15"/>
  <c r="B4912" i="15"/>
  <c r="A4912" i="15"/>
  <c r="AA4911" i="15"/>
  <c r="B4911" i="15"/>
  <c r="A4911" i="15"/>
  <c r="AA4910" i="15"/>
  <c r="B4910" i="15"/>
  <c r="A4910" i="15"/>
  <c r="AA4909" i="15"/>
  <c r="B4909" i="15"/>
  <c r="A4909" i="15"/>
  <c r="AA4908" i="15"/>
  <c r="B4908" i="15"/>
  <c r="A4908" i="15"/>
  <c r="AA4907" i="15"/>
  <c r="B4907" i="15"/>
  <c r="A4907" i="15"/>
  <c r="AA4906" i="15"/>
  <c r="B4906" i="15"/>
  <c r="A4906" i="15"/>
  <c r="AA4905" i="15"/>
  <c r="B4905" i="15"/>
  <c r="A4905" i="15"/>
  <c r="AA4904" i="15"/>
  <c r="B4904" i="15"/>
  <c r="A4904" i="15"/>
  <c r="AA4903" i="15"/>
  <c r="B4903" i="15"/>
  <c r="A4903" i="15"/>
  <c r="AA4902" i="15"/>
  <c r="B4902" i="15"/>
  <c r="A4902" i="15"/>
  <c r="AA4901" i="15"/>
  <c r="B4901" i="15"/>
  <c r="A4901" i="15"/>
  <c r="AA4900" i="15"/>
  <c r="B4900" i="15"/>
  <c r="A4900" i="15"/>
  <c r="B4899" i="15"/>
  <c r="A4899" i="15"/>
  <c r="AA4898" i="15"/>
  <c r="B4898" i="15"/>
  <c r="A4898" i="15"/>
  <c r="AA4897" i="15"/>
  <c r="B4897" i="15"/>
  <c r="A4897" i="15"/>
  <c r="B4896" i="15"/>
  <c r="A4896" i="15"/>
  <c r="AA4895" i="15"/>
  <c r="B4895" i="15"/>
  <c r="A4895" i="15"/>
  <c r="AA4894" i="15"/>
  <c r="B4894" i="15"/>
  <c r="A4894" i="15"/>
  <c r="AA4893" i="15"/>
  <c r="B4893" i="15"/>
  <c r="A4893" i="15"/>
  <c r="AA4892" i="15"/>
  <c r="B4892" i="15"/>
  <c r="A4892" i="15"/>
  <c r="AA4891" i="15"/>
  <c r="B4891" i="15"/>
  <c r="A4891" i="15"/>
  <c r="V4890" i="15"/>
  <c r="A4890" i="15"/>
  <c r="V4889" i="15"/>
  <c r="A4889" i="15"/>
  <c r="AA2422" i="15"/>
  <c r="B2422" i="15"/>
  <c r="A2422" i="15"/>
  <c r="AA4887" i="15"/>
  <c r="B4887" i="15"/>
  <c r="A4887" i="15"/>
  <c r="AA4886" i="15"/>
  <c r="B4886" i="15"/>
  <c r="A4886" i="15"/>
  <c r="AA4885" i="15"/>
  <c r="B4885" i="15"/>
  <c r="A4885" i="15"/>
  <c r="V4884" i="15"/>
  <c r="A4884" i="15"/>
  <c r="V4883" i="15"/>
  <c r="A4883" i="15"/>
  <c r="AA4882" i="15"/>
  <c r="B4882" i="15"/>
  <c r="A4882" i="15"/>
  <c r="AA4881" i="15"/>
  <c r="B4881" i="15"/>
  <c r="A4881" i="15"/>
  <c r="AA4880" i="15"/>
  <c r="B4880" i="15"/>
  <c r="A4880" i="15"/>
  <c r="AA4879" i="15"/>
  <c r="B4879" i="15"/>
  <c r="A4879" i="15"/>
  <c r="V4878" i="15"/>
  <c r="A4878" i="15"/>
  <c r="V4877" i="15"/>
  <c r="A4877" i="15"/>
  <c r="AA4874" i="15"/>
  <c r="B4874" i="15"/>
  <c r="A4874" i="15"/>
  <c r="V4873" i="15"/>
  <c r="A4873" i="15"/>
  <c r="V4872" i="15"/>
  <c r="A4872" i="15"/>
  <c r="AA2310" i="15"/>
  <c r="B2310" i="15"/>
  <c r="A2310" i="15"/>
  <c r="AA1993" i="15"/>
  <c r="B1993" i="15"/>
  <c r="A1993" i="15"/>
  <c r="AA4869" i="15"/>
  <c r="B4869" i="15"/>
  <c r="A4869" i="15"/>
  <c r="AA4868" i="15"/>
  <c r="B4868" i="15"/>
  <c r="A4868" i="15"/>
  <c r="AA4867" i="15"/>
  <c r="B4867" i="15"/>
  <c r="A4867" i="15"/>
  <c r="AA4866" i="15"/>
  <c r="B4866" i="15"/>
  <c r="A4866" i="15"/>
  <c r="AA4865" i="15"/>
  <c r="B4865" i="15"/>
  <c r="A4865" i="15"/>
  <c r="V4864" i="15"/>
  <c r="A4864" i="15"/>
  <c r="Q4863" i="15"/>
  <c r="V4862" i="15"/>
  <c r="A4862" i="15"/>
  <c r="AA4861" i="15"/>
  <c r="B4861" i="15"/>
  <c r="A4861" i="15"/>
  <c r="AA4860" i="15"/>
  <c r="B4860" i="15"/>
  <c r="A4860" i="15"/>
  <c r="Q4859" i="15"/>
  <c r="V4858" i="15"/>
  <c r="A4858" i="15"/>
  <c r="V4857" i="15"/>
  <c r="A4857" i="15"/>
  <c r="AA526" i="15"/>
  <c r="B526" i="15"/>
  <c r="A526" i="15"/>
  <c r="Q4855" i="15"/>
  <c r="AA4854" i="15"/>
  <c r="B4854" i="15"/>
  <c r="A4854" i="15"/>
  <c r="AA4853" i="15"/>
  <c r="B4853" i="15"/>
  <c r="A4853" i="15"/>
  <c r="V4852" i="15"/>
  <c r="A4852" i="15"/>
  <c r="V4851" i="15"/>
  <c r="A4851" i="15"/>
  <c r="AA4848" i="15"/>
  <c r="B4848" i="15"/>
  <c r="A4848" i="15"/>
  <c r="AA4847" i="15"/>
  <c r="B4847" i="15"/>
  <c r="A4847" i="15"/>
  <c r="Q4846" i="15"/>
  <c r="V4845" i="15"/>
  <c r="A4845" i="15"/>
  <c r="AA4719" i="15"/>
  <c r="B4719" i="15"/>
  <c r="A4719" i="15"/>
  <c r="AA3274" i="15"/>
  <c r="B3274" i="15"/>
  <c r="A3274" i="15"/>
  <c r="AA4842" i="15"/>
  <c r="B4842" i="15"/>
  <c r="A4842" i="15"/>
  <c r="AA4841" i="15"/>
  <c r="B4841" i="15"/>
  <c r="A4841" i="15"/>
  <c r="AA4840" i="15"/>
  <c r="B4840" i="15"/>
  <c r="A4840" i="15"/>
  <c r="V4839" i="15"/>
  <c r="A4839" i="15"/>
  <c r="AA4838" i="15"/>
  <c r="B4838" i="15"/>
  <c r="A4838" i="15"/>
  <c r="AA4837" i="15"/>
  <c r="B4837" i="15"/>
  <c r="A4837" i="15"/>
  <c r="AA4836" i="15"/>
  <c r="B4836" i="15"/>
  <c r="A4836" i="15"/>
  <c r="AA4835" i="15"/>
  <c r="B4835" i="15"/>
  <c r="A4835" i="15"/>
  <c r="V4834" i="15"/>
  <c r="A4834" i="15"/>
  <c r="V4833" i="15"/>
  <c r="A4833" i="15"/>
  <c r="V4832" i="15"/>
  <c r="A4832" i="15"/>
  <c r="AA4831" i="15"/>
  <c r="B4831" i="15"/>
  <c r="A4831" i="15"/>
  <c r="AA4830" i="15"/>
  <c r="B4830" i="15"/>
  <c r="A4830" i="15"/>
  <c r="AA4829" i="15"/>
  <c r="B4829" i="15"/>
  <c r="A4829" i="15"/>
  <c r="V4828" i="15"/>
  <c r="A4828" i="15"/>
  <c r="V4827" i="15"/>
  <c r="A4827" i="15"/>
  <c r="Q4826" i="15"/>
  <c r="Q4825" i="15"/>
  <c r="AA4824" i="15"/>
  <c r="B4824" i="15"/>
  <c r="A4824" i="15"/>
  <c r="AA4823" i="15"/>
  <c r="B4823" i="15"/>
  <c r="A4823" i="15"/>
  <c r="AA4822" i="15"/>
  <c r="B4822" i="15"/>
  <c r="A4822" i="15"/>
  <c r="V4821" i="15"/>
  <c r="A4821" i="15"/>
  <c r="AA4818" i="15"/>
  <c r="B4818" i="15"/>
  <c r="A4818" i="15"/>
  <c r="AA4817" i="15"/>
  <c r="B4817" i="15"/>
  <c r="A4817" i="15"/>
  <c r="V4816" i="15"/>
  <c r="A4816" i="15"/>
  <c r="V4815" i="15"/>
  <c r="A4815" i="15"/>
  <c r="AA4812" i="15"/>
  <c r="B4812" i="15"/>
  <c r="A4812" i="15"/>
  <c r="AA4811" i="15"/>
  <c r="B4811" i="15"/>
  <c r="A4811" i="15"/>
  <c r="V4810" i="15"/>
  <c r="A4810" i="15"/>
  <c r="V4809" i="15"/>
  <c r="A4809" i="15"/>
  <c r="AA4806" i="15"/>
  <c r="B4806" i="15"/>
  <c r="A4806" i="15"/>
  <c r="AA4805" i="15"/>
  <c r="B4805" i="15"/>
  <c r="A4805" i="15"/>
  <c r="AA4804" i="15"/>
  <c r="B4804" i="15"/>
  <c r="A4804" i="15"/>
  <c r="V4803" i="15"/>
  <c r="A4803" i="15"/>
  <c r="AA4800" i="15"/>
  <c r="B4800" i="15"/>
  <c r="A4800" i="15"/>
  <c r="AA4799" i="15"/>
  <c r="B4799" i="15"/>
  <c r="A4799" i="15"/>
  <c r="V4798" i="15"/>
  <c r="A4798" i="15"/>
  <c r="V4797" i="15"/>
  <c r="A4797" i="15"/>
  <c r="AA403" i="15"/>
  <c r="B403" i="15"/>
  <c r="A403" i="15"/>
  <c r="AA227" i="15"/>
  <c r="B227" i="15"/>
  <c r="A227" i="15"/>
  <c r="AA4794" i="15"/>
  <c r="B4794" i="15"/>
  <c r="A4794" i="15"/>
  <c r="AA4793" i="15"/>
  <c r="B4793" i="15"/>
  <c r="A4793" i="15"/>
  <c r="AA4792" i="15"/>
  <c r="B4792" i="15"/>
  <c r="A4792" i="15"/>
  <c r="AA4791" i="15"/>
  <c r="B4791" i="15"/>
  <c r="A4791" i="15"/>
  <c r="AA4844" i="15"/>
  <c r="B4844" i="15"/>
  <c r="A4844" i="15"/>
  <c r="AA4788" i="15"/>
  <c r="B4788" i="15"/>
  <c r="A4788" i="15"/>
  <c r="Q4787" i="15"/>
  <c r="AA4786" i="15"/>
  <c r="B4786" i="15"/>
  <c r="A4786" i="15"/>
  <c r="AA4785" i="15"/>
  <c r="B4785" i="15"/>
  <c r="A4785" i="15"/>
  <c r="V4784" i="15"/>
  <c r="A4784" i="15"/>
  <c r="V4783" i="15"/>
  <c r="A4783" i="15"/>
  <c r="AA4780" i="15"/>
  <c r="B4780" i="15"/>
  <c r="A4780" i="15"/>
  <c r="AA4779" i="15"/>
  <c r="B4779" i="15"/>
  <c r="A4779" i="15"/>
  <c r="V4778" i="15"/>
  <c r="A4778" i="15"/>
  <c r="V4777" i="15"/>
  <c r="A4777" i="15"/>
  <c r="Q4776" i="15"/>
  <c r="Q4775" i="15"/>
  <c r="AA4774" i="15"/>
  <c r="B4774" i="15"/>
  <c r="A4774" i="15"/>
  <c r="AA4773" i="15"/>
  <c r="B4773" i="15"/>
  <c r="A4773" i="15"/>
  <c r="AA4772" i="15"/>
  <c r="B4772" i="15"/>
  <c r="A4772" i="15"/>
  <c r="V4771" i="15"/>
  <c r="A4771" i="15"/>
  <c r="AA4769" i="15"/>
  <c r="B4769" i="15"/>
  <c r="A4769" i="15"/>
  <c r="AA4768" i="15"/>
  <c r="B4768" i="15"/>
  <c r="A4768" i="15"/>
  <c r="AA4767" i="15"/>
  <c r="B4767" i="15"/>
  <c r="A4767" i="15"/>
  <c r="AA4764" i="15"/>
  <c r="B4764" i="15"/>
  <c r="A4764" i="15"/>
  <c r="AA4763" i="15"/>
  <c r="B4763" i="15"/>
  <c r="A4763" i="15"/>
  <c r="Q4762" i="15"/>
  <c r="AA4761" i="15"/>
  <c r="B4761" i="15"/>
  <c r="A4761" i="15"/>
  <c r="V4760" i="15"/>
  <c r="A4760" i="15"/>
  <c r="V4759" i="15"/>
  <c r="A4759" i="15"/>
  <c r="Q4758" i="15"/>
  <c r="AA4757" i="15"/>
  <c r="B4757" i="15"/>
  <c r="A4757" i="15"/>
  <c r="AA4756" i="15"/>
  <c r="B4756" i="15"/>
  <c r="A4756" i="15"/>
  <c r="B4755" i="15"/>
  <c r="A4755" i="15"/>
  <c r="V4754" i="15"/>
  <c r="A4754" i="15"/>
  <c r="V4753" i="15"/>
  <c r="A4753" i="15"/>
  <c r="Q4752" i="15"/>
  <c r="AA4751" i="15"/>
  <c r="B4751" i="15"/>
  <c r="A4751" i="15"/>
  <c r="AA4750" i="15"/>
  <c r="B4750" i="15"/>
  <c r="A4750" i="15"/>
  <c r="AA4749" i="15"/>
  <c r="B4749" i="15"/>
  <c r="A4749" i="15"/>
  <c r="V4748" i="15"/>
  <c r="A4748" i="15"/>
  <c r="V4747" i="15"/>
  <c r="A4747" i="15"/>
  <c r="AA4746" i="15"/>
  <c r="B4746" i="15"/>
  <c r="A4746" i="15"/>
  <c r="AA4745" i="15"/>
  <c r="B4745" i="15"/>
  <c r="A4745" i="15"/>
  <c r="AA4744" i="15"/>
  <c r="B4744" i="15"/>
  <c r="A4744" i="15"/>
  <c r="V4743" i="15"/>
  <c r="A4743" i="15"/>
  <c r="AA4740" i="15"/>
  <c r="B4740" i="15"/>
  <c r="A4740" i="15"/>
  <c r="B4739" i="15"/>
  <c r="A4739" i="15"/>
  <c r="V4738" i="15"/>
  <c r="A4738" i="15"/>
  <c r="V4737" i="15"/>
  <c r="A4737" i="15"/>
  <c r="V4734" i="15"/>
  <c r="A4734" i="15"/>
  <c r="AA4733" i="15"/>
  <c r="B4733" i="15"/>
  <c r="A4733" i="15"/>
  <c r="AA4732" i="15"/>
  <c r="B4732" i="15"/>
  <c r="A4732" i="15"/>
  <c r="AA4731" i="15"/>
  <c r="B4731" i="15"/>
  <c r="A4731" i="15"/>
  <c r="V4730" i="15"/>
  <c r="A4730" i="15"/>
  <c r="AA1984" i="15"/>
  <c r="B1984" i="15"/>
  <c r="A1984" i="15"/>
  <c r="Q4728" i="15"/>
  <c r="AA4727" i="15"/>
  <c r="B4727" i="15"/>
  <c r="A4727" i="15"/>
  <c r="V4726" i="15"/>
  <c r="A4726" i="15"/>
  <c r="AA4724" i="15"/>
  <c r="B4724" i="15"/>
  <c r="A4724" i="15"/>
  <c r="AA4723" i="15"/>
  <c r="B4723" i="15"/>
  <c r="A4723" i="15"/>
  <c r="AA4722" i="15"/>
  <c r="B4722" i="15"/>
  <c r="A4722" i="15"/>
  <c r="AA4721" i="15"/>
  <c r="B4721" i="15"/>
  <c r="A4721" i="15"/>
  <c r="V4720" i="15"/>
  <c r="A4720" i="15"/>
  <c r="AA2712" i="15"/>
  <c r="B2712" i="15"/>
  <c r="A2712" i="15"/>
  <c r="AA4716" i="15"/>
  <c r="B4716" i="15"/>
  <c r="A4716" i="15"/>
  <c r="AA4715" i="15"/>
  <c r="B4715" i="15"/>
  <c r="A4715" i="15"/>
  <c r="V4714" i="15"/>
  <c r="A4714" i="15"/>
  <c r="AA4713" i="15"/>
  <c r="B4713" i="15"/>
  <c r="A4713" i="15"/>
  <c r="AA4710" i="15"/>
  <c r="B4710" i="15"/>
  <c r="A4710" i="15"/>
  <c r="AA4709" i="15"/>
  <c r="B4709" i="15"/>
  <c r="A4709" i="15"/>
  <c r="V4708" i="15"/>
  <c r="A4708" i="15"/>
  <c r="V4707" i="15"/>
  <c r="A4707" i="15"/>
  <c r="Q4706" i="15"/>
  <c r="Q4705" i="15"/>
  <c r="V4704" i="15"/>
  <c r="A4704" i="15"/>
  <c r="V4703" i="15"/>
  <c r="A4703" i="15"/>
  <c r="AA4700" i="15"/>
  <c r="B4700" i="15"/>
  <c r="A4700" i="15"/>
  <c r="AA4699" i="15"/>
  <c r="B4699" i="15"/>
  <c r="A4699" i="15"/>
  <c r="B4698" i="15"/>
  <c r="A4698" i="15"/>
  <c r="B4697" i="15"/>
  <c r="A4697" i="15"/>
  <c r="AA2119" i="15"/>
  <c r="B2119" i="15"/>
  <c r="A2119" i="15"/>
  <c r="V4695" i="15"/>
  <c r="A4695" i="15"/>
  <c r="AA4694" i="15"/>
  <c r="B4694" i="15"/>
  <c r="A4694" i="15"/>
  <c r="Q4693" i="15"/>
  <c r="Q4692" i="15"/>
  <c r="Q4691" i="15"/>
  <c r="Q4690" i="15"/>
  <c r="Q4689" i="15"/>
  <c r="Q4688" i="15"/>
  <c r="Q4687" i="15"/>
  <c r="Q4686" i="15"/>
  <c r="Q4685" i="15"/>
  <c r="Q4684" i="15"/>
  <c r="Q4683" i="15"/>
  <c r="Q4682" i="15"/>
  <c r="Q4681" i="15"/>
  <c r="V4680" i="15"/>
  <c r="A4680" i="15"/>
  <c r="AA4888" i="15"/>
  <c r="B4888" i="15"/>
  <c r="AA1719" i="15"/>
  <c r="B1719" i="15"/>
  <c r="A1719" i="15"/>
  <c r="AA4677" i="15"/>
  <c r="B4677" i="15"/>
  <c r="A4677" i="15"/>
  <c r="AA2022" i="15"/>
  <c r="B2022" i="15"/>
  <c r="AA4675" i="15"/>
  <c r="B4675" i="15"/>
  <c r="A4675" i="15"/>
  <c r="AA3278" i="15"/>
  <c r="B3278" i="15"/>
  <c r="AA4673" i="15"/>
  <c r="B4673" i="15"/>
  <c r="A4673" i="15"/>
  <c r="AA2898" i="15"/>
  <c r="B2898" i="15"/>
  <c r="A2898" i="15"/>
  <c r="AA4671" i="15"/>
  <c r="B4671" i="15"/>
  <c r="A4671" i="15"/>
  <c r="AA4670" i="15"/>
  <c r="B4670" i="15"/>
  <c r="A4670" i="15"/>
  <c r="AA4669" i="15"/>
  <c r="B4669" i="15"/>
  <c r="A4669" i="15"/>
  <c r="AA4668" i="15"/>
  <c r="B4668" i="15"/>
  <c r="A4668" i="15"/>
  <c r="AA4667" i="15"/>
  <c r="B4667" i="15"/>
  <c r="A4667" i="15"/>
  <c r="AA4666" i="15"/>
  <c r="B4666" i="15"/>
  <c r="AA4665" i="15"/>
  <c r="B4665" i="15"/>
  <c r="A4665" i="15"/>
  <c r="AA2065" i="15"/>
  <c r="B2065" i="15"/>
  <c r="A2065" i="15"/>
  <c r="AA4663" i="15"/>
  <c r="B4663" i="15"/>
  <c r="A4663" i="15"/>
  <c r="AA4662" i="15"/>
  <c r="B4662" i="15"/>
  <c r="A4662" i="15"/>
  <c r="AA4661" i="15"/>
  <c r="B4661" i="15"/>
  <c r="A4661" i="15"/>
  <c r="AA1618" i="15"/>
  <c r="B1618" i="15"/>
  <c r="AA4659" i="15"/>
  <c r="B4659" i="15"/>
  <c r="AA233" i="15"/>
  <c r="B233" i="15"/>
  <c r="AA23" i="15"/>
  <c r="B23" i="15"/>
  <c r="AA3471" i="15"/>
  <c r="B3471" i="15"/>
  <c r="AA230" i="15"/>
  <c r="B230" i="15"/>
  <c r="AA4654" i="15"/>
  <c r="B4654" i="15"/>
  <c r="AA2019" i="15"/>
  <c r="B2019" i="15"/>
  <c r="AA3458" i="15"/>
  <c r="B3458" i="15"/>
  <c r="AA1291" i="15"/>
  <c r="B1291" i="15"/>
  <c r="AA231" i="15"/>
  <c r="B231" i="15"/>
  <c r="AA4648" i="15"/>
  <c r="B4648" i="15"/>
  <c r="AA4135" i="15"/>
  <c r="B4135" i="15"/>
  <c r="B4647" i="15"/>
  <c r="A4647" i="15"/>
  <c r="AA4646" i="15"/>
  <c r="B4646" i="15"/>
  <c r="A4646" i="15"/>
  <c r="AA4645" i="15"/>
  <c r="B4645" i="15"/>
  <c r="A4645" i="15"/>
  <c r="AA4644" i="15"/>
  <c r="B4644" i="15"/>
  <c r="A4644" i="15"/>
  <c r="AA4643" i="15"/>
  <c r="B4643" i="15"/>
  <c r="A4643" i="15"/>
  <c r="AA4642" i="15"/>
  <c r="B4642" i="15"/>
  <c r="A4642" i="15"/>
  <c r="AA4641" i="15"/>
  <c r="B4641" i="15"/>
  <c r="A4641" i="15"/>
  <c r="V4640" i="15"/>
  <c r="A4640" i="15"/>
  <c r="AA4639" i="15"/>
  <c r="B4639" i="15"/>
  <c r="A4639" i="15"/>
  <c r="AA4638" i="15"/>
  <c r="B4638" i="15"/>
  <c r="A4638" i="15"/>
  <c r="AA4637" i="15"/>
  <c r="B4637" i="15"/>
  <c r="A4637" i="15"/>
  <c r="AA4636" i="15"/>
  <c r="B4636" i="15"/>
  <c r="A4636" i="15"/>
  <c r="AA4635" i="15"/>
  <c r="B4635" i="15"/>
  <c r="A4635" i="15"/>
  <c r="AA4634" i="15"/>
  <c r="B4634" i="15"/>
  <c r="A4634" i="15"/>
  <c r="Q4633" i="15"/>
  <c r="Q4632" i="15"/>
  <c r="V4631" i="15"/>
  <c r="A4631" i="15"/>
  <c r="AA4630" i="15"/>
  <c r="B4630" i="15"/>
  <c r="A4630" i="15"/>
  <c r="V4629" i="15"/>
  <c r="A4629" i="15"/>
  <c r="V4628" i="15"/>
  <c r="A4628" i="15"/>
  <c r="V4627" i="15"/>
  <c r="A4627" i="15"/>
  <c r="V4626" i="15"/>
  <c r="A4626" i="15"/>
  <c r="AA4625" i="15"/>
  <c r="B4625" i="15"/>
  <c r="A4625" i="15"/>
  <c r="AA4624" i="15"/>
  <c r="B4624" i="15"/>
  <c r="A4624" i="15"/>
  <c r="AA4623" i="15"/>
  <c r="B4623" i="15"/>
  <c r="A4623" i="15"/>
  <c r="AA4622" i="15"/>
  <c r="B4622" i="15"/>
  <c r="A4622" i="15"/>
  <c r="AA4621" i="15"/>
  <c r="B4621" i="15"/>
  <c r="A4621" i="15"/>
  <c r="V4620" i="15"/>
  <c r="A4620" i="15"/>
  <c r="AA4619" i="15"/>
  <c r="B4619" i="15"/>
  <c r="A4619" i="15"/>
  <c r="V4618" i="15"/>
  <c r="A4618" i="15"/>
  <c r="V4617" i="15"/>
  <c r="A4617" i="15"/>
  <c r="V4616" i="15"/>
  <c r="A4616" i="15"/>
  <c r="AA4615" i="15"/>
  <c r="B4615" i="15"/>
  <c r="A4615" i="15"/>
  <c r="AA4614" i="15"/>
  <c r="B4614" i="15"/>
  <c r="A4614" i="15"/>
  <c r="Q4613" i="15"/>
  <c r="AA4612" i="15"/>
  <c r="B4612" i="15"/>
  <c r="A4612" i="15"/>
  <c r="Q4611" i="15"/>
  <c r="AA4610" i="15"/>
  <c r="B4610" i="15"/>
  <c r="A4610" i="15"/>
  <c r="V4609" i="15"/>
  <c r="A4609" i="15"/>
  <c r="AA4608" i="15"/>
  <c r="B4608" i="15"/>
  <c r="A4608" i="15"/>
  <c r="Q4607" i="15"/>
  <c r="V4606" i="15"/>
  <c r="A4606" i="15"/>
  <c r="AA4605" i="15"/>
  <c r="B4605" i="15"/>
  <c r="A4605" i="15"/>
  <c r="V4604" i="15"/>
  <c r="A4604" i="15"/>
  <c r="AA4603" i="15"/>
  <c r="B4603" i="15"/>
  <c r="A4603" i="15"/>
  <c r="V4602" i="15"/>
  <c r="A4602" i="15"/>
  <c r="AA4601" i="15"/>
  <c r="B4601" i="15"/>
  <c r="A4601" i="15"/>
  <c r="AA4600" i="15"/>
  <c r="B4600" i="15"/>
  <c r="A4600" i="15"/>
  <c r="AA4599" i="15"/>
  <c r="B4599" i="15"/>
  <c r="A4599" i="15"/>
  <c r="AA4598" i="15"/>
  <c r="B4598" i="15"/>
  <c r="A4598" i="15"/>
  <c r="AA4597" i="15"/>
  <c r="B4597" i="15"/>
  <c r="A4597" i="15"/>
  <c r="AA4596" i="15"/>
  <c r="B4596" i="15"/>
  <c r="A4596" i="15"/>
  <c r="AA4595" i="15"/>
  <c r="B4595" i="15"/>
  <c r="A4595" i="15"/>
  <c r="AA4594" i="15"/>
  <c r="B4594" i="15"/>
  <c r="A4594" i="15"/>
  <c r="AA4593" i="15"/>
  <c r="B4593" i="15"/>
  <c r="A4593" i="15"/>
  <c r="AA4592" i="15"/>
  <c r="B4592" i="15"/>
  <c r="A4592" i="15"/>
  <c r="AA4591" i="15"/>
  <c r="B4591" i="15"/>
  <c r="A4591" i="15"/>
  <c r="Q4590" i="15"/>
  <c r="B4589" i="15"/>
  <c r="A4589" i="15"/>
  <c r="AA4588" i="15"/>
  <c r="B4588" i="15"/>
  <c r="A4588" i="15"/>
  <c r="AA4587" i="15"/>
  <c r="B4587" i="15"/>
  <c r="A4587" i="15"/>
  <c r="AA4586" i="15"/>
  <c r="B4586" i="15"/>
  <c r="A4586" i="15"/>
  <c r="AA4585" i="15"/>
  <c r="B4585" i="15"/>
  <c r="A4585" i="15"/>
  <c r="AA4584" i="15"/>
  <c r="B4584" i="15"/>
  <c r="A4584" i="15"/>
  <c r="AA4583" i="15"/>
  <c r="B4583" i="15"/>
  <c r="A4583" i="15"/>
  <c r="AA4582" i="15"/>
  <c r="B4582" i="15"/>
  <c r="A4582" i="15"/>
  <c r="AA4581" i="15"/>
  <c r="B4581" i="15"/>
  <c r="A4581" i="15"/>
  <c r="AA4580" i="15"/>
  <c r="B4580" i="15"/>
  <c r="A4580" i="15"/>
  <c r="Q4579" i="15"/>
  <c r="AA4578" i="15"/>
  <c r="B4578" i="15"/>
  <c r="A4578" i="15"/>
  <c r="AA4577" i="15"/>
  <c r="B4577" i="15"/>
  <c r="A4577" i="15"/>
  <c r="AA4576" i="15"/>
  <c r="B4576" i="15"/>
  <c r="A4576" i="15"/>
  <c r="V4575" i="15"/>
  <c r="A4575" i="15"/>
  <c r="Q4574" i="15"/>
  <c r="AA4573" i="15"/>
  <c r="B4573" i="15"/>
  <c r="A4573" i="15"/>
  <c r="AA4572" i="15"/>
  <c r="B4572" i="15"/>
  <c r="A4572" i="15"/>
  <c r="V4571" i="15"/>
  <c r="A4571" i="15"/>
  <c r="V4570" i="15"/>
  <c r="A4570" i="15"/>
  <c r="V4569" i="15"/>
  <c r="A4569" i="15"/>
  <c r="V4568" i="15"/>
  <c r="A4568" i="15"/>
  <c r="V4567" i="15"/>
  <c r="A4567" i="15"/>
  <c r="V4566" i="15"/>
  <c r="A4566" i="15"/>
  <c r="V4565" i="15"/>
  <c r="A4565" i="15"/>
  <c r="V4564" i="15"/>
  <c r="A4564" i="15"/>
  <c r="V4563" i="15"/>
  <c r="A4563" i="15"/>
  <c r="Q4562" i="15"/>
  <c r="Q4561" i="15"/>
  <c r="Q4560" i="15"/>
  <c r="V4559" i="15"/>
  <c r="A4559" i="15"/>
  <c r="V4558" i="15"/>
  <c r="A4558" i="15"/>
  <c r="V4557" i="15"/>
  <c r="A4557" i="15"/>
  <c r="V4556" i="15"/>
  <c r="A4556" i="15"/>
  <c r="V4555" i="15"/>
  <c r="A4555" i="15"/>
  <c r="V4554" i="15"/>
  <c r="A4554" i="15"/>
  <c r="AA4553" i="15"/>
  <c r="B4553" i="15"/>
  <c r="A4553" i="15"/>
  <c r="V4552" i="15"/>
  <c r="A4552" i="15"/>
  <c r="V4551" i="15"/>
  <c r="A4551" i="15"/>
  <c r="V4550" i="15"/>
  <c r="A4550" i="15"/>
  <c r="V4549" i="15"/>
  <c r="A4549" i="15"/>
  <c r="V4548" i="15"/>
  <c r="A4548" i="15"/>
  <c r="AA4547" i="15"/>
  <c r="B4547" i="15"/>
  <c r="A4547" i="15"/>
  <c r="AA4546" i="15"/>
  <c r="B4546" i="15"/>
  <c r="A4546" i="15"/>
  <c r="Q4545" i="15"/>
  <c r="Q4544" i="15"/>
  <c r="AA4543" i="15"/>
  <c r="B4543" i="15"/>
  <c r="A4543" i="15"/>
  <c r="Q4542" i="15"/>
  <c r="Q4541" i="15"/>
  <c r="Q4540" i="15"/>
  <c r="Q4539" i="15"/>
  <c r="Q4538" i="15"/>
  <c r="Q4537" i="15"/>
  <c r="Q4536" i="15"/>
  <c r="Q4535" i="15"/>
  <c r="Q4534" i="15"/>
  <c r="Q4533" i="15"/>
  <c r="Q4532" i="15"/>
  <c r="Q4531" i="15"/>
  <c r="Q4530" i="15"/>
  <c r="Q4529" i="15"/>
  <c r="AA4528" i="15"/>
  <c r="B4528" i="15"/>
  <c r="A4528" i="15"/>
  <c r="AA4527" i="15"/>
  <c r="B4527" i="15"/>
  <c r="A4527" i="15"/>
  <c r="AA4526" i="15"/>
  <c r="B4526" i="15"/>
  <c r="A4526" i="15"/>
  <c r="V4525" i="15"/>
  <c r="A4525" i="15"/>
  <c r="AA4524" i="15"/>
  <c r="B4524" i="15"/>
  <c r="A4524" i="15"/>
  <c r="AA4523" i="15"/>
  <c r="B4523" i="15"/>
  <c r="A4523" i="15"/>
  <c r="V4522" i="15"/>
  <c r="A4522" i="15"/>
  <c r="AA4521" i="15"/>
  <c r="B4521" i="15"/>
  <c r="A4521" i="15"/>
  <c r="V4520" i="15"/>
  <c r="A4520" i="15"/>
  <c r="AA4519" i="15"/>
  <c r="B4519" i="15"/>
  <c r="A4519" i="15"/>
  <c r="AA4518" i="15"/>
  <c r="B4518" i="15"/>
  <c r="A4518" i="15"/>
  <c r="AA4517" i="15"/>
  <c r="B4517" i="15"/>
  <c r="A4517" i="15"/>
  <c r="V4516" i="15"/>
  <c r="A4516" i="15"/>
  <c r="AA4515" i="15"/>
  <c r="B4515" i="15"/>
  <c r="A4515" i="15"/>
  <c r="AA4514" i="15"/>
  <c r="B4514" i="15"/>
  <c r="A4514" i="15"/>
  <c r="AA4513" i="15"/>
  <c r="B4513" i="15"/>
  <c r="A4513" i="15"/>
  <c r="AA4512" i="15"/>
  <c r="B4512" i="15"/>
  <c r="A4512" i="15"/>
  <c r="AA4511" i="15"/>
  <c r="B4511" i="15"/>
  <c r="A4511" i="15"/>
  <c r="AA4510" i="15"/>
  <c r="B4510" i="15"/>
  <c r="A4510" i="15"/>
  <c r="V4509" i="15"/>
  <c r="A4509" i="15"/>
  <c r="V4508" i="15"/>
  <c r="A4508" i="15"/>
  <c r="V4507" i="15"/>
  <c r="A4507" i="15"/>
  <c r="V4506" i="15"/>
  <c r="A4506" i="15"/>
  <c r="V4505" i="15"/>
  <c r="A4505" i="15"/>
  <c r="AA4504" i="15"/>
  <c r="B4504" i="15"/>
  <c r="A4504" i="15"/>
  <c r="AA4503" i="15"/>
  <c r="B4503" i="15"/>
  <c r="A4503" i="15"/>
  <c r="AA4502" i="15"/>
  <c r="B4502" i="15"/>
  <c r="A4502" i="15"/>
  <c r="AA4501" i="15"/>
  <c r="B4501" i="15"/>
  <c r="A4501" i="15"/>
  <c r="V4500" i="15"/>
  <c r="A4500" i="15"/>
  <c r="Q4499" i="15"/>
  <c r="V4498" i="15"/>
  <c r="A4498" i="15"/>
  <c r="V4497" i="15"/>
  <c r="A4497" i="15"/>
  <c r="V4496" i="15"/>
  <c r="A4496" i="15"/>
  <c r="AA4488" i="15"/>
  <c r="B4488" i="15"/>
  <c r="A4488" i="15"/>
  <c r="AA4487" i="15"/>
  <c r="B4487" i="15"/>
  <c r="A4487" i="15"/>
  <c r="AA4486" i="15"/>
  <c r="B4486" i="15"/>
  <c r="A4486" i="15"/>
  <c r="AA4485" i="15"/>
  <c r="B4485" i="15"/>
  <c r="A4485" i="15"/>
  <c r="AA4484" i="15"/>
  <c r="B4484" i="15"/>
  <c r="A4484" i="15"/>
  <c r="AA4483" i="15"/>
  <c r="B4483" i="15"/>
  <c r="A4483" i="15"/>
  <c r="AA4482" i="15"/>
  <c r="B4482" i="15"/>
  <c r="A4482" i="15"/>
  <c r="AA4481" i="15"/>
  <c r="B4481" i="15"/>
  <c r="A4481" i="15"/>
  <c r="AA4480" i="15"/>
  <c r="B4480" i="15"/>
  <c r="A4480" i="15"/>
  <c r="AA4479" i="15"/>
  <c r="B4479" i="15"/>
  <c r="A4479" i="15"/>
  <c r="AA4478" i="15"/>
  <c r="B4478" i="15"/>
  <c r="A4478" i="15"/>
  <c r="AA4477" i="15"/>
  <c r="B4477" i="15"/>
  <c r="A4477" i="15"/>
  <c r="AA4476" i="15"/>
  <c r="B4476" i="15"/>
  <c r="A4476" i="15"/>
  <c r="AA4475" i="15"/>
  <c r="B4475" i="15"/>
  <c r="A4475" i="15"/>
  <c r="AA4474" i="15"/>
  <c r="B4474" i="15"/>
  <c r="A4474" i="15"/>
  <c r="AA4473" i="15"/>
  <c r="B4473" i="15"/>
  <c r="A4473" i="15"/>
  <c r="AA4472" i="15"/>
  <c r="B4472" i="15"/>
  <c r="A4472" i="15"/>
  <c r="AA4471" i="15"/>
  <c r="B4471" i="15"/>
  <c r="A4471" i="15"/>
  <c r="AA4470" i="15"/>
  <c r="B4470" i="15"/>
  <c r="A4470" i="15"/>
  <c r="AA4469" i="15"/>
  <c r="B4469" i="15"/>
  <c r="A4469" i="15"/>
  <c r="AA4468" i="15"/>
  <c r="B4468" i="15"/>
  <c r="A4468" i="15"/>
  <c r="Q4467" i="15"/>
  <c r="Q4466" i="15"/>
  <c r="Q4465" i="15"/>
  <c r="V4464" i="15"/>
  <c r="A4464" i="15"/>
  <c r="AA3001" i="15"/>
  <c r="B3001" i="15"/>
  <c r="A3001" i="15"/>
  <c r="AA4462" i="15"/>
  <c r="B4462" i="15"/>
  <c r="A4462" i="15"/>
  <c r="AA4461" i="15"/>
  <c r="B4461" i="15"/>
  <c r="A4461" i="15"/>
  <c r="AA4460" i="15"/>
  <c r="B4460" i="15"/>
  <c r="A4460" i="15"/>
  <c r="AA4459" i="15"/>
  <c r="B4459" i="15"/>
  <c r="A4459" i="15"/>
  <c r="AA4458" i="15"/>
  <c r="B4458" i="15"/>
  <c r="A4458" i="15"/>
  <c r="V4457" i="15"/>
  <c r="A4457" i="15"/>
  <c r="AA4456" i="15"/>
  <c r="B4456" i="15"/>
  <c r="A4456" i="15"/>
  <c r="V4455" i="15"/>
  <c r="A4455" i="15"/>
  <c r="AA4678" i="15"/>
  <c r="B4678" i="15"/>
  <c r="A4678" i="15"/>
  <c r="AA4453" i="15"/>
  <c r="B4453" i="15"/>
  <c r="A4453" i="15"/>
  <c r="AA4452" i="15"/>
  <c r="B4452" i="15"/>
  <c r="A4452" i="15"/>
  <c r="AA4451" i="15"/>
  <c r="B4451" i="15"/>
  <c r="A4451" i="15"/>
  <c r="AA4450" i="15"/>
  <c r="B4450" i="15"/>
  <c r="A4450" i="15"/>
  <c r="AA4449" i="15"/>
  <c r="B4449" i="15"/>
  <c r="A4449" i="15"/>
  <c r="AA4448" i="15"/>
  <c r="B4448" i="15"/>
  <c r="A4448" i="15"/>
  <c r="AA4447" i="15"/>
  <c r="B4447" i="15"/>
  <c r="A4447" i="15"/>
  <c r="AA4446" i="15"/>
  <c r="B4446" i="15"/>
  <c r="A4446" i="15"/>
  <c r="AA4445" i="15"/>
  <c r="B4445" i="15"/>
  <c r="A4445" i="15"/>
  <c r="V4444" i="15"/>
  <c r="A4444" i="15"/>
  <c r="V4443" i="15"/>
  <c r="A4443" i="15"/>
  <c r="AA4442" i="15"/>
  <c r="B4442" i="15"/>
  <c r="A4442" i="15"/>
  <c r="V4441" i="15"/>
  <c r="A4441" i="15"/>
  <c r="V4440" i="15"/>
  <c r="A4440" i="15"/>
  <c r="AA4439" i="15"/>
  <c r="B4439" i="15"/>
  <c r="A4439" i="15"/>
  <c r="V4438" i="15"/>
  <c r="A4438" i="15"/>
  <c r="Q4437" i="15"/>
  <c r="Q4436" i="15"/>
  <c r="Q4435" i="15"/>
  <c r="Q4434" i="15"/>
  <c r="Q4433" i="15"/>
  <c r="Q4432" i="15"/>
  <c r="Q4431" i="15"/>
  <c r="Q4430" i="15"/>
  <c r="Q4429" i="15"/>
  <c r="Q4428" i="15"/>
  <c r="Q4427" i="15"/>
  <c r="Q4426" i="15"/>
  <c r="Q4425" i="15"/>
  <c r="Q4424" i="15"/>
  <c r="Q4423" i="15"/>
  <c r="Q4422" i="15"/>
  <c r="Q4421" i="15"/>
  <c r="Q4420" i="15"/>
  <c r="Q4419" i="15"/>
  <c r="Q4418" i="15"/>
  <c r="Q4417" i="15"/>
  <c r="Q4416" i="15"/>
  <c r="Q4415" i="15"/>
  <c r="Q4414" i="15"/>
  <c r="V4413" i="15"/>
  <c r="A4413" i="15"/>
  <c r="AA4412" i="15"/>
  <c r="B4412" i="15"/>
  <c r="A4412" i="15"/>
  <c r="AA4411" i="15"/>
  <c r="B4411" i="15"/>
  <c r="A4411" i="15"/>
  <c r="AA4410" i="15"/>
  <c r="B4410" i="15"/>
  <c r="A4410" i="15"/>
  <c r="AA4409" i="15"/>
  <c r="B4409" i="15"/>
  <c r="A4409" i="15"/>
  <c r="AA4408" i="15"/>
  <c r="B4408" i="15"/>
  <c r="A4408" i="15"/>
  <c r="AA4407" i="15"/>
  <c r="B4407" i="15"/>
  <c r="A4407" i="15"/>
  <c r="AA4406" i="15"/>
  <c r="B4406" i="15"/>
  <c r="A4406" i="15"/>
  <c r="AA4405" i="15"/>
  <c r="B4405" i="15"/>
  <c r="A4405" i="15"/>
  <c r="AA4404" i="15"/>
  <c r="B4404" i="15"/>
  <c r="A4404" i="15"/>
  <c r="AA4403" i="15"/>
  <c r="B4403" i="15"/>
  <c r="A4403" i="15"/>
  <c r="AA4402" i="15"/>
  <c r="B4402" i="15"/>
  <c r="A4402" i="15"/>
  <c r="AA4401" i="15"/>
  <c r="B4401" i="15"/>
  <c r="A4401" i="15"/>
  <c r="AA4400" i="15"/>
  <c r="B4400" i="15"/>
  <c r="A4400" i="15"/>
  <c r="AA4399" i="15"/>
  <c r="B4399" i="15"/>
  <c r="A4399" i="15"/>
  <c r="AA4398" i="15"/>
  <c r="B4398" i="15"/>
  <c r="A4398" i="15"/>
  <c r="AA4397" i="15"/>
  <c r="B4397" i="15"/>
  <c r="A4397" i="15"/>
  <c r="AA4396" i="15"/>
  <c r="B4396" i="15"/>
  <c r="A4396" i="15"/>
  <c r="AA4395" i="15"/>
  <c r="B4395" i="15"/>
  <c r="A4395" i="15"/>
  <c r="V4394" i="15"/>
  <c r="A4394" i="15"/>
  <c r="AA4393" i="15"/>
  <c r="B4393" i="15"/>
  <c r="A4393" i="15"/>
  <c r="AA4392" i="15"/>
  <c r="B4392" i="15"/>
  <c r="A4392" i="15"/>
  <c r="Q4391" i="15"/>
  <c r="AA4390" i="15"/>
  <c r="B4390" i="15"/>
  <c r="A4390" i="15"/>
  <c r="AA4389" i="15"/>
  <c r="B4389" i="15"/>
  <c r="A4389" i="15"/>
  <c r="AA4388" i="15"/>
  <c r="B4388" i="15"/>
  <c r="A4388" i="15"/>
  <c r="AA4387" i="15"/>
  <c r="B4387" i="15"/>
  <c r="A4387" i="15"/>
  <c r="AA4386" i="15"/>
  <c r="B4386" i="15"/>
  <c r="A4386" i="15"/>
  <c r="AA4385" i="15"/>
  <c r="B4385" i="15"/>
  <c r="A4385" i="15"/>
  <c r="AA4384" i="15"/>
  <c r="B4384" i="15"/>
  <c r="A4384" i="15"/>
  <c r="AA4383" i="15"/>
  <c r="B4383" i="15"/>
  <c r="A4383" i="15"/>
  <c r="AA4382" i="15"/>
  <c r="B4382" i="15"/>
  <c r="A4382" i="15"/>
  <c r="AA4381" i="15"/>
  <c r="B4381" i="15"/>
  <c r="A4381" i="15"/>
  <c r="Q4380" i="15"/>
  <c r="AA4379" i="15"/>
  <c r="B4379" i="15"/>
  <c r="A4379" i="15"/>
  <c r="AA4378" i="15"/>
  <c r="B4378" i="15"/>
  <c r="A4378" i="15"/>
  <c r="AA4377" i="15"/>
  <c r="B4377" i="15"/>
  <c r="A4377" i="15"/>
  <c r="AA4376" i="15"/>
  <c r="B4376" i="15"/>
  <c r="A4376" i="15"/>
  <c r="AA4375" i="15"/>
  <c r="B4375" i="15"/>
  <c r="A4375" i="15"/>
  <c r="AA4374" i="15"/>
  <c r="B4374" i="15"/>
  <c r="A4374" i="15"/>
  <c r="AA4373" i="15"/>
  <c r="B4373" i="15"/>
  <c r="A4373" i="15"/>
  <c r="AA4372" i="15"/>
  <c r="B4372" i="15"/>
  <c r="A4372" i="15"/>
  <c r="AA4371" i="15"/>
  <c r="B4371" i="15"/>
  <c r="A4371" i="15"/>
  <c r="AA4370" i="15"/>
  <c r="B4370" i="15"/>
  <c r="A4370" i="15"/>
  <c r="AA4369" i="15"/>
  <c r="B4369" i="15"/>
  <c r="A4369" i="15"/>
  <c r="AA4368" i="15"/>
  <c r="B4368" i="15"/>
  <c r="A4368" i="15"/>
  <c r="AA4367" i="15"/>
  <c r="B4367" i="15"/>
  <c r="A4367" i="15"/>
  <c r="Q4366" i="15"/>
  <c r="Q4365" i="15"/>
  <c r="AA4364" i="15"/>
  <c r="B4364" i="15"/>
  <c r="A4364" i="15"/>
  <c r="V4363" i="15"/>
  <c r="A4363" i="15"/>
  <c r="V4362" i="15"/>
  <c r="A4362" i="15"/>
  <c r="AA4361" i="15"/>
  <c r="B4361" i="15"/>
  <c r="A4361" i="15"/>
  <c r="V4360" i="15"/>
  <c r="A4360" i="15"/>
  <c r="V4359" i="15"/>
  <c r="A4359" i="15"/>
  <c r="V4358" i="15"/>
  <c r="A4358" i="15"/>
  <c r="V4357" i="15"/>
  <c r="A4357" i="15"/>
  <c r="V4356" i="15"/>
  <c r="A4356" i="15"/>
  <c r="V4355" i="15"/>
  <c r="A4355" i="15"/>
  <c r="V4354" i="15"/>
  <c r="A4354" i="15"/>
  <c r="V4353" i="15"/>
  <c r="A4353" i="15"/>
  <c r="V4352" i="15"/>
  <c r="A4352" i="15"/>
  <c r="V4351" i="15"/>
  <c r="A4351" i="15"/>
  <c r="V4350" i="15"/>
  <c r="A4350" i="15"/>
  <c r="V4349" i="15"/>
  <c r="A4349" i="15"/>
  <c r="V4348" i="15"/>
  <c r="A4348" i="15"/>
  <c r="V4347" i="15"/>
  <c r="A4347" i="15"/>
  <c r="V4346" i="15"/>
  <c r="A4346" i="15"/>
  <c r="V4345" i="15"/>
  <c r="A4345" i="15"/>
  <c r="AA4344" i="15"/>
  <c r="B4344" i="15"/>
  <c r="A4344" i="15"/>
  <c r="V4343" i="15"/>
  <c r="A4343" i="15"/>
  <c r="AA4342" i="15"/>
  <c r="B4342" i="15"/>
  <c r="A4342" i="15"/>
  <c r="AA4341" i="15"/>
  <c r="B4341" i="15"/>
  <c r="A4341" i="15"/>
  <c r="V4340" i="15"/>
  <c r="A4340" i="15"/>
  <c r="V4339" i="15"/>
  <c r="A4339" i="15"/>
  <c r="AA4338" i="15"/>
  <c r="B4338" i="15"/>
  <c r="A4338" i="15"/>
  <c r="V4337" i="15"/>
  <c r="A4337" i="15"/>
  <c r="V4336" i="15"/>
  <c r="A4336" i="15"/>
  <c r="Q4335" i="15"/>
  <c r="V4334" i="15"/>
  <c r="A4334" i="15"/>
  <c r="AA4333" i="15"/>
  <c r="B4333" i="15"/>
  <c r="A4333" i="15"/>
  <c r="V4332" i="15"/>
  <c r="A4332" i="15"/>
  <c r="AA4331" i="15"/>
  <c r="B4331" i="15"/>
  <c r="A4331" i="15"/>
  <c r="AA4330" i="15"/>
  <c r="B4330" i="15"/>
  <c r="A4330" i="15"/>
  <c r="V4329" i="15"/>
  <c r="A4329" i="15"/>
  <c r="V4328" i="15"/>
  <c r="A4328" i="15"/>
  <c r="V4327" i="15"/>
  <c r="A4327" i="15"/>
  <c r="V4326" i="15"/>
  <c r="A4326" i="15"/>
  <c r="V4325" i="15"/>
  <c r="A4325" i="15"/>
  <c r="V4324" i="15"/>
  <c r="A4324" i="15"/>
  <c r="AA4323" i="15"/>
  <c r="B4323" i="15"/>
  <c r="A4323" i="15"/>
  <c r="V4322" i="15"/>
  <c r="A4322" i="15"/>
  <c r="V4321" i="15"/>
  <c r="A4321" i="15"/>
  <c r="V4320" i="15"/>
  <c r="A4320" i="15"/>
  <c r="V4319" i="15"/>
  <c r="A4319" i="15"/>
  <c r="V4318" i="15"/>
  <c r="A4318" i="15"/>
  <c r="AA4317" i="15"/>
  <c r="B4317" i="15"/>
  <c r="A4317" i="15"/>
  <c r="V4316" i="15"/>
  <c r="A4316" i="15"/>
  <c r="V4315" i="15"/>
  <c r="A4315" i="15"/>
  <c r="V4314" i="15"/>
  <c r="A4314" i="15"/>
  <c r="V4313" i="15"/>
  <c r="A4313" i="15"/>
  <c r="V4312" i="15"/>
  <c r="A4312" i="15"/>
  <c r="AA4311" i="15"/>
  <c r="B4311" i="15"/>
  <c r="A4311" i="15"/>
  <c r="V4310" i="15"/>
  <c r="A4310" i="15"/>
  <c r="V4309" i="15"/>
  <c r="A4309" i="15"/>
  <c r="V4308" i="15"/>
  <c r="A4308" i="15"/>
  <c r="V4307" i="15"/>
  <c r="A4307" i="15"/>
  <c r="Q4306" i="15"/>
  <c r="AA4305" i="15"/>
  <c r="B4305" i="15"/>
  <c r="A4305" i="15"/>
  <c r="Q4304" i="15"/>
  <c r="Q4303" i="15"/>
  <c r="Q4302" i="15"/>
  <c r="Q4301" i="15"/>
  <c r="Q4300" i="15"/>
  <c r="AA4299" i="15"/>
  <c r="B4299" i="15"/>
  <c r="A4299" i="15"/>
  <c r="AA4298" i="15"/>
  <c r="B4298" i="15"/>
  <c r="A4298" i="15"/>
  <c r="AA4297" i="15"/>
  <c r="B4297" i="15"/>
  <c r="A4297" i="15"/>
  <c r="AA4296" i="15"/>
  <c r="B4296" i="15"/>
  <c r="A4296" i="15"/>
  <c r="Q4295" i="15"/>
  <c r="AA4294" i="15"/>
  <c r="B4294" i="15"/>
  <c r="A4294" i="15"/>
  <c r="Q4293" i="15"/>
  <c r="AA4292" i="15"/>
  <c r="B4292" i="15"/>
  <c r="A4292" i="15"/>
  <c r="AA4291" i="15"/>
  <c r="B4291" i="15"/>
  <c r="A4291" i="15"/>
  <c r="AA4290" i="15"/>
  <c r="B4290" i="15"/>
  <c r="A4290" i="15"/>
  <c r="AA4289" i="15"/>
  <c r="B4289" i="15"/>
  <c r="A4289" i="15"/>
  <c r="AA4288" i="15"/>
  <c r="B4288" i="15"/>
  <c r="A4288" i="15"/>
  <c r="AA4287" i="15"/>
  <c r="B4287" i="15"/>
  <c r="A4287" i="15"/>
  <c r="AA4286" i="15"/>
  <c r="B4286" i="15"/>
  <c r="A4286" i="15"/>
  <c r="AA4285" i="15"/>
  <c r="B4285" i="15"/>
  <c r="A4285" i="15"/>
  <c r="AA4284" i="15"/>
  <c r="B4284" i="15"/>
  <c r="A4284" i="15"/>
  <c r="AA4283" i="15"/>
  <c r="B4283" i="15"/>
  <c r="A4283" i="15"/>
  <c r="AA4282" i="15"/>
  <c r="B4282" i="15"/>
  <c r="A4282" i="15"/>
  <c r="AA4281" i="15"/>
  <c r="B4281" i="15"/>
  <c r="A4281" i="15"/>
  <c r="AA4280" i="15"/>
  <c r="B4280" i="15"/>
  <c r="A4280" i="15"/>
  <c r="V4279" i="15"/>
  <c r="A4279" i="15"/>
  <c r="AA4278" i="15"/>
  <c r="B4278" i="15"/>
  <c r="A4278" i="15"/>
  <c r="V4277" i="15"/>
  <c r="A4277" i="15"/>
  <c r="AA4276" i="15"/>
  <c r="B4276" i="15"/>
  <c r="A4276" i="15"/>
  <c r="V4275" i="15"/>
  <c r="A4275" i="15"/>
  <c r="AA4274" i="15"/>
  <c r="B4274" i="15"/>
  <c r="A4274" i="15"/>
  <c r="V4273" i="15"/>
  <c r="A4273" i="15"/>
  <c r="V4272" i="15"/>
  <c r="A4272" i="15"/>
  <c r="V4271" i="15"/>
  <c r="A4271" i="15"/>
  <c r="V4270" i="15"/>
  <c r="A4270" i="15"/>
  <c r="V4269" i="15"/>
  <c r="A4269" i="15"/>
  <c r="V4268" i="15"/>
  <c r="A4268" i="15"/>
  <c r="V4267" i="15"/>
  <c r="A4267" i="15"/>
  <c r="AA4266" i="15"/>
  <c r="B4266" i="15"/>
  <c r="A4266" i="15"/>
  <c r="AA4265" i="15"/>
  <c r="B4265" i="15"/>
  <c r="A4265" i="15"/>
  <c r="AA4264" i="15"/>
  <c r="B4264" i="15"/>
  <c r="A4264" i="15"/>
  <c r="AA4263" i="15"/>
  <c r="B4263" i="15"/>
  <c r="A4263" i="15"/>
  <c r="AA4262" i="15"/>
  <c r="B4262" i="15"/>
  <c r="A4262" i="15"/>
  <c r="AA4261" i="15"/>
  <c r="B4261" i="15"/>
  <c r="A4261" i="15"/>
  <c r="AA4260" i="15"/>
  <c r="B4260" i="15"/>
  <c r="A4260" i="15"/>
  <c r="AA4259" i="15"/>
  <c r="B4259" i="15"/>
  <c r="A4259" i="15"/>
  <c r="AA4258" i="15"/>
  <c r="B4258" i="15"/>
  <c r="A4258" i="15"/>
  <c r="AA4257" i="15"/>
  <c r="B4257" i="15"/>
  <c r="A4257" i="15"/>
  <c r="AA4256" i="15"/>
  <c r="B4256" i="15"/>
  <c r="A4256" i="15"/>
  <c r="AA4255" i="15"/>
  <c r="B4255" i="15"/>
  <c r="A4255" i="15"/>
  <c r="AA4254" i="15"/>
  <c r="B4254" i="15"/>
  <c r="A4254" i="15"/>
  <c r="AA4253" i="15"/>
  <c r="B4253" i="15"/>
  <c r="A4253" i="15"/>
  <c r="AA4252" i="15"/>
  <c r="B4252" i="15"/>
  <c r="A4252" i="15"/>
  <c r="V4251" i="15"/>
  <c r="A4251" i="15"/>
  <c r="V4250" i="15"/>
  <c r="A4250" i="15"/>
  <c r="AA4249" i="15"/>
  <c r="B4249" i="15"/>
  <c r="A4249" i="15"/>
  <c r="V4248" i="15"/>
  <c r="A4248" i="15"/>
  <c r="AA4247" i="15"/>
  <c r="B4247" i="15"/>
  <c r="A4247" i="15"/>
  <c r="V4246" i="15"/>
  <c r="A4246" i="15"/>
  <c r="AA4245" i="15"/>
  <c r="B4245" i="15"/>
  <c r="A4245" i="15"/>
  <c r="AA4244" i="15"/>
  <c r="B4244" i="15"/>
  <c r="A4244" i="15"/>
  <c r="AA4243" i="15"/>
  <c r="B4243" i="15"/>
  <c r="A4243" i="15"/>
  <c r="AA4242" i="15"/>
  <c r="B4242" i="15"/>
  <c r="A4242" i="15"/>
  <c r="AA4241" i="15"/>
  <c r="B4241" i="15"/>
  <c r="A4241" i="15"/>
  <c r="AA4240" i="15"/>
  <c r="B4240" i="15"/>
  <c r="A4240" i="15"/>
  <c r="AA4239" i="15"/>
  <c r="B4239" i="15"/>
  <c r="A4239" i="15"/>
  <c r="AA4238" i="15"/>
  <c r="B4238" i="15"/>
  <c r="A4238" i="15"/>
  <c r="Q4237" i="15"/>
  <c r="AA4236" i="15"/>
  <c r="B4236" i="15"/>
  <c r="A4236" i="15"/>
  <c r="AA4235" i="15"/>
  <c r="B4235" i="15"/>
  <c r="A4235" i="15"/>
  <c r="AA4234" i="15"/>
  <c r="B4234" i="15"/>
  <c r="A4234" i="15"/>
  <c r="AA4233" i="15"/>
  <c r="B4233" i="15"/>
  <c r="A4233" i="15"/>
  <c r="AA4232" i="15"/>
  <c r="B4232" i="15"/>
  <c r="A4232" i="15"/>
  <c r="AA4231" i="15"/>
  <c r="B4231" i="15"/>
  <c r="A4231" i="15"/>
  <c r="AA4230" i="15"/>
  <c r="B4230" i="15"/>
  <c r="A4230" i="15"/>
  <c r="AA4229" i="15"/>
  <c r="B4229" i="15"/>
  <c r="A4229" i="15"/>
  <c r="AA4228" i="15"/>
  <c r="B4228" i="15"/>
  <c r="A4228" i="15"/>
  <c r="AA4227" i="15"/>
  <c r="B4227" i="15"/>
  <c r="A4227" i="15"/>
  <c r="AA4226" i="15"/>
  <c r="B4226" i="15"/>
  <c r="A4226" i="15"/>
  <c r="AA4225" i="15"/>
  <c r="B4225" i="15"/>
  <c r="A4225" i="15"/>
  <c r="AA4224" i="15"/>
  <c r="B4224" i="15"/>
  <c r="A4224" i="15"/>
  <c r="AA4223" i="15"/>
  <c r="B4223" i="15"/>
  <c r="A4223" i="15"/>
  <c r="AA4222" i="15"/>
  <c r="B4222" i="15"/>
  <c r="A4222" i="15"/>
  <c r="V4221" i="15"/>
  <c r="A4221" i="15"/>
  <c r="AA4220" i="15"/>
  <c r="B4220" i="15"/>
  <c r="A4220" i="15"/>
  <c r="AA4219" i="15"/>
  <c r="B4219" i="15"/>
  <c r="A4219" i="15"/>
  <c r="AA4218" i="15"/>
  <c r="B4218" i="15"/>
  <c r="A4218" i="15"/>
  <c r="AA4217" i="15"/>
  <c r="B4217" i="15"/>
  <c r="A4217" i="15"/>
  <c r="AA4216" i="15"/>
  <c r="B4216" i="15"/>
  <c r="A4216" i="15"/>
  <c r="AA4215" i="15"/>
  <c r="B4215" i="15"/>
  <c r="A4215" i="15"/>
  <c r="B4214" i="15"/>
  <c r="A4214" i="15"/>
  <c r="V4213" i="15"/>
  <c r="A4213" i="15"/>
  <c r="AA4212" i="15"/>
  <c r="B4212" i="15"/>
  <c r="A4212" i="15"/>
  <c r="AA4211" i="15"/>
  <c r="B4211" i="15"/>
  <c r="A4211" i="15"/>
  <c r="AA4210" i="15"/>
  <c r="B4210" i="15"/>
  <c r="A4210" i="15"/>
  <c r="V4209" i="15"/>
  <c r="A4209" i="15"/>
  <c r="AA1137" i="15"/>
  <c r="B1137" i="15"/>
  <c r="A1137" i="15"/>
  <c r="AA4207" i="15"/>
  <c r="B4207" i="15"/>
  <c r="A4207" i="15"/>
  <c r="AA4206" i="15"/>
  <c r="B4206" i="15"/>
  <c r="A4206" i="15"/>
  <c r="V4205" i="15"/>
  <c r="A4205" i="15"/>
  <c r="V4204" i="15"/>
  <c r="A4204" i="15"/>
  <c r="V4203" i="15"/>
  <c r="A4203" i="15"/>
  <c r="AA4202" i="15"/>
  <c r="B4202" i="15"/>
  <c r="A4202" i="15"/>
  <c r="AA4201" i="15"/>
  <c r="B4201" i="15"/>
  <c r="A4201" i="15"/>
  <c r="AA4200" i="15"/>
  <c r="B4200" i="15"/>
  <c r="A4200" i="15"/>
  <c r="AA4199" i="15"/>
  <c r="B4199" i="15"/>
  <c r="A4199" i="15"/>
  <c r="AA4198" i="15"/>
  <c r="B4198" i="15"/>
  <c r="A4198" i="15"/>
  <c r="AA4197" i="15"/>
  <c r="B4197" i="15"/>
  <c r="A4197" i="15"/>
  <c r="AA4196" i="15"/>
  <c r="B4196" i="15"/>
  <c r="A4196" i="15"/>
  <c r="AA4195" i="15"/>
  <c r="B4195" i="15"/>
  <c r="A4195" i="15"/>
  <c r="AA4194" i="15"/>
  <c r="B4194" i="15"/>
  <c r="A4194" i="15"/>
  <c r="AA4193" i="15"/>
  <c r="B4193" i="15"/>
  <c r="A4193" i="15"/>
  <c r="V4192" i="15"/>
  <c r="A4192" i="15"/>
  <c r="AA4651" i="15"/>
  <c r="B4651" i="15"/>
  <c r="A4651" i="15"/>
  <c r="AA4190" i="15"/>
  <c r="B4190" i="15"/>
  <c r="A4190" i="15"/>
  <c r="AA4189" i="15"/>
  <c r="B4189" i="15"/>
  <c r="A4189" i="15"/>
  <c r="AA4188" i="15"/>
  <c r="B4188" i="15"/>
  <c r="A4188" i="15"/>
  <c r="AA4187" i="15"/>
  <c r="B4187" i="15"/>
  <c r="A4187" i="15"/>
  <c r="AA4186" i="15"/>
  <c r="B4186" i="15"/>
  <c r="A4186" i="15"/>
  <c r="Q4176" i="15"/>
  <c r="Q4175" i="15"/>
  <c r="Q4174" i="15"/>
  <c r="Q4173" i="15"/>
  <c r="Q4172" i="15"/>
  <c r="Q4171" i="15"/>
  <c r="Q4170" i="15"/>
  <c r="Q4169" i="15"/>
  <c r="Q4168" i="15"/>
  <c r="Q4167" i="15"/>
  <c r="Q4166" i="15"/>
  <c r="Q4165" i="15"/>
  <c r="Q4164" i="15"/>
  <c r="Q4163" i="15"/>
  <c r="Q4162" i="15"/>
  <c r="Q4161" i="15"/>
  <c r="Q4160" i="15"/>
  <c r="Q4159" i="15"/>
  <c r="Q4158" i="15"/>
  <c r="Q4157" i="15"/>
  <c r="Q4156" i="15"/>
  <c r="Q4155" i="15"/>
  <c r="Q4154" i="15"/>
  <c r="Q4153" i="15"/>
  <c r="V4152" i="15"/>
  <c r="A4152" i="15"/>
  <c r="V4151" i="15"/>
  <c r="A4151" i="15"/>
  <c r="V4150" i="15"/>
  <c r="A4150" i="15"/>
  <c r="AA4149" i="15"/>
  <c r="B4149" i="15"/>
  <c r="A4149" i="15"/>
  <c r="AA4148" i="15"/>
  <c r="B4148" i="15"/>
  <c r="A4148" i="15"/>
  <c r="V4147" i="15"/>
  <c r="A4147" i="15"/>
  <c r="V4146" i="15"/>
  <c r="A4146" i="15"/>
  <c r="AA4145" i="15"/>
  <c r="B4145" i="15"/>
  <c r="A4145" i="15"/>
  <c r="AA4144" i="15"/>
  <c r="B4144" i="15"/>
  <c r="A4144" i="15"/>
  <c r="V4143" i="15"/>
  <c r="A4143" i="15"/>
  <c r="V4142" i="15"/>
  <c r="A4142" i="15"/>
  <c r="V4141" i="15"/>
  <c r="A4141" i="15"/>
  <c r="AA4140" i="15"/>
  <c r="B4140" i="15"/>
  <c r="A4140" i="15"/>
  <c r="AA4139" i="15"/>
  <c r="B4139" i="15"/>
  <c r="A4139" i="15"/>
  <c r="AA4138" i="15"/>
  <c r="B4138" i="15"/>
  <c r="A4138" i="15"/>
  <c r="AA4137" i="15"/>
  <c r="B4137" i="15"/>
  <c r="A4137" i="15"/>
  <c r="AA4136" i="15"/>
  <c r="B4136" i="15"/>
  <c r="A4136" i="15"/>
  <c r="AA2726" i="15"/>
  <c r="B2726" i="15"/>
  <c r="A2726" i="15"/>
  <c r="AA4134" i="15"/>
  <c r="B4134" i="15"/>
  <c r="A4134" i="15"/>
  <c r="AA4133" i="15"/>
  <c r="B4133" i="15"/>
  <c r="A4133" i="15"/>
  <c r="AA4132" i="15"/>
  <c r="B4132" i="15"/>
  <c r="A4132" i="15"/>
  <c r="AA4131" i="15"/>
  <c r="B4131" i="15"/>
  <c r="A4131" i="15"/>
  <c r="AA4130" i="15"/>
  <c r="B4130" i="15"/>
  <c r="A4130" i="15"/>
  <c r="AA4129" i="15"/>
  <c r="B4129" i="15"/>
  <c r="A4129" i="15"/>
  <c r="AA4128" i="15"/>
  <c r="B4128" i="15"/>
  <c r="A4128" i="15"/>
  <c r="AA4127" i="15"/>
  <c r="B4127" i="15"/>
  <c r="A4127" i="15"/>
  <c r="AA4126" i="15"/>
  <c r="B4126" i="15"/>
  <c r="A4126" i="15"/>
  <c r="AA4125" i="15"/>
  <c r="B4125" i="15"/>
  <c r="A4125" i="15"/>
  <c r="AA4124" i="15"/>
  <c r="B4124" i="15"/>
  <c r="A4124" i="15"/>
  <c r="AA4652" i="15"/>
  <c r="B4652" i="15"/>
  <c r="A4652" i="15"/>
  <c r="AA4122" i="15"/>
  <c r="B4122" i="15"/>
  <c r="A4122" i="15"/>
  <c r="B4121" i="15"/>
  <c r="A4121" i="15"/>
  <c r="AA4120" i="15"/>
  <c r="B4120" i="15"/>
  <c r="A4120" i="15"/>
  <c r="AA4119" i="15"/>
  <c r="B4119" i="15"/>
  <c r="A4119" i="15"/>
  <c r="V4118" i="15"/>
  <c r="A4118" i="15"/>
  <c r="AA4117" i="15"/>
  <c r="B4117" i="15"/>
  <c r="A4117" i="15"/>
  <c r="AA4116" i="15"/>
  <c r="B4116" i="15"/>
  <c r="A4116" i="15"/>
  <c r="AA4115" i="15"/>
  <c r="B4115" i="15"/>
  <c r="A4115" i="15"/>
  <c r="AA4114" i="15"/>
  <c r="B4114" i="15"/>
  <c r="A4114" i="15"/>
  <c r="AA4113" i="15"/>
  <c r="B4113" i="15"/>
  <c r="A4113" i="15"/>
  <c r="AA4109" i="15"/>
  <c r="B4109" i="15"/>
  <c r="A4109" i="15"/>
  <c r="AA4108" i="15"/>
  <c r="B4108" i="15"/>
  <c r="A4108" i="15"/>
  <c r="AA4107" i="15"/>
  <c r="B4107" i="15"/>
  <c r="A4107" i="15"/>
  <c r="V4106" i="15"/>
  <c r="A4106" i="15"/>
  <c r="V4105" i="15"/>
  <c r="A4105" i="15"/>
  <c r="V4104" i="15"/>
  <c r="A4104" i="15"/>
  <c r="V4103" i="15"/>
  <c r="A4103" i="15"/>
  <c r="Q4102" i="15"/>
  <c r="V4101" i="15"/>
  <c r="A4101" i="15"/>
  <c r="AA4100" i="15"/>
  <c r="B4100" i="15"/>
  <c r="A4100" i="15"/>
  <c r="AA4099" i="15"/>
  <c r="B4099" i="15"/>
  <c r="A4099" i="15"/>
  <c r="Q4098" i="15"/>
  <c r="AA4097" i="15"/>
  <c r="B4097" i="15"/>
  <c r="A4097" i="15"/>
  <c r="V4096" i="15"/>
  <c r="A4096" i="15"/>
  <c r="V4095" i="15"/>
  <c r="A4095" i="15"/>
  <c r="V4094" i="15"/>
  <c r="A4094" i="15"/>
  <c r="AA4093" i="15"/>
  <c r="B4093" i="15"/>
  <c r="A4093" i="15"/>
  <c r="AA4092" i="15"/>
  <c r="B4092" i="15"/>
  <c r="A4092" i="15"/>
  <c r="V4091" i="15"/>
  <c r="A4091" i="15"/>
  <c r="AA4090" i="15"/>
  <c r="B4090" i="15"/>
  <c r="A4090" i="15"/>
  <c r="V4089" i="15"/>
  <c r="A4089" i="15"/>
  <c r="V4088" i="15"/>
  <c r="A4088" i="15"/>
  <c r="V4087" i="15"/>
  <c r="A4087" i="15"/>
  <c r="V4086" i="15"/>
  <c r="A4086" i="15"/>
  <c r="V4085" i="15"/>
  <c r="A4085" i="15"/>
  <c r="V4084" i="15"/>
  <c r="A4084" i="15"/>
  <c r="V4083" i="15"/>
  <c r="A4083" i="15"/>
  <c r="V4082" i="15"/>
  <c r="A4082" i="15"/>
  <c r="Q4081" i="15"/>
  <c r="AA4080" i="15"/>
  <c r="B4080" i="15"/>
  <c r="A4080" i="15"/>
  <c r="AA4079" i="15"/>
  <c r="B4079" i="15"/>
  <c r="A4079" i="15"/>
  <c r="Q4078" i="15"/>
  <c r="AA4077" i="15"/>
  <c r="B4077" i="15"/>
  <c r="A4077" i="15"/>
  <c r="AA4076" i="15"/>
  <c r="B4076" i="15"/>
  <c r="A4076" i="15"/>
  <c r="AA4075" i="15"/>
  <c r="B4075" i="15"/>
  <c r="A4075" i="15"/>
  <c r="AA4074" i="15"/>
  <c r="B4074" i="15"/>
  <c r="A4074" i="15"/>
  <c r="AA4073" i="15"/>
  <c r="B4073" i="15"/>
  <c r="A4073" i="15"/>
  <c r="Q4072" i="15"/>
  <c r="Q4071" i="15"/>
  <c r="Q4070" i="15"/>
  <c r="Q4069" i="15"/>
  <c r="Q4068" i="15"/>
  <c r="Q4067" i="15"/>
  <c r="AA225" i="15"/>
  <c r="B225" i="15"/>
  <c r="A225" i="15"/>
  <c r="V4065" i="15"/>
  <c r="A4065" i="15"/>
  <c r="V4064" i="15"/>
  <c r="A4064" i="15"/>
  <c r="Q4063" i="15"/>
  <c r="V4062" i="15"/>
  <c r="A4062" i="15"/>
  <c r="V4061" i="15"/>
  <c r="A4061" i="15"/>
  <c r="AA4060" i="15"/>
  <c r="B4060" i="15"/>
  <c r="A4060" i="15"/>
  <c r="AA4059" i="15"/>
  <c r="B4059" i="15"/>
  <c r="A4059" i="15"/>
  <c r="AA4058" i="15"/>
  <c r="B4058" i="15"/>
  <c r="A4058" i="15"/>
  <c r="AA2017" i="15"/>
  <c r="B2017" i="15"/>
  <c r="A2017" i="15"/>
  <c r="V4039" i="15"/>
  <c r="A4039" i="15"/>
  <c r="AA4038" i="15"/>
  <c r="B4038" i="15"/>
  <c r="A4038" i="15"/>
  <c r="V4037" i="15"/>
  <c r="A4037" i="15"/>
  <c r="V4036" i="15"/>
  <c r="A4036" i="15"/>
  <c r="V4035" i="15"/>
  <c r="A4035" i="15"/>
  <c r="V4034" i="15"/>
  <c r="A4034" i="15"/>
  <c r="V4033" i="15"/>
  <c r="A4033" i="15"/>
  <c r="V4032" i="15"/>
  <c r="A4032" i="15"/>
  <c r="V4031" i="15"/>
  <c r="A4031" i="15"/>
  <c r="AA4030" i="15"/>
  <c r="B4030" i="15"/>
  <c r="A4030" i="15"/>
  <c r="V4029" i="15"/>
  <c r="A4029" i="15"/>
  <c r="V4028" i="15"/>
  <c r="A4028" i="15"/>
  <c r="AA4027" i="15"/>
  <c r="B4027" i="15"/>
  <c r="A4027" i="15"/>
  <c r="V4026" i="15"/>
  <c r="A4026" i="15"/>
  <c r="V4025" i="15"/>
  <c r="A4025" i="15"/>
  <c r="V4024" i="15"/>
  <c r="A4024" i="15"/>
  <c r="V4023" i="15"/>
  <c r="A4023" i="15"/>
  <c r="V4022" i="15"/>
  <c r="A4022" i="15"/>
  <c r="V4021" i="15"/>
  <c r="A4021" i="15"/>
  <c r="Q4020" i="15"/>
  <c r="AA4019" i="15"/>
  <c r="B4019" i="15"/>
  <c r="A4019" i="15"/>
  <c r="V4018" i="15"/>
  <c r="A4018" i="15"/>
  <c r="V4017" i="15"/>
  <c r="A4017" i="15"/>
  <c r="V4016" i="15"/>
  <c r="A4016" i="15"/>
  <c r="AA4015" i="15"/>
  <c r="B4015" i="15"/>
  <c r="A4015" i="15"/>
  <c r="V4014" i="15"/>
  <c r="A4014" i="15"/>
  <c r="V4013" i="15"/>
  <c r="A4013" i="15"/>
  <c r="AA4012" i="15"/>
  <c r="B4012" i="15"/>
  <c r="A4012" i="15"/>
  <c r="V4011" i="15"/>
  <c r="A4011" i="15"/>
  <c r="V4010" i="15"/>
  <c r="A4010" i="15"/>
  <c r="V4009" i="15"/>
  <c r="A4009" i="15"/>
  <c r="B4008" i="15"/>
  <c r="A4008" i="15"/>
  <c r="AA4007" i="15"/>
  <c r="B4007" i="15"/>
  <c r="A4007" i="15"/>
  <c r="AA4006" i="15"/>
  <c r="B4006" i="15"/>
  <c r="A4006" i="15"/>
  <c r="AA4005" i="15"/>
  <c r="B4005" i="15"/>
  <c r="A4005" i="15"/>
  <c r="V4004" i="15"/>
  <c r="A4004" i="15"/>
  <c r="V4003" i="15"/>
  <c r="A4003" i="15"/>
  <c r="AA4002" i="15"/>
  <c r="B4002" i="15"/>
  <c r="A4002" i="15"/>
  <c r="AA4001" i="15"/>
  <c r="B4001" i="15"/>
  <c r="A4001" i="15"/>
  <c r="AA2771" i="15"/>
  <c r="B2771" i="15"/>
  <c r="A2771" i="15"/>
  <c r="AA3999" i="15"/>
  <c r="B3999" i="15"/>
  <c r="A3999" i="15"/>
  <c r="V3998" i="15"/>
  <c r="A3998" i="15"/>
  <c r="Q3978" i="15"/>
  <c r="Q3977" i="15"/>
  <c r="Q3976" i="15"/>
  <c r="Q3975" i="15"/>
  <c r="AA3973" i="15"/>
  <c r="B3973" i="15"/>
  <c r="A3973" i="15"/>
  <c r="AA3972" i="15"/>
  <c r="B3972" i="15"/>
  <c r="A3972" i="15"/>
  <c r="V3971" i="15"/>
  <c r="A3971" i="15"/>
  <c r="AA3970" i="15"/>
  <c r="B3970" i="15"/>
  <c r="A3970" i="15"/>
  <c r="AA3969" i="15"/>
  <c r="B3969" i="15"/>
  <c r="A3969" i="15"/>
  <c r="AA3968" i="15"/>
  <c r="B3968" i="15"/>
  <c r="A3968" i="15"/>
  <c r="AA3967" i="15"/>
  <c r="B3967" i="15"/>
  <c r="A3967" i="15"/>
  <c r="AA3966" i="15"/>
  <c r="B3966" i="15"/>
  <c r="A3966" i="15"/>
  <c r="AA3965" i="15"/>
  <c r="B3965" i="15"/>
  <c r="A3965" i="15"/>
  <c r="V3964" i="15"/>
  <c r="A3964" i="15"/>
  <c r="AA3963" i="15"/>
  <c r="B3963" i="15"/>
  <c r="A3963" i="15"/>
  <c r="AA3962" i="15"/>
  <c r="B3962" i="15"/>
  <c r="A3962" i="15"/>
  <c r="AA3961" i="15"/>
  <c r="B3961" i="15"/>
  <c r="A3961" i="15"/>
  <c r="AA3960" i="15"/>
  <c r="B3960" i="15"/>
  <c r="A3960" i="15"/>
  <c r="AA3959" i="15"/>
  <c r="B3959" i="15"/>
  <c r="A3959" i="15"/>
  <c r="AA4672" i="15"/>
  <c r="B4672" i="15"/>
  <c r="A4672" i="15"/>
  <c r="AA3957" i="15"/>
  <c r="B3957" i="15"/>
  <c r="A3957" i="15"/>
  <c r="AA3956" i="15"/>
  <c r="B3956" i="15"/>
  <c r="A3956" i="15"/>
  <c r="AA3955" i="15"/>
  <c r="B3955" i="15"/>
  <c r="A3955" i="15"/>
  <c r="AA3954" i="15"/>
  <c r="B3954" i="15"/>
  <c r="A3954" i="15"/>
  <c r="AA3953" i="15"/>
  <c r="B3953" i="15"/>
  <c r="A3953" i="15"/>
  <c r="AA3952" i="15"/>
  <c r="B3952" i="15"/>
  <c r="A3952" i="15"/>
  <c r="AA3951" i="15"/>
  <c r="B3951" i="15"/>
  <c r="A3951" i="15"/>
  <c r="AA3950" i="15"/>
  <c r="B3950" i="15"/>
  <c r="A3950" i="15"/>
  <c r="AA3949" i="15"/>
  <c r="B3949" i="15"/>
  <c r="A3949" i="15"/>
  <c r="AA3280" i="15"/>
  <c r="B3280" i="15"/>
  <c r="A3280" i="15"/>
  <c r="AA3947" i="15"/>
  <c r="B3947" i="15"/>
  <c r="A3947" i="15"/>
  <c r="V3946" i="15"/>
  <c r="A3946" i="15"/>
  <c r="AA3945" i="15"/>
  <c r="B3945" i="15"/>
  <c r="A3945" i="15"/>
  <c r="A3944" i="15"/>
  <c r="AA3943" i="15"/>
  <c r="B3943" i="15"/>
  <c r="A3943" i="15"/>
  <c r="V3921" i="15"/>
  <c r="A3921" i="15"/>
  <c r="AA3920" i="15"/>
  <c r="B3920" i="15"/>
  <c r="A3920" i="15"/>
  <c r="AA3919" i="15"/>
  <c r="B3919" i="15"/>
  <c r="A3919" i="15"/>
  <c r="AA3918" i="15"/>
  <c r="B3918" i="15"/>
  <c r="A3918" i="15"/>
  <c r="AA3917" i="15"/>
  <c r="B3917" i="15"/>
  <c r="A3917" i="15"/>
  <c r="AA3916" i="15"/>
  <c r="B3916" i="15"/>
  <c r="A3916" i="15"/>
  <c r="AA3915" i="15"/>
  <c r="B3915" i="15"/>
  <c r="A3915" i="15"/>
  <c r="AA3914" i="15"/>
  <c r="B3914" i="15"/>
  <c r="A3914" i="15"/>
  <c r="AA3913" i="15"/>
  <c r="B3913" i="15"/>
  <c r="A3913" i="15"/>
  <c r="AA3912" i="15"/>
  <c r="B3912" i="15"/>
  <c r="A3912" i="15"/>
  <c r="AA3911" i="15"/>
  <c r="B3911" i="15"/>
  <c r="A3911" i="15"/>
  <c r="AA3910" i="15"/>
  <c r="B3910" i="15"/>
  <c r="A3910" i="15"/>
  <c r="AA3909" i="15"/>
  <c r="B3909" i="15"/>
  <c r="A3909" i="15"/>
  <c r="AA3908" i="15"/>
  <c r="B3908" i="15"/>
  <c r="A3908" i="15"/>
  <c r="AA3907" i="15"/>
  <c r="B3907" i="15"/>
  <c r="A3907" i="15"/>
  <c r="AA3906" i="15"/>
  <c r="B3906" i="15"/>
  <c r="A3906" i="15"/>
  <c r="AA3905" i="15"/>
  <c r="B3905" i="15"/>
  <c r="A3905" i="15"/>
  <c r="AA3904" i="15"/>
  <c r="B3904" i="15"/>
  <c r="A3904" i="15"/>
  <c r="AA3903" i="15"/>
  <c r="B3903" i="15"/>
  <c r="A3903" i="15"/>
  <c r="AA3902" i="15"/>
  <c r="B3902" i="15"/>
  <c r="A3902" i="15"/>
  <c r="AA3901" i="15"/>
  <c r="B3901" i="15"/>
  <c r="A3901" i="15"/>
  <c r="AA3900" i="15"/>
  <c r="B3900" i="15"/>
  <c r="A3900" i="15"/>
  <c r="AA3899" i="15"/>
  <c r="B3899" i="15"/>
  <c r="A3899" i="15"/>
  <c r="AA3898" i="15"/>
  <c r="B3898" i="15"/>
  <c r="A3898" i="15"/>
  <c r="AA3897" i="15"/>
  <c r="B3897" i="15"/>
  <c r="A3897" i="15"/>
  <c r="AA3896" i="15"/>
  <c r="B3896" i="15"/>
  <c r="A3896" i="15"/>
  <c r="AA3895" i="15"/>
  <c r="B3895" i="15"/>
  <c r="A3895" i="15"/>
  <c r="AA3894" i="15"/>
  <c r="B3894" i="15"/>
  <c r="A3894" i="15"/>
  <c r="AA3893" i="15"/>
  <c r="B3893" i="15"/>
  <c r="A3893" i="15"/>
  <c r="AA3892" i="15"/>
  <c r="B3892" i="15"/>
  <c r="A3892" i="15"/>
  <c r="AA3891" i="15"/>
  <c r="B3891" i="15"/>
  <c r="A3891" i="15"/>
  <c r="AA3890" i="15"/>
  <c r="B3890" i="15"/>
  <c r="A3890" i="15"/>
  <c r="AA3889" i="15"/>
  <c r="B3889" i="15"/>
  <c r="A3889" i="15"/>
  <c r="AA3888" i="15"/>
  <c r="B3888" i="15"/>
  <c r="A3888" i="15"/>
  <c r="AA3887" i="15"/>
  <c r="B3887" i="15"/>
  <c r="A3887" i="15"/>
  <c r="AA3886" i="15"/>
  <c r="B3886" i="15"/>
  <c r="A3886" i="15"/>
  <c r="AA3885" i="15"/>
  <c r="B3885" i="15"/>
  <c r="A3885" i="15"/>
  <c r="AA3884" i="15"/>
  <c r="B3884" i="15"/>
  <c r="A3884" i="15"/>
  <c r="AA3883" i="15"/>
  <c r="B3883" i="15"/>
  <c r="A3883" i="15"/>
  <c r="AA3881" i="15"/>
  <c r="B3881" i="15"/>
  <c r="A3881" i="15"/>
  <c r="AA3880" i="15"/>
  <c r="B3880" i="15"/>
  <c r="A3880" i="15"/>
  <c r="Q3879" i="15"/>
  <c r="Q3878" i="15"/>
  <c r="AA3877" i="15"/>
  <c r="B3877" i="15"/>
  <c r="A3877" i="15"/>
  <c r="Q3876" i="15"/>
  <c r="Q3875" i="15"/>
  <c r="Q3874" i="15"/>
  <c r="Q3873" i="15"/>
  <c r="AA3856" i="15"/>
  <c r="B3856" i="15"/>
  <c r="A3856" i="15"/>
  <c r="AA3855" i="15"/>
  <c r="B3855" i="15"/>
  <c r="A3855" i="15"/>
  <c r="V3854" i="15"/>
  <c r="A3854" i="15"/>
  <c r="AA3853" i="15"/>
  <c r="B3853" i="15"/>
  <c r="A3853" i="15"/>
  <c r="AA3852" i="15"/>
  <c r="B3852" i="15"/>
  <c r="A3852" i="15"/>
  <c r="AA3851" i="15"/>
  <c r="B3851" i="15"/>
  <c r="A3851" i="15"/>
  <c r="AA3850" i="15"/>
  <c r="B3850" i="15"/>
  <c r="A3850" i="15"/>
  <c r="AA226" i="15"/>
  <c r="B226" i="15"/>
  <c r="A226" i="15"/>
  <c r="AA3848" i="15"/>
  <c r="B3848" i="15"/>
  <c r="A3848" i="15"/>
  <c r="AA3847" i="15"/>
  <c r="B3847" i="15"/>
  <c r="A3847" i="15"/>
  <c r="AA3846" i="15"/>
  <c r="B3846" i="15"/>
  <c r="A3846" i="15"/>
  <c r="AA3845" i="15"/>
  <c r="B3845" i="15"/>
  <c r="A3845" i="15"/>
  <c r="AA3844" i="15"/>
  <c r="B3844" i="15"/>
  <c r="A3844" i="15"/>
  <c r="AA3843" i="15"/>
  <c r="B3843" i="15"/>
  <c r="A3843" i="15"/>
  <c r="V3842" i="15"/>
  <c r="A3842" i="15"/>
  <c r="V3841" i="15"/>
  <c r="A3841" i="15"/>
  <c r="V3840" i="15"/>
  <c r="A3840" i="15"/>
  <c r="V3839" i="15"/>
  <c r="A3839" i="15"/>
  <c r="V3838" i="15"/>
  <c r="A3838" i="15"/>
  <c r="V3837" i="15"/>
  <c r="A3837" i="15"/>
  <c r="AA3836" i="15"/>
  <c r="B3836" i="15"/>
  <c r="A3836" i="15"/>
  <c r="AA3835" i="15"/>
  <c r="B3835" i="15"/>
  <c r="A3835" i="15"/>
  <c r="AA3834" i="15"/>
  <c r="B3834" i="15"/>
  <c r="A3834" i="15"/>
  <c r="V3833" i="15"/>
  <c r="A3833" i="15"/>
  <c r="V3832" i="15"/>
  <c r="A3832" i="15"/>
  <c r="V3831" i="15"/>
  <c r="A3831" i="15"/>
  <c r="V3830" i="15"/>
  <c r="A3830" i="15"/>
  <c r="V3829" i="15"/>
  <c r="A3829" i="15"/>
  <c r="V3828" i="15"/>
  <c r="A3828" i="15"/>
  <c r="AA3827" i="15"/>
  <c r="B3827" i="15"/>
  <c r="A3827" i="15"/>
  <c r="V3826" i="15"/>
  <c r="A3826" i="15"/>
  <c r="AA3825" i="15"/>
  <c r="B3825" i="15"/>
  <c r="A3825" i="15"/>
  <c r="AA3824" i="15"/>
  <c r="B3824" i="15"/>
  <c r="A3824" i="15"/>
  <c r="AA3823" i="15"/>
  <c r="B3823" i="15"/>
  <c r="A3823" i="15"/>
  <c r="AA3822" i="15"/>
  <c r="B3822" i="15"/>
  <c r="A3822" i="15"/>
  <c r="AA3821" i="15"/>
  <c r="B3821" i="15"/>
  <c r="A3821" i="15"/>
  <c r="Q3820" i="15"/>
  <c r="AA3819" i="15"/>
  <c r="B3819" i="15"/>
  <c r="A3819" i="15"/>
  <c r="AA3818" i="15"/>
  <c r="B3818" i="15"/>
  <c r="A3818" i="15"/>
  <c r="AA3817" i="15"/>
  <c r="B3817" i="15"/>
  <c r="A3817" i="15"/>
  <c r="AA3816" i="15"/>
  <c r="B3816" i="15"/>
  <c r="A3816" i="15"/>
  <c r="AA3815" i="15"/>
  <c r="B3815" i="15"/>
  <c r="A3815" i="15"/>
  <c r="AA3814" i="15"/>
  <c r="B3814" i="15"/>
  <c r="A3814" i="15"/>
  <c r="AA3813" i="15"/>
  <c r="B3813" i="15"/>
  <c r="A3813" i="15"/>
  <c r="V3812" i="15"/>
  <c r="A3812" i="15"/>
  <c r="AA3811" i="15"/>
  <c r="B3811" i="15"/>
  <c r="A3811" i="15"/>
  <c r="AA3810" i="15"/>
  <c r="B3810" i="15"/>
  <c r="A3810" i="15"/>
  <c r="V3809" i="15"/>
  <c r="A3809" i="15"/>
  <c r="AA3808" i="15"/>
  <c r="B3808" i="15"/>
  <c r="A3808" i="15"/>
  <c r="V3807" i="15"/>
  <c r="A3807" i="15"/>
  <c r="AA3806" i="15"/>
  <c r="B3806" i="15"/>
  <c r="A3806" i="15"/>
  <c r="AA3805" i="15"/>
  <c r="B3805" i="15"/>
  <c r="A3805" i="15"/>
  <c r="AA3804" i="15"/>
  <c r="B3804" i="15"/>
  <c r="A3804" i="15"/>
  <c r="AA3803" i="15"/>
  <c r="B3803" i="15"/>
  <c r="A3803" i="15"/>
  <c r="AA3802" i="15"/>
  <c r="B3802" i="15"/>
  <c r="A3802" i="15"/>
  <c r="B3801" i="15"/>
  <c r="A3801" i="15"/>
  <c r="AA3800" i="15"/>
  <c r="B3800" i="15"/>
  <c r="A3800" i="15"/>
  <c r="AA3799" i="15"/>
  <c r="B3799" i="15"/>
  <c r="A3799" i="15"/>
  <c r="V3798" i="15"/>
  <c r="A3798" i="15"/>
  <c r="AA3797" i="15"/>
  <c r="B3797" i="15"/>
  <c r="A3797" i="15"/>
  <c r="V3796" i="15"/>
  <c r="A3796" i="15"/>
  <c r="Q3795" i="15"/>
  <c r="AA3794" i="15"/>
  <c r="B3794" i="15"/>
  <c r="A3794" i="15"/>
  <c r="AA3793" i="15"/>
  <c r="B3793" i="15"/>
  <c r="A3793" i="15"/>
  <c r="AA3792" i="15"/>
  <c r="B3792" i="15"/>
  <c r="A3792" i="15"/>
  <c r="V3791" i="15"/>
  <c r="A3791" i="15"/>
  <c r="AA3790" i="15"/>
  <c r="B3790" i="15"/>
  <c r="A3790" i="15"/>
  <c r="V3789" i="15"/>
  <c r="A3789" i="15"/>
  <c r="V3788" i="15"/>
  <c r="A3788" i="15"/>
  <c r="V3787" i="15"/>
  <c r="A3787" i="15"/>
  <c r="AA3786" i="15"/>
  <c r="B3786" i="15"/>
  <c r="A3786" i="15"/>
  <c r="AA3785" i="15"/>
  <c r="B3785" i="15"/>
  <c r="A3785" i="15"/>
  <c r="AA3784" i="15"/>
  <c r="B3784" i="15"/>
  <c r="A3784" i="15"/>
  <c r="AA3783" i="15"/>
  <c r="B3783" i="15"/>
  <c r="A3783" i="15"/>
  <c r="AA3782" i="15"/>
  <c r="B3782" i="15"/>
  <c r="A3782" i="15"/>
  <c r="AA3781" i="15"/>
  <c r="B3781" i="15"/>
  <c r="A3781" i="15"/>
  <c r="AA3780" i="15"/>
  <c r="B3780" i="15"/>
  <c r="A3780" i="15"/>
  <c r="AA3779" i="15"/>
  <c r="B3779" i="15"/>
  <c r="A3779" i="15"/>
  <c r="AA3778" i="15"/>
  <c r="B3778" i="15"/>
  <c r="A3778" i="15"/>
  <c r="AA3777" i="15"/>
  <c r="B3777" i="15"/>
  <c r="A3777" i="15"/>
  <c r="AA3776" i="15"/>
  <c r="B3776" i="15"/>
  <c r="A3776" i="15"/>
  <c r="AA3775" i="15"/>
  <c r="B3775" i="15"/>
  <c r="A3775" i="15"/>
  <c r="AA3774" i="15"/>
  <c r="B3774" i="15"/>
  <c r="A3774" i="15"/>
  <c r="AA3773" i="15"/>
  <c r="B3773" i="15"/>
  <c r="A3773" i="15"/>
  <c r="AA3772" i="15"/>
  <c r="B3772" i="15"/>
  <c r="A3772" i="15"/>
  <c r="AA3771" i="15"/>
  <c r="B3771" i="15"/>
  <c r="A3771" i="15"/>
  <c r="AA3770" i="15"/>
  <c r="B3770" i="15"/>
  <c r="A3770" i="15"/>
  <c r="AA3769" i="15"/>
  <c r="B3769" i="15"/>
  <c r="A3769" i="15"/>
  <c r="AA3768" i="15"/>
  <c r="B3768" i="15"/>
  <c r="A3768" i="15"/>
  <c r="AA3767" i="15"/>
  <c r="B3767" i="15"/>
  <c r="A3767" i="15"/>
  <c r="V3766" i="15"/>
  <c r="A3766" i="15"/>
  <c r="AA3765" i="15"/>
  <c r="B3765" i="15"/>
  <c r="A3765" i="15"/>
  <c r="AA3764" i="15"/>
  <c r="B3764" i="15"/>
  <c r="A3764" i="15"/>
  <c r="AA3763" i="15"/>
  <c r="B3763" i="15"/>
  <c r="A3763" i="15"/>
  <c r="AA3762" i="15"/>
  <c r="B3762" i="15"/>
  <c r="A3762" i="15"/>
  <c r="AA3761" i="15"/>
  <c r="B3761" i="15"/>
  <c r="A3761" i="15"/>
  <c r="AA3760" i="15"/>
  <c r="B3760" i="15"/>
  <c r="A3760" i="15"/>
  <c r="AA3759" i="15"/>
  <c r="B3759" i="15"/>
  <c r="A3759" i="15"/>
  <c r="AA3758" i="15"/>
  <c r="B3758" i="15"/>
  <c r="A3758" i="15"/>
  <c r="AA3757" i="15"/>
  <c r="B3757" i="15"/>
  <c r="A3757" i="15"/>
  <c r="AA3756" i="15"/>
  <c r="B3756" i="15"/>
  <c r="A3756" i="15"/>
  <c r="AA3755" i="15"/>
  <c r="B3755" i="15"/>
  <c r="A3755" i="15"/>
  <c r="AA3754" i="15"/>
  <c r="B3754" i="15"/>
  <c r="A3754" i="15"/>
  <c r="AA3753" i="15"/>
  <c r="B3753" i="15"/>
  <c r="A3753" i="15"/>
  <c r="AA3752" i="15"/>
  <c r="B3752" i="15"/>
  <c r="A3752" i="15"/>
  <c r="AA3751" i="15"/>
  <c r="B3751" i="15"/>
  <c r="A3751" i="15"/>
  <c r="AA3750" i="15"/>
  <c r="B3750" i="15"/>
  <c r="A3750" i="15"/>
  <c r="AA3749" i="15"/>
  <c r="B3749" i="15"/>
  <c r="A3749" i="15"/>
  <c r="AA3748" i="15"/>
  <c r="B3748" i="15"/>
  <c r="A3748" i="15"/>
  <c r="AA3747" i="15"/>
  <c r="B3747" i="15"/>
  <c r="A3747" i="15"/>
  <c r="AA3746" i="15"/>
  <c r="B3746" i="15"/>
  <c r="A3746" i="15"/>
  <c r="AA3745" i="15"/>
  <c r="B3745" i="15"/>
  <c r="A3745" i="15"/>
  <c r="AA3744" i="15"/>
  <c r="B3744" i="15"/>
  <c r="A3744" i="15"/>
  <c r="AA3743" i="15"/>
  <c r="B3743" i="15"/>
  <c r="A3743" i="15"/>
  <c r="V3742" i="15"/>
  <c r="A3742" i="15"/>
  <c r="AA3741" i="15"/>
  <c r="B3741" i="15"/>
  <c r="A3741" i="15"/>
  <c r="AA3740" i="15"/>
  <c r="B3740" i="15"/>
  <c r="A3740" i="15"/>
  <c r="AA3739" i="15"/>
  <c r="B3739" i="15"/>
  <c r="A3739" i="15"/>
  <c r="AA3738" i="15"/>
  <c r="B3738" i="15"/>
  <c r="A3738" i="15"/>
  <c r="AA3737" i="15"/>
  <c r="B3737" i="15"/>
  <c r="A3737" i="15"/>
  <c r="AA3736" i="15"/>
  <c r="B3736" i="15"/>
  <c r="A3736" i="15"/>
  <c r="AA3735" i="15"/>
  <c r="B3735" i="15"/>
  <c r="A3735" i="15"/>
  <c r="AA3734" i="15"/>
  <c r="B3734" i="15"/>
  <c r="A3734" i="15"/>
  <c r="AA3733" i="15"/>
  <c r="B3733" i="15"/>
  <c r="A3733" i="15"/>
  <c r="AA3732" i="15"/>
  <c r="B3732" i="15"/>
  <c r="A3732" i="15"/>
  <c r="AA3731" i="15"/>
  <c r="B3731" i="15"/>
  <c r="A3731" i="15"/>
  <c r="AA3723" i="15"/>
  <c r="B3723" i="15"/>
  <c r="A3723" i="15"/>
  <c r="Q3722" i="15"/>
  <c r="AA3721" i="15"/>
  <c r="B3721" i="15"/>
  <c r="A3721" i="15"/>
  <c r="Q3720" i="15"/>
  <c r="B3719" i="15"/>
  <c r="A3719" i="15"/>
  <c r="Q3718" i="15"/>
  <c r="AA3717" i="15"/>
  <c r="B3717" i="15"/>
  <c r="A3717" i="15"/>
  <c r="AA3701" i="15"/>
  <c r="B3701" i="15"/>
  <c r="A3701" i="15"/>
  <c r="AA3124" i="15"/>
  <c r="B3124" i="15"/>
  <c r="A3124" i="15"/>
  <c r="AA3699" i="15"/>
  <c r="B3699" i="15"/>
  <c r="A3699" i="15"/>
  <c r="AA3698" i="15"/>
  <c r="B3698" i="15"/>
  <c r="A3698" i="15"/>
  <c r="AA3697" i="15"/>
  <c r="B3697" i="15"/>
  <c r="A3697" i="15"/>
  <c r="AA3696" i="15"/>
  <c r="B3696" i="15"/>
  <c r="A3696" i="15"/>
  <c r="AA3695" i="15"/>
  <c r="B3695" i="15"/>
  <c r="A3695" i="15"/>
  <c r="AA3694" i="15"/>
  <c r="B3694" i="15"/>
  <c r="A3694" i="15"/>
  <c r="AA3693" i="15"/>
  <c r="B3693" i="15"/>
  <c r="A3693" i="15"/>
  <c r="AA3692" i="15"/>
  <c r="B3692" i="15"/>
  <c r="A3692" i="15"/>
  <c r="AA3691" i="15"/>
  <c r="B3691" i="15"/>
  <c r="A3691" i="15"/>
  <c r="Q3690" i="15"/>
  <c r="Q3689" i="15"/>
  <c r="Q3688" i="15"/>
  <c r="Q3687" i="15"/>
  <c r="Q3686" i="15"/>
  <c r="V3685" i="15"/>
  <c r="A3685" i="15"/>
  <c r="Q3684" i="15"/>
  <c r="Q3683" i="15"/>
  <c r="Q3682" i="15"/>
  <c r="Q3681" i="15"/>
  <c r="Q3680" i="15"/>
  <c r="Q3679" i="15"/>
  <c r="Q3678" i="15"/>
  <c r="Q3677" i="15"/>
  <c r="Q3676" i="15"/>
  <c r="Q3675" i="15"/>
  <c r="Q3674" i="15"/>
  <c r="Q3673" i="15"/>
  <c r="Q3672" i="15"/>
  <c r="V3671" i="15"/>
  <c r="A3671" i="15"/>
  <c r="Q3670" i="15"/>
  <c r="Q3669" i="15"/>
  <c r="Q3668" i="15"/>
  <c r="Q3667" i="15"/>
  <c r="Q3666" i="15"/>
  <c r="Q3665" i="15"/>
  <c r="Q3664" i="15"/>
  <c r="V3663" i="15"/>
  <c r="A3663" i="15"/>
  <c r="Q3662" i="15"/>
  <c r="V3661" i="15"/>
  <c r="A3661" i="15"/>
  <c r="Q3660" i="15"/>
  <c r="Q3659" i="15"/>
  <c r="V3658" i="15"/>
  <c r="A3658" i="15"/>
  <c r="Q3657" i="15"/>
  <c r="AA3656" i="15"/>
  <c r="B3656" i="15"/>
  <c r="A3656" i="15"/>
  <c r="AA3655" i="15"/>
  <c r="B3655" i="15"/>
  <c r="A3655" i="15"/>
  <c r="AA3654" i="15"/>
  <c r="B3654" i="15"/>
  <c r="A3654" i="15"/>
  <c r="AA3653" i="15"/>
  <c r="B3653" i="15"/>
  <c r="A3653" i="15"/>
  <c r="AA3652" i="15"/>
  <c r="B3652" i="15"/>
  <c r="A3652" i="15"/>
  <c r="Q3651" i="15"/>
  <c r="Q3650" i="15"/>
  <c r="Q3649" i="15"/>
  <c r="AA3648" i="15"/>
  <c r="B3648" i="15"/>
  <c r="A3648" i="15"/>
  <c r="AA3647" i="15"/>
  <c r="B3647" i="15"/>
  <c r="A3647" i="15"/>
  <c r="AA3646" i="15"/>
  <c r="B3646" i="15"/>
  <c r="A3646" i="15"/>
  <c r="AA3645" i="15"/>
  <c r="B3645" i="15"/>
  <c r="A3645" i="15"/>
  <c r="AA3644" i="15"/>
  <c r="B3644" i="15"/>
  <c r="A3644" i="15"/>
  <c r="AA3643" i="15"/>
  <c r="B3643" i="15"/>
  <c r="A3643" i="15"/>
  <c r="AA3642" i="15"/>
  <c r="B3642" i="15"/>
  <c r="A3642" i="15"/>
  <c r="AA3641" i="15"/>
  <c r="B3641" i="15"/>
  <c r="A3641" i="15"/>
  <c r="AA3640" i="15"/>
  <c r="B3640" i="15"/>
  <c r="A3640" i="15"/>
  <c r="AA3639" i="15"/>
  <c r="B3639" i="15"/>
  <c r="A3639" i="15"/>
  <c r="Q3638" i="15"/>
  <c r="Q3637" i="15"/>
  <c r="Q3636" i="15"/>
  <c r="AA3635" i="15"/>
  <c r="B3635" i="15"/>
  <c r="A3635" i="15"/>
  <c r="AA3634" i="15"/>
  <c r="B3634" i="15"/>
  <c r="A3634" i="15"/>
  <c r="AA3633" i="15"/>
  <c r="B3633" i="15"/>
  <c r="A3633" i="15"/>
  <c r="AA3632" i="15"/>
  <c r="B3632" i="15"/>
  <c r="A3632" i="15"/>
  <c r="AA3631" i="15"/>
  <c r="B3631" i="15"/>
  <c r="A3631" i="15"/>
  <c r="Q3630" i="15"/>
  <c r="Q3629" i="15"/>
  <c r="Q3628" i="15"/>
  <c r="Q3627" i="15"/>
  <c r="Q3626" i="15"/>
  <c r="Q3625" i="15"/>
  <c r="Q3624" i="15"/>
  <c r="Q3623" i="15"/>
  <c r="Q3622" i="15"/>
  <c r="Q3621" i="15"/>
  <c r="Q3620" i="15"/>
  <c r="Q3619" i="15"/>
  <c r="Q3618" i="15"/>
  <c r="Q3617" i="15"/>
  <c r="Q3616" i="15"/>
  <c r="Q3615" i="15"/>
  <c r="Q3614" i="15"/>
  <c r="Q3613" i="15"/>
  <c r="Q3612" i="15"/>
  <c r="Q3611" i="15"/>
  <c r="Q3610" i="15"/>
  <c r="Q3609" i="15"/>
  <c r="Q3608" i="15"/>
  <c r="V3607" i="15"/>
  <c r="A3607" i="15"/>
  <c r="V3606" i="15"/>
  <c r="A3606" i="15"/>
  <c r="A3605" i="15"/>
  <c r="V3604" i="15"/>
  <c r="A3604" i="15"/>
  <c r="A3603" i="15"/>
  <c r="V3602" i="15"/>
  <c r="A3602" i="15"/>
  <c r="B2020" i="15"/>
  <c r="A2020" i="15"/>
  <c r="Q3600" i="15"/>
  <c r="V3599" i="15"/>
  <c r="A3599" i="15"/>
  <c r="Q3598" i="15"/>
  <c r="Q3597" i="15"/>
  <c r="AA3596" i="15"/>
  <c r="B3596" i="15"/>
  <c r="A3596" i="15"/>
  <c r="AA3595" i="15"/>
  <c r="B3595" i="15"/>
  <c r="A3595" i="15"/>
  <c r="AA3594" i="15"/>
  <c r="B3594" i="15"/>
  <c r="A3594" i="15"/>
  <c r="AA3593" i="15"/>
  <c r="B3593" i="15"/>
  <c r="A3593" i="15"/>
  <c r="AA3592" i="15"/>
  <c r="B3592" i="15"/>
  <c r="A3592" i="15"/>
  <c r="AA3591" i="15"/>
  <c r="B3591" i="15"/>
  <c r="A3591" i="15"/>
  <c r="AA3590" i="15"/>
  <c r="B3590" i="15"/>
  <c r="A3590" i="15"/>
  <c r="AA3589" i="15"/>
  <c r="B3589" i="15"/>
  <c r="A3589" i="15"/>
  <c r="AA3588" i="15"/>
  <c r="B3588" i="15"/>
  <c r="A3588" i="15"/>
  <c r="AA3587" i="15"/>
  <c r="B3587" i="15"/>
  <c r="A3587" i="15"/>
  <c r="AA3578" i="15"/>
  <c r="B3578" i="15"/>
  <c r="A3578" i="15"/>
  <c r="AA3577" i="15"/>
  <c r="B3577" i="15"/>
  <c r="A3577" i="15"/>
  <c r="AA3576" i="15"/>
  <c r="B3576" i="15"/>
  <c r="A3576" i="15"/>
  <c r="AA3575" i="15"/>
  <c r="B3575" i="15"/>
  <c r="A3575" i="15"/>
  <c r="AA3574" i="15"/>
  <c r="B3574" i="15"/>
  <c r="A3574" i="15"/>
  <c r="AA3573" i="15"/>
  <c r="B3573" i="15"/>
  <c r="A3573" i="15"/>
  <c r="AA3572" i="15"/>
  <c r="B3572" i="15"/>
  <c r="A3572" i="15"/>
  <c r="AA3571" i="15"/>
  <c r="B3571" i="15"/>
  <c r="A3571" i="15"/>
  <c r="AA3570" i="15"/>
  <c r="B3570" i="15"/>
  <c r="A3570" i="15"/>
  <c r="AA3569" i="15"/>
  <c r="B3569" i="15"/>
  <c r="A3569" i="15"/>
  <c r="AA3568" i="15"/>
  <c r="B3568" i="15"/>
  <c r="A3568" i="15"/>
  <c r="AA3567" i="15"/>
  <c r="B3567" i="15"/>
  <c r="A3567" i="15"/>
  <c r="Q3566" i="15"/>
  <c r="AA3565" i="15"/>
  <c r="B3565" i="15"/>
  <c r="A3565" i="15"/>
  <c r="AA3564" i="15"/>
  <c r="B3564" i="15"/>
  <c r="A3564" i="15"/>
  <c r="Q3563" i="15"/>
  <c r="Q3562" i="15"/>
  <c r="AA3561" i="15"/>
  <c r="B3561" i="15"/>
  <c r="A3561" i="15"/>
  <c r="V3560" i="15"/>
  <c r="A3560" i="15"/>
  <c r="AA3559" i="15"/>
  <c r="B3559" i="15"/>
  <c r="A3559" i="15"/>
  <c r="V3558" i="15"/>
  <c r="A3558" i="15"/>
  <c r="AA3557" i="15"/>
  <c r="B3557" i="15"/>
  <c r="A3557" i="15"/>
  <c r="V3556" i="15"/>
  <c r="A3556" i="15"/>
  <c r="V3555" i="15"/>
  <c r="A3555" i="15"/>
  <c r="AA3554" i="15"/>
  <c r="B3554" i="15"/>
  <c r="A3554" i="15"/>
  <c r="AA3553" i="15"/>
  <c r="B3553" i="15"/>
  <c r="A3553" i="15"/>
  <c r="AA3552" i="15"/>
  <c r="B3552" i="15"/>
  <c r="A3552" i="15"/>
  <c r="AA3551" i="15"/>
  <c r="B3551" i="15"/>
  <c r="A3551" i="15"/>
  <c r="AA3550" i="15"/>
  <c r="B3550" i="15"/>
  <c r="A3550" i="15"/>
  <c r="AA3549" i="15"/>
  <c r="B3549" i="15"/>
  <c r="A3549" i="15"/>
  <c r="V3548" i="15"/>
  <c r="A3548" i="15"/>
  <c r="V3547" i="15"/>
  <c r="A3547" i="15"/>
  <c r="V3546" i="15"/>
  <c r="A3546" i="15"/>
  <c r="AA3545" i="15"/>
  <c r="B3545" i="15"/>
  <c r="A3545" i="15"/>
  <c r="AA3544" i="15"/>
  <c r="B3544" i="15"/>
  <c r="A3544" i="15"/>
  <c r="V3543" i="15"/>
  <c r="A3543" i="15"/>
  <c r="AA3542" i="15"/>
  <c r="B3542" i="15"/>
  <c r="A3542" i="15"/>
  <c r="AA3541" i="15"/>
  <c r="B3541" i="15"/>
  <c r="A3541" i="15"/>
  <c r="AA3540" i="15"/>
  <c r="B3540" i="15"/>
  <c r="A3540" i="15"/>
  <c r="AA3539" i="15"/>
  <c r="B3539" i="15"/>
  <c r="A3539" i="15"/>
  <c r="AA3538" i="15"/>
  <c r="B3538" i="15"/>
  <c r="A3538" i="15"/>
  <c r="V3537" i="15"/>
  <c r="A3537" i="15"/>
  <c r="AA3536" i="15"/>
  <c r="B3536" i="15"/>
  <c r="A3536" i="15"/>
  <c r="V3535" i="15"/>
  <c r="A3535" i="15"/>
  <c r="V3534" i="15"/>
  <c r="A3534" i="15"/>
  <c r="AA3533" i="15"/>
  <c r="B3533" i="15"/>
  <c r="A3533" i="15"/>
  <c r="Q3532" i="15"/>
  <c r="AA3531" i="15"/>
  <c r="B3531" i="15"/>
  <c r="A3531" i="15"/>
  <c r="AA3530" i="15"/>
  <c r="B3530" i="15"/>
  <c r="A3530" i="15"/>
  <c r="AA3529" i="15"/>
  <c r="B3529" i="15"/>
  <c r="A3529" i="15"/>
  <c r="AA3528" i="15"/>
  <c r="B3528" i="15"/>
  <c r="A3528" i="15"/>
  <c r="AA3527" i="15"/>
  <c r="B3527" i="15"/>
  <c r="A3527" i="15"/>
  <c r="AA3526" i="15"/>
  <c r="B3526" i="15"/>
  <c r="A3526" i="15"/>
  <c r="Q3525" i="15"/>
  <c r="Q3524" i="15"/>
  <c r="AA3523" i="15"/>
  <c r="B3523" i="15"/>
  <c r="A3523" i="15"/>
  <c r="AA3522" i="15"/>
  <c r="B3522" i="15"/>
  <c r="A3522" i="15"/>
  <c r="AA3521" i="15"/>
  <c r="B3521" i="15"/>
  <c r="A3521" i="15"/>
  <c r="AA3520" i="15"/>
  <c r="B3520" i="15"/>
  <c r="A3520" i="15"/>
  <c r="AA3519" i="15"/>
  <c r="B3519" i="15"/>
  <c r="A3519" i="15"/>
  <c r="V3518" i="15"/>
  <c r="A3518" i="15"/>
  <c r="AA3517" i="15"/>
  <c r="B3517" i="15"/>
  <c r="A3517" i="15"/>
  <c r="AA3516" i="15"/>
  <c r="B3516" i="15"/>
  <c r="A3516" i="15"/>
  <c r="AA3515" i="15"/>
  <c r="B3515" i="15"/>
  <c r="A3515" i="15"/>
  <c r="AA3514" i="15"/>
  <c r="B3514" i="15"/>
  <c r="A3514" i="15"/>
  <c r="AA3513" i="15"/>
  <c r="B3513" i="15"/>
  <c r="A3513" i="15"/>
  <c r="AA3512" i="15"/>
  <c r="B3512" i="15"/>
  <c r="A3512" i="15"/>
  <c r="AA3511" i="15"/>
  <c r="B3511" i="15"/>
  <c r="A3511" i="15"/>
  <c r="AA3510" i="15"/>
  <c r="B3510" i="15"/>
  <c r="A3510" i="15"/>
  <c r="V3509" i="15"/>
  <c r="A3509" i="15"/>
  <c r="AA3508" i="15"/>
  <c r="B3508" i="15"/>
  <c r="A3508" i="15"/>
  <c r="AA3507" i="15"/>
  <c r="B3507" i="15"/>
  <c r="A3507" i="15"/>
  <c r="AA3506" i="15"/>
  <c r="B3506" i="15"/>
  <c r="A3506" i="15"/>
  <c r="AA3505" i="15"/>
  <c r="B3505" i="15"/>
  <c r="A3505" i="15"/>
  <c r="AA3504" i="15"/>
  <c r="B3504" i="15"/>
  <c r="A3504" i="15"/>
  <c r="Q3503" i="15"/>
  <c r="AA3502" i="15"/>
  <c r="B3502" i="15"/>
  <c r="A3502" i="15"/>
  <c r="AA3501" i="15"/>
  <c r="B3501" i="15"/>
  <c r="A3501" i="15"/>
  <c r="V3500" i="15"/>
  <c r="A3500" i="15"/>
  <c r="V3499" i="15"/>
  <c r="A3499" i="15"/>
  <c r="AA3498" i="15"/>
  <c r="B3498" i="15"/>
  <c r="A3498" i="15"/>
  <c r="AA3497" i="15"/>
  <c r="B3497" i="15"/>
  <c r="A3497" i="15"/>
  <c r="AA3496" i="15"/>
  <c r="B3496" i="15"/>
  <c r="A3496" i="15"/>
  <c r="B3495" i="15"/>
  <c r="A3495" i="15"/>
  <c r="AA3494" i="15"/>
  <c r="B3494" i="15"/>
  <c r="A3494" i="15"/>
  <c r="AA3493" i="15"/>
  <c r="B3493" i="15"/>
  <c r="A3493" i="15"/>
  <c r="AA3492" i="15"/>
  <c r="B3492" i="15"/>
  <c r="A3492" i="15"/>
  <c r="AA3491" i="15"/>
  <c r="B3491" i="15"/>
  <c r="A3491" i="15"/>
  <c r="AA3490" i="15"/>
  <c r="B3490" i="15"/>
  <c r="A3490" i="15"/>
  <c r="AA3489" i="15"/>
  <c r="B3489" i="15"/>
  <c r="A3489" i="15"/>
  <c r="AA3488" i="15"/>
  <c r="B3488" i="15"/>
  <c r="A3488" i="15"/>
  <c r="AA3487" i="15"/>
  <c r="B3487" i="15"/>
  <c r="A3487" i="15"/>
  <c r="V3486" i="15"/>
  <c r="A3486" i="15"/>
  <c r="V3485" i="15"/>
  <c r="A3485" i="15"/>
  <c r="AA3484" i="15"/>
  <c r="B3484" i="15"/>
  <c r="A3484" i="15"/>
  <c r="AA3483" i="15"/>
  <c r="B3483" i="15"/>
  <c r="A3483" i="15"/>
  <c r="AA3482" i="15"/>
  <c r="B3482" i="15"/>
  <c r="A3482" i="15"/>
  <c r="V3481" i="15"/>
  <c r="A3481" i="15"/>
  <c r="AA3480" i="15"/>
  <c r="B3480" i="15"/>
  <c r="A3480" i="15"/>
  <c r="AA3479" i="15"/>
  <c r="B3479" i="15"/>
  <c r="A3479" i="15"/>
  <c r="AA3478" i="15"/>
  <c r="B3478" i="15"/>
  <c r="A3478" i="15"/>
  <c r="AA3477" i="15"/>
  <c r="B3477" i="15"/>
  <c r="A3477" i="15"/>
  <c r="AA3476" i="15"/>
  <c r="B3476" i="15"/>
  <c r="A3476" i="15"/>
  <c r="AA3475" i="15"/>
  <c r="B3475" i="15"/>
  <c r="A3475" i="15"/>
  <c r="V3474" i="15"/>
  <c r="A3474" i="15"/>
  <c r="AA4057" i="15"/>
  <c r="B4057" i="15"/>
  <c r="AA4066" i="15"/>
  <c r="B4066" i="15"/>
  <c r="AA2030" i="15"/>
  <c r="B2030" i="15"/>
  <c r="AA238" i="15"/>
  <c r="B238" i="15"/>
  <c r="AA2990" i="15"/>
  <c r="B2990" i="15"/>
  <c r="Q3468" i="15"/>
  <c r="Q3467" i="15"/>
  <c r="Q3466" i="15"/>
  <c r="V3465" i="15"/>
  <c r="A3465" i="15"/>
  <c r="AA2831" i="15"/>
  <c r="B2831" i="15"/>
  <c r="A2831" i="15"/>
  <c r="AA3463" i="15"/>
  <c r="B3463" i="15"/>
  <c r="A3463" i="15"/>
  <c r="AA3462" i="15"/>
  <c r="B3462" i="15"/>
  <c r="A3462" i="15"/>
  <c r="AA3461" i="15"/>
  <c r="B3461" i="15"/>
  <c r="A3461" i="15"/>
  <c r="AA3460" i="15"/>
  <c r="B3460" i="15"/>
  <c r="A3460" i="15"/>
  <c r="AA3459" i="15"/>
  <c r="B3459" i="15"/>
  <c r="A3459" i="15"/>
  <c r="AA4795" i="15"/>
  <c r="B4795" i="15"/>
  <c r="A4795" i="15"/>
  <c r="V3457" i="15"/>
  <c r="A3457" i="15"/>
  <c r="AA3456" i="15"/>
  <c r="B3456" i="15"/>
  <c r="A3456" i="15"/>
  <c r="AA3455" i="15"/>
  <c r="B3455" i="15"/>
  <c r="A3455" i="15"/>
  <c r="AA3454" i="15"/>
  <c r="B3454" i="15"/>
  <c r="A3454" i="15"/>
  <c r="AA3453" i="15"/>
  <c r="B3453" i="15"/>
  <c r="A3453" i="15"/>
  <c r="AA3452" i="15"/>
  <c r="B3452" i="15"/>
  <c r="A3452" i="15"/>
  <c r="AA3451" i="15"/>
  <c r="B3451" i="15"/>
  <c r="A3451" i="15"/>
  <c r="AA3450" i="15"/>
  <c r="B3450" i="15"/>
  <c r="A3450" i="15"/>
  <c r="AA3449" i="15"/>
  <c r="B3449" i="15"/>
  <c r="A3449" i="15"/>
  <c r="AA3448" i="15"/>
  <c r="B3448" i="15"/>
  <c r="A3448" i="15"/>
  <c r="AA3447" i="15"/>
  <c r="B3447" i="15"/>
  <c r="A3447" i="15"/>
  <c r="AA3446" i="15"/>
  <c r="B3446" i="15"/>
  <c r="A3446" i="15"/>
  <c r="AA4696" i="15"/>
  <c r="B4696" i="15"/>
  <c r="A4696" i="15"/>
  <c r="AA3444" i="15"/>
  <c r="B3444" i="15"/>
  <c r="A3444" i="15"/>
  <c r="AA3443" i="15"/>
  <c r="B3443" i="15"/>
  <c r="A3443" i="15"/>
  <c r="AA3442" i="15"/>
  <c r="B3442" i="15"/>
  <c r="A3442" i="15"/>
  <c r="AA3441" i="15"/>
  <c r="B3441" i="15"/>
  <c r="A3441" i="15"/>
  <c r="AA3440" i="15"/>
  <c r="B3440" i="15"/>
  <c r="A3440" i="15"/>
  <c r="AA3439" i="15"/>
  <c r="B3439" i="15"/>
  <c r="A3439" i="15"/>
  <c r="AA3438" i="15"/>
  <c r="B3438" i="15"/>
  <c r="A3438" i="15"/>
  <c r="AA3437" i="15"/>
  <c r="B3437" i="15"/>
  <c r="A3437" i="15"/>
  <c r="V3436" i="15"/>
  <c r="A3436" i="15"/>
  <c r="AA3435" i="15"/>
  <c r="B3435" i="15"/>
  <c r="A3435" i="15"/>
  <c r="Q3434" i="15"/>
  <c r="AA3433" i="15"/>
  <c r="B3433" i="15"/>
  <c r="A3433" i="15"/>
  <c r="AA3432" i="15"/>
  <c r="B3432" i="15"/>
  <c r="A3432" i="15"/>
  <c r="AA3431" i="15"/>
  <c r="B3431" i="15"/>
  <c r="A3431" i="15"/>
  <c r="AA3430" i="15"/>
  <c r="B3430" i="15"/>
  <c r="A3430" i="15"/>
  <c r="V3429" i="15"/>
  <c r="A3429" i="15"/>
  <c r="AA3428" i="15"/>
  <c r="B3428" i="15"/>
  <c r="A3428" i="15"/>
  <c r="AA3427" i="15"/>
  <c r="B3427" i="15"/>
  <c r="A3427" i="15"/>
  <c r="AA3426" i="15"/>
  <c r="B3426" i="15"/>
  <c r="A3426" i="15"/>
  <c r="V3425" i="15"/>
  <c r="A3425" i="15"/>
  <c r="AA3424" i="15"/>
  <c r="B3424" i="15"/>
  <c r="A3424" i="15"/>
  <c r="AA3423" i="15"/>
  <c r="B3423" i="15"/>
  <c r="A3423" i="15"/>
  <c r="AA3422" i="15"/>
  <c r="B3422" i="15"/>
  <c r="A3422" i="15"/>
  <c r="AA3421" i="15"/>
  <c r="B3421" i="15"/>
  <c r="A3421" i="15"/>
  <c r="AA3420" i="15"/>
  <c r="B3420" i="15"/>
  <c r="A3420" i="15"/>
  <c r="AA3419" i="15"/>
  <c r="B3419" i="15"/>
  <c r="A3419" i="15"/>
  <c r="AA3418" i="15"/>
  <c r="B3418" i="15"/>
  <c r="A3418" i="15"/>
  <c r="AA3417" i="15"/>
  <c r="B3417" i="15"/>
  <c r="A3417" i="15"/>
  <c r="AA3416" i="15"/>
  <c r="B3416" i="15"/>
  <c r="A3416" i="15"/>
  <c r="AA3415" i="15"/>
  <c r="B3415" i="15"/>
  <c r="A3415" i="15"/>
  <c r="AA3414" i="15"/>
  <c r="B3414" i="15"/>
  <c r="A3414" i="15"/>
  <c r="AA3413" i="15"/>
  <c r="B3413" i="15"/>
  <c r="A3413" i="15"/>
  <c r="V3412" i="15"/>
  <c r="A3412" i="15"/>
  <c r="V3411" i="15"/>
  <c r="A3411" i="15"/>
  <c r="AA3410" i="15"/>
  <c r="B3410" i="15"/>
  <c r="A3410" i="15"/>
  <c r="AA3409" i="15"/>
  <c r="B3409" i="15"/>
  <c r="A3409" i="15"/>
  <c r="AA3408" i="15"/>
  <c r="B3408" i="15"/>
  <c r="A3408" i="15"/>
  <c r="AA3407" i="15"/>
  <c r="B3407" i="15"/>
  <c r="A3407" i="15"/>
  <c r="V3406" i="15"/>
  <c r="A3406" i="15"/>
  <c r="Q3405" i="15"/>
  <c r="V3404" i="15"/>
  <c r="A3404" i="15"/>
  <c r="Q3403" i="15"/>
  <c r="AA3402" i="15"/>
  <c r="B3402" i="15"/>
  <c r="A3402" i="15"/>
  <c r="Q3401" i="15"/>
  <c r="V3400" i="15"/>
  <c r="A3400" i="15"/>
  <c r="V3399" i="15"/>
  <c r="A3399" i="15"/>
  <c r="V3398" i="15"/>
  <c r="A3398" i="15"/>
  <c r="V3397" i="15"/>
  <c r="A3397" i="15"/>
  <c r="V3396" i="15"/>
  <c r="A3396" i="15"/>
  <c r="V3395" i="15"/>
  <c r="A3395" i="15"/>
  <c r="V3394" i="15"/>
  <c r="A3394" i="15"/>
  <c r="AA3393" i="15"/>
  <c r="B3393" i="15"/>
  <c r="A3393" i="15"/>
  <c r="AA3392" i="15"/>
  <c r="B3392" i="15"/>
  <c r="A3392" i="15"/>
  <c r="V3391" i="15"/>
  <c r="A3391" i="15"/>
  <c r="V3390" i="15"/>
  <c r="A3390" i="15"/>
  <c r="V3389" i="15"/>
  <c r="A3389" i="15"/>
  <c r="V3388" i="15"/>
  <c r="A3388" i="15"/>
  <c r="V3387" i="15"/>
  <c r="A3387" i="15"/>
  <c r="V3386" i="15"/>
  <c r="A3386" i="15"/>
  <c r="V3385" i="15"/>
  <c r="A3385" i="15"/>
  <c r="V3384" i="15"/>
  <c r="A3384" i="15"/>
  <c r="V3383" i="15"/>
  <c r="A3383" i="15"/>
  <c r="V3382" i="15"/>
  <c r="A3382" i="15"/>
  <c r="V3381" i="15"/>
  <c r="A3381" i="15"/>
  <c r="V3380" i="15"/>
  <c r="A3380" i="15"/>
  <c r="AA3379" i="15"/>
  <c r="B3379" i="15"/>
  <c r="A3379" i="15"/>
  <c r="V3378" i="15"/>
  <c r="A3378" i="15"/>
  <c r="V3377" i="15"/>
  <c r="A3377" i="15"/>
  <c r="AA3376" i="15"/>
  <c r="B3376" i="15"/>
  <c r="A3376" i="15"/>
  <c r="V3375" i="15"/>
  <c r="A3375" i="15"/>
  <c r="V3374" i="15"/>
  <c r="A3374" i="15"/>
  <c r="V3373" i="15"/>
  <c r="A3373" i="15"/>
  <c r="AA3372" i="15"/>
  <c r="B3372" i="15"/>
  <c r="A3372" i="15"/>
  <c r="AA3371" i="15"/>
  <c r="B3371" i="15"/>
  <c r="A3371" i="15"/>
  <c r="AA3370" i="15"/>
  <c r="B3370" i="15"/>
  <c r="A3370" i="15"/>
  <c r="Q3369" i="15"/>
  <c r="Q3368" i="15"/>
  <c r="Q3367" i="15"/>
  <c r="Q3366" i="15"/>
  <c r="Q3365" i="15"/>
  <c r="V3364" i="15"/>
  <c r="A3364" i="15"/>
  <c r="Q3363" i="15"/>
  <c r="Q3362" i="15"/>
  <c r="Q3361" i="15"/>
  <c r="Q3360" i="15"/>
  <c r="Q3359" i="15"/>
  <c r="Q3358" i="15"/>
  <c r="Q3357" i="15"/>
  <c r="Q3356" i="15"/>
  <c r="Q3355" i="15"/>
  <c r="Q3354" i="15"/>
  <c r="Q3353" i="15"/>
  <c r="Q3352" i="15"/>
  <c r="Q3351" i="15"/>
  <c r="Q3350" i="15"/>
  <c r="Q3349" i="15"/>
  <c r="Q3348" i="15"/>
  <c r="Q3347" i="15"/>
  <c r="Q3346" i="15"/>
  <c r="Q3345" i="15"/>
  <c r="Q3344" i="15"/>
  <c r="Q3343" i="15"/>
  <c r="Q3342" i="15"/>
  <c r="Q3341" i="15"/>
  <c r="Q3340" i="15"/>
  <c r="Q3339" i="15"/>
  <c r="Q3338" i="15"/>
  <c r="Q3337" i="15"/>
  <c r="Q3336" i="15"/>
  <c r="Q3335" i="15"/>
  <c r="Q3334" i="15"/>
  <c r="Q3333" i="15"/>
  <c r="Q3332" i="15"/>
  <c r="AA1611" i="15"/>
  <c r="B1611" i="15"/>
  <c r="A1611" i="15"/>
  <c r="AA3330" i="15"/>
  <c r="B3330" i="15"/>
  <c r="A3330" i="15"/>
  <c r="AA3329" i="15"/>
  <c r="B3329" i="15"/>
  <c r="A3329" i="15"/>
  <c r="AA3328" i="15"/>
  <c r="B3328" i="15"/>
  <c r="A3328" i="15"/>
  <c r="AA3327" i="15"/>
  <c r="B3327" i="15"/>
  <c r="A3327" i="15"/>
  <c r="AA3326" i="15"/>
  <c r="B3326" i="15"/>
  <c r="A3326" i="15"/>
  <c r="AA3325" i="15"/>
  <c r="B3325" i="15"/>
  <c r="A3325" i="15"/>
  <c r="AA3324" i="15"/>
  <c r="B3324" i="15"/>
  <c r="A3324" i="15"/>
  <c r="V3323" i="15"/>
  <c r="A3323" i="15"/>
  <c r="V3322" i="15"/>
  <c r="A3322" i="15"/>
  <c r="V3321" i="15"/>
  <c r="A3321" i="15"/>
  <c r="V3320" i="15"/>
  <c r="A3320" i="15"/>
  <c r="Q3319" i="15"/>
  <c r="V3318" i="15"/>
  <c r="A3318" i="15"/>
  <c r="AA3317" i="15"/>
  <c r="B3317" i="15"/>
  <c r="A3317" i="15"/>
  <c r="AA3316" i="15"/>
  <c r="B3316" i="15"/>
  <c r="A3316" i="15"/>
  <c r="AA3315" i="15"/>
  <c r="B3315" i="15"/>
  <c r="A3315" i="15"/>
  <c r="V3314" i="15"/>
  <c r="A3314" i="15"/>
  <c r="AA3313" i="15"/>
  <c r="B3313" i="15"/>
  <c r="A3313" i="15"/>
  <c r="AA3312" i="15"/>
  <c r="B3312" i="15"/>
  <c r="A3312" i="15"/>
  <c r="AA3311" i="15"/>
  <c r="B3311" i="15"/>
  <c r="A3311" i="15"/>
  <c r="AA3310" i="15"/>
  <c r="B3310" i="15"/>
  <c r="A3310" i="15"/>
  <c r="AA3309" i="15"/>
  <c r="B3309" i="15"/>
  <c r="A3309" i="15"/>
  <c r="AA3308" i="15"/>
  <c r="B3308" i="15"/>
  <c r="A3308" i="15"/>
  <c r="AA3307" i="15"/>
  <c r="B3307" i="15"/>
  <c r="A3307" i="15"/>
  <c r="AA3306" i="15"/>
  <c r="B3306" i="15"/>
  <c r="A3306" i="15"/>
  <c r="AA3305" i="15"/>
  <c r="B3305" i="15"/>
  <c r="A3305" i="15"/>
  <c r="AA3304" i="15"/>
  <c r="B3304" i="15"/>
  <c r="A3304" i="15"/>
  <c r="AA3303" i="15"/>
  <c r="B3303" i="15"/>
  <c r="A3303" i="15"/>
  <c r="AA3302" i="15"/>
  <c r="B3302" i="15"/>
  <c r="A3302" i="15"/>
  <c r="V3301" i="15"/>
  <c r="A3301" i="15"/>
  <c r="AA3300" i="15"/>
  <c r="B3300" i="15"/>
  <c r="A3300" i="15"/>
  <c r="AA3299" i="15"/>
  <c r="B3299" i="15"/>
  <c r="A3299" i="15"/>
  <c r="AA3298" i="15"/>
  <c r="B3298" i="15"/>
  <c r="A3298" i="15"/>
  <c r="AA3297" i="15"/>
  <c r="B3297" i="15"/>
  <c r="A3297" i="15"/>
  <c r="AA3296" i="15"/>
  <c r="B3296" i="15"/>
  <c r="A3296" i="15"/>
  <c r="V3295" i="15"/>
  <c r="A3295" i="15"/>
  <c r="AA3294" i="15"/>
  <c r="B3294" i="15"/>
  <c r="A3294" i="15"/>
  <c r="AA3293" i="15"/>
  <c r="B3293" i="15"/>
  <c r="A3293" i="15"/>
  <c r="AA3292" i="15"/>
  <c r="B3292" i="15"/>
  <c r="A3292" i="15"/>
  <c r="AA3291" i="15"/>
  <c r="B3291" i="15"/>
  <c r="A3291" i="15"/>
  <c r="AA3290" i="15"/>
  <c r="B3290" i="15"/>
  <c r="A3290" i="15"/>
  <c r="AA3289" i="15"/>
  <c r="B3289" i="15"/>
  <c r="A3289" i="15"/>
  <c r="V3288" i="15"/>
  <c r="A3288" i="15"/>
  <c r="AA3331" i="15"/>
  <c r="B3331" i="15"/>
  <c r="A3331" i="15"/>
  <c r="AA3286" i="15"/>
  <c r="B3286" i="15"/>
  <c r="A3286" i="15"/>
  <c r="AA1444" i="15"/>
  <c r="B1444" i="15"/>
  <c r="AA235" i="15"/>
  <c r="B235" i="15"/>
  <c r="AA1290" i="15"/>
  <c r="B1290" i="15"/>
  <c r="AA239" i="15"/>
  <c r="B239" i="15"/>
  <c r="AA2018" i="15"/>
  <c r="B2018" i="15"/>
  <c r="AA1454" i="15"/>
  <c r="B1454" i="15"/>
  <c r="AA581" i="15"/>
  <c r="B581" i="15"/>
  <c r="AA4789" i="15"/>
  <c r="B4789" i="15"/>
  <c r="AA4191" i="15"/>
  <c r="B4191" i="15"/>
  <c r="AA3849" i="15"/>
  <c r="B3849" i="15"/>
  <c r="AA304" i="15"/>
  <c r="B304" i="15"/>
  <c r="AA4871" i="15"/>
  <c r="B4871" i="15"/>
  <c r="A4871" i="15"/>
  <c r="V3273" i="15"/>
  <c r="A3273" i="15"/>
  <c r="AA3272" i="15"/>
  <c r="B3272" i="15"/>
  <c r="A3272" i="15"/>
  <c r="AA3271" i="15"/>
  <c r="B3271" i="15"/>
  <c r="A3271" i="15"/>
  <c r="V3270" i="15"/>
  <c r="A3270" i="15"/>
  <c r="AA3269" i="15"/>
  <c r="B3269" i="15"/>
  <c r="A3269" i="15"/>
  <c r="AA3268" i="15"/>
  <c r="B3268" i="15"/>
  <c r="A3268" i="15"/>
  <c r="AA3267" i="15"/>
  <c r="B3267" i="15"/>
  <c r="A3267" i="15"/>
  <c r="AA3470" i="15"/>
  <c r="B3470" i="15"/>
  <c r="AA3265" i="15"/>
  <c r="B3265" i="15"/>
  <c r="AA2730" i="15"/>
  <c r="B2730" i="15"/>
  <c r="AA3263" i="15"/>
  <c r="B3263" i="15"/>
  <c r="A3263" i="15"/>
  <c r="AA3262" i="15"/>
  <c r="B3262" i="15"/>
  <c r="A3262" i="15"/>
  <c r="AA3261" i="15"/>
  <c r="B3261" i="15"/>
  <c r="A3261" i="15"/>
  <c r="AA3260" i="15"/>
  <c r="B3260" i="15"/>
  <c r="A3260" i="15"/>
  <c r="AA3259" i="15"/>
  <c r="B3259" i="15"/>
  <c r="A3259" i="15"/>
  <c r="V3258" i="15"/>
  <c r="A3258" i="15"/>
  <c r="AA3257" i="15"/>
  <c r="B3257" i="15"/>
  <c r="A3257" i="15"/>
  <c r="AA3256" i="15"/>
  <c r="B3256" i="15"/>
  <c r="A3256" i="15"/>
  <c r="AA3255" i="15"/>
  <c r="B3255" i="15"/>
  <c r="A3255" i="15"/>
  <c r="AA3254" i="15"/>
  <c r="B3254" i="15"/>
  <c r="A3254" i="15"/>
  <c r="AA3253" i="15"/>
  <c r="B3253" i="15"/>
  <c r="A3253" i="15"/>
  <c r="AA3252" i="15"/>
  <c r="B3252" i="15"/>
  <c r="A3252" i="15"/>
  <c r="V3251" i="15"/>
  <c r="A3251" i="15"/>
  <c r="AA3250" i="15"/>
  <c r="B3250" i="15"/>
  <c r="A3250" i="15"/>
  <c r="AA3249" i="15"/>
  <c r="B3249" i="15"/>
  <c r="A3249" i="15"/>
  <c r="AA3248" i="15"/>
  <c r="B3248" i="15"/>
  <c r="A3248" i="15"/>
  <c r="AA3247" i="15"/>
  <c r="B3247" i="15"/>
  <c r="A3247" i="15"/>
  <c r="AA3246" i="15"/>
  <c r="B3246" i="15"/>
  <c r="A3246" i="15"/>
  <c r="AA3245" i="15"/>
  <c r="B3245" i="15"/>
  <c r="A3245" i="15"/>
  <c r="V3244" i="15"/>
  <c r="A3244" i="15"/>
  <c r="AA2016" i="15"/>
  <c r="B2016" i="15"/>
  <c r="A2016" i="15"/>
  <c r="AA3242" i="15"/>
  <c r="B3242" i="15"/>
  <c r="A3242" i="15"/>
  <c r="AA3241" i="15"/>
  <c r="B3241" i="15"/>
  <c r="A3241" i="15"/>
  <c r="AA3240" i="15"/>
  <c r="B3240" i="15"/>
  <c r="A3240" i="15"/>
  <c r="AA3239" i="15"/>
  <c r="B3239" i="15"/>
  <c r="A3239" i="15"/>
  <c r="AA3238" i="15"/>
  <c r="B3238" i="15"/>
  <c r="A3238" i="15"/>
  <c r="AA3237" i="15"/>
  <c r="B3237" i="15"/>
  <c r="A3237" i="15"/>
  <c r="AA3236" i="15"/>
  <c r="B3236" i="15"/>
  <c r="A3236" i="15"/>
  <c r="AA3235" i="15"/>
  <c r="B3235" i="15"/>
  <c r="A3235" i="15"/>
  <c r="V3234" i="15"/>
  <c r="A3234" i="15"/>
  <c r="AA3233" i="15"/>
  <c r="B3233" i="15"/>
  <c r="A3233" i="15"/>
  <c r="AA3232" i="15"/>
  <c r="B3232" i="15"/>
  <c r="A3232" i="15"/>
  <c r="AA3231" i="15"/>
  <c r="B3231" i="15"/>
  <c r="A3231" i="15"/>
  <c r="AA3230" i="15"/>
  <c r="B3230" i="15"/>
  <c r="A3230" i="15"/>
  <c r="AA3229" i="15"/>
  <c r="B3229" i="15"/>
  <c r="A3229" i="15"/>
  <c r="AA3228" i="15"/>
  <c r="B3228" i="15"/>
  <c r="A3228" i="15"/>
  <c r="AA3227" i="15"/>
  <c r="B3227" i="15"/>
  <c r="A3227" i="15"/>
  <c r="V3226" i="15"/>
  <c r="A3226" i="15"/>
  <c r="AA3225" i="15"/>
  <c r="B3225" i="15"/>
  <c r="A3225" i="15"/>
  <c r="AA3224" i="15"/>
  <c r="B3224" i="15"/>
  <c r="A3224" i="15"/>
  <c r="V3223" i="15"/>
  <c r="A3223" i="15"/>
  <c r="AA3222" i="15"/>
  <c r="B3222" i="15"/>
  <c r="A3222" i="15"/>
  <c r="V3221" i="15"/>
  <c r="A3221" i="15"/>
  <c r="AA3220" i="15"/>
  <c r="B3220" i="15"/>
  <c r="A3220" i="15"/>
  <c r="AA3219" i="15"/>
  <c r="B3219" i="15"/>
  <c r="A3219" i="15"/>
  <c r="AA3218" i="15"/>
  <c r="B3218" i="15"/>
  <c r="A3218" i="15"/>
  <c r="AA3217" i="15"/>
  <c r="B3217" i="15"/>
  <c r="A3217" i="15"/>
  <c r="AA3216" i="15"/>
  <c r="B3216" i="15"/>
  <c r="A3216" i="15"/>
  <c r="AA3215" i="15"/>
  <c r="B3215" i="15"/>
  <c r="A3215" i="15"/>
  <c r="AA3214" i="15"/>
  <c r="B3214" i="15"/>
  <c r="A3214" i="15"/>
  <c r="AA3213" i="15"/>
  <c r="B3213" i="15"/>
  <c r="A3213" i="15"/>
  <c r="AA3212" i="15"/>
  <c r="B3212" i="15"/>
  <c r="A3212" i="15"/>
  <c r="AA3211" i="15"/>
  <c r="B3211" i="15"/>
  <c r="A3211" i="15"/>
  <c r="AA3210" i="15"/>
  <c r="B3210" i="15"/>
  <c r="A3210" i="15"/>
  <c r="V3209" i="15"/>
  <c r="A3209" i="15"/>
  <c r="AA3208" i="15"/>
  <c r="B3208" i="15"/>
  <c r="A3208" i="15"/>
  <c r="AA3207" i="15"/>
  <c r="B3207" i="15"/>
  <c r="A3207" i="15"/>
  <c r="AA3206" i="15"/>
  <c r="B3206" i="15"/>
  <c r="A3206" i="15"/>
  <c r="AA3205" i="15"/>
  <c r="B3205" i="15"/>
  <c r="A3205" i="15"/>
  <c r="AA3204" i="15"/>
  <c r="B3204" i="15"/>
  <c r="A3204" i="15"/>
  <c r="AA3203" i="15"/>
  <c r="B3203" i="15"/>
  <c r="A3203" i="15"/>
  <c r="AA3202" i="15"/>
  <c r="B3202" i="15"/>
  <c r="A3202" i="15"/>
  <c r="AA3201" i="15"/>
  <c r="B3201" i="15"/>
  <c r="A3201" i="15"/>
  <c r="AA3200" i="15"/>
  <c r="B3200" i="15"/>
  <c r="A3200" i="15"/>
  <c r="AA2031" i="15"/>
  <c r="B2031" i="15"/>
  <c r="A2031" i="15"/>
  <c r="AA3198" i="15"/>
  <c r="B3198" i="15"/>
  <c r="A3198" i="15"/>
  <c r="AA3197" i="15"/>
  <c r="B3197" i="15"/>
  <c r="A3197" i="15"/>
  <c r="AA3196" i="15"/>
  <c r="B3196" i="15"/>
  <c r="A3196" i="15"/>
  <c r="AA3195" i="15"/>
  <c r="B3195" i="15"/>
  <c r="A3195" i="15"/>
  <c r="AA3194" i="15"/>
  <c r="B3194" i="15"/>
  <c r="A3194" i="15"/>
  <c r="AA3193" i="15"/>
  <c r="B3193" i="15"/>
  <c r="A3193" i="15"/>
  <c r="AA3192" i="15"/>
  <c r="B3192" i="15"/>
  <c r="A3192" i="15"/>
  <c r="AA3191" i="15"/>
  <c r="B3191" i="15"/>
  <c r="A3191" i="15"/>
  <c r="AA3190" i="15"/>
  <c r="B3190" i="15"/>
  <c r="A3190" i="15"/>
  <c r="AA3189" i="15"/>
  <c r="B3189" i="15"/>
  <c r="A3189" i="15"/>
  <c r="AA3188" i="15"/>
  <c r="B3188" i="15"/>
  <c r="A3188" i="15"/>
  <c r="V3187" i="15"/>
  <c r="A3187" i="15"/>
  <c r="AA3445" i="15"/>
  <c r="B3445" i="15"/>
  <c r="AA234" i="15"/>
  <c r="B234" i="15"/>
  <c r="AA4796" i="15"/>
  <c r="B4796" i="15"/>
  <c r="AA4656" i="15"/>
  <c r="B4656" i="15"/>
  <c r="AA3472" i="15"/>
  <c r="B3472" i="15"/>
  <c r="AA1898" i="15"/>
  <c r="B1898" i="15"/>
  <c r="AA237" i="15"/>
  <c r="B237" i="15"/>
  <c r="AA3473" i="15"/>
  <c r="B3473" i="15"/>
  <c r="AA1436" i="15"/>
  <c r="B1436" i="15"/>
  <c r="AA268" i="15"/>
  <c r="B268" i="15"/>
  <c r="AA3183" i="15"/>
  <c r="B3183" i="15"/>
  <c r="AA3175" i="15"/>
  <c r="B3175" i="15"/>
  <c r="A3175" i="15"/>
  <c r="AA3174" i="15"/>
  <c r="B3174" i="15"/>
  <c r="A3174" i="15"/>
  <c r="V3173" i="15"/>
  <c r="A3173" i="15"/>
  <c r="AA3172" i="15"/>
  <c r="B3172" i="15"/>
  <c r="A3172" i="15"/>
  <c r="AA3171" i="15"/>
  <c r="B3171" i="15"/>
  <c r="A3171" i="15"/>
  <c r="V3170" i="15"/>
  <c r="A3170" i="15"/>
  <c r="AA3169" i="15"/>
  <c r="B3169" i="15"/>
  <c r="A3169" i="15"/>
  <c r="B3168" i="15"/>
  <c r="A3168" i="15"/>
  <c r="V3167" i="15"/>
  <c r="A3167" i="15"/>
  <c r="AA3166" i="15"/>
  <c r="B3166" i="15"/>
  <c r="A3166" i="15"/>
  <c r="AA3165" i="15"/>
  <c r="B3165" i="15"/>
  <c r="A3165" i="15"/>
  <c r="AA3164" i="15"/>
  <c r="B3164" i="15"/>
  <c r="A3164" i="15"/>
  <c r="V3163" i="15"/>
  <c r="A3163" i="15"/>
  <c r="AA3162" i="15"/>
  <c r="B3162" i="15"/>
  <c r="A3162" i="15"/>
  <c r="AA3161" i="15"/>
  <c r="B3161" i="15"/>
  <c r="A3161" i="15"/>
  <c r="AA3160" i="15"/>
  <c r="B3160" i="15"/>
  <c r="A3160" i="15"/>
  <c r="V3159" i="15"/>
  <c r="A3159" i="15"/>
  <c r="AA3158" i="15"/>
  <c r="B3158" i="15"/>
  <c r="A3158" i="15"/>
  <c r="AA3157" i="15"/>
  <c r="B3157" i="15"/>
  <c r="A3157" i="15"/>
  <c r="AA3156" i="15"/>
  <c r="B3156" i="15"/>
  <c r="A3156" i="15"/>
  <c r="AA3155" i="15"/>
  <c r="B3155" i="15"/>
  <c r="A3155" i="15"/>
  <c r="AA3154" i="15"/>
  <c r="B3154" i="15"/>
  <c r="A3154" i="15"/>
  <c r="AA3153" i="15"/>
  <c r="B3153" i="15"/>
  <c r="A3153" i="15"/>
  <c r="AA3152" i="15"/>
  <c r="B3152" i="15"/>
  <c r="A3152" i="15"/>
  <c r="AA3151" i="15"/>
  <c r="B3151" i="15"/>
  <c r="A3151" i="15"/>
  <c r="AA3150" i="15"/>
  <c r="B3150" i="15"/>
  <c r="A3150" i="15"/>
  <c r="V3149" i="15"/>
  <c r="A3149" i="15"/>
  <c r="V3148" i="15"/>
  <c r="A3148" i="15"/>
  <c r="AA3147" i="15"/>
  <c r="B3147" i="15"/>
  <c r="A3147" i="15"/>
  <c r="AA3146" i="15"/>
  <c r="B3146" i="15"/>
  <c r="A3146" i="15"/>
  <c r="AA3145" i="15"/>
  <c r="B3145" i="15"/>
  <c r="A3145" i="15"/>
  <c r="AA3144" i="15"/>
  <c r="B3144" i="15"/>
  <c r="A3144" i="15"/>
  <c r="AA3143" i="15"/>
  <c r="B3143" i="15"/>
  <c r="A3143" i="15"/>
  <c r="AA3142" i="15"/>
  <c r="B3142" i="15"/>
  <c r="A3142" i="15"/>
  <c r="V3141" i="15"/>
  <c r="A3141" i="15"/>
  <c r="AA3140" i="15"/>
  <c r="B3140" i="15"/>
  <c r="A3140" i="15"/>
  <c r="AA3139" i="15"/>
  <c r="B3139" i="15"/>
  <c r="A3139" i="15"/>
  <c r="AA3138" i="15"/>
  <c r="B3138" i="15"/>
  <c r="A3138" i="15"/>
  <c r="AA3137" i="15"/>
  <c r="B3137" i="15"/>
  <c r="A3137" i="15"/>
  <c r="AA3136" i="15"/>
  <c r="B3136" i="15"/>
  <c r="A3136" i="15"/>
  <c r="AA3135" i="15"/>
  <c r="B3135" i="15"/>
  <c r="A3135" i="15"/>
  <c r="AA999" i="15"/>
  <c r="B999" i="15"/>
  <c r="A999" i="15"/>
  <c r="AA3133" i="15"/>
  <c r="B3133" i="15"/>
  <c r="A3133" i="15"/>
  <c r="AA3132" i="15"/>
  <c r="B3132" i="15"/>
  <c r="A3132" i="15"/>
  <c r="AA3131" i="15"/>
  <c r="B3131" i="15"/>
  <c r="A3131" i="15"/>
  <c r="AA3130" i="15"/>
  <c r="B3130" i="15"/>
  <c r="A3130" i="15"/>
  <c r="AA3129" i="15"/>
  <c r="B3129" i="15"/>
  <c r="A3129" i="15"/>
  <c r="AA3128" i="15"/>
  <c r="B3128" i="15"/>
  <c r="A3128" i="15"/>
  <c r="AA3127" i="15"/>
  <c r="B3127" i="15"/>
  <c r="A3127" i="15"/>
  <c r="V3126" i="15"/>
  <c r="A3126" i="15"/>
  <c r="AA3125" i="15"/>
  <c r="B3125" i="15"/>
  <c r="A3125" i="15"/>
  <c r="AA2415" i="15"/>
  <c r="B2415" i="15"/>
  <c r="A2415" i="15"/>
  <c r="AA3123" i="15"/>
  <c r="B3123" i="15"/>
  <c r="A3123" i="15"/>
  <c r="AA3122" i="15"/>
  <c r="B3122" i="15"/>
  <c r="A3122" i="15"/>
  <c r="AA3121" i="15"/>
  <c r="B3121" i="15"/>
  <c r="A3121" i="15"/>
  <c r="AA3120" i="15"/>
  <c r="B3120" i="15"/>
  <c r="A3120" i="15"/>
  <c r="AA3119" i="15"/>
  <c r="B3119" i="15"/>
  <c r="A3119" i="15"/>
  <c r="AA3118" i="15"/>
  <c r="B3118" i="15"/>
  <c r="A3118" i="15"/>
  <c r="AA3117" i="15"/>
  <c r="B3117" i="15"/>
  <c r="A3117" i="15"/>
  <c r="V3116" i="15"/>
  <c r="A3116" i="15"/>
  <c r="AA3115" i="15"/>
  <c r="B3115" i="15"/>
  <c r="A3115" i="15"/>
  <c r="AA3114" i="15"/>
  <c r="B3114" i="15"/>
  <c r="A3114" i="15"/>
  <c r="AA3113" i="15"/>
  <c r="B3113" i="15"/>
  <c r="A3113" i="15"/>
  <c r="B3112" i="15"/>
  <c r="A3112" i="15"/>
  <c r="AA3111" i="15"/>
  <c r="B3111" i="15"/>
  <c r="A3111" i="15"/>
  <c r="AA3110" i="15"/>
  <c r="B3110" i="15"/>
  <c r="A3110" i="15"/>
  <c r="V3109" i="15"/>
  <c r="A3109" i="15"/>
  <c r="AA3108" i="15"/>
  <c r="B3108" i="15"/>
  <c r="A3108" i="15"/>
  <c r="AA3107" i="15"/>
  <c r="B3107" i="15"/>
  <c r="A3107" i="15"/>
  <c r="AA3106" i="15"/>
  <c r="B3106" i="15"/>
  <c r="A3106" i="15"/>
  <c r="AA3105" i="15"/>
  <c r="B3105" i="15"/>
  <c r="A3105" i="15"/>
  <c r="AA3104" i="15"/>
  <c r="B3104" i="15"/>
  <c r="A3104" i="15"/>
  <c r="AA3103" i="15"/>
  <c r="B3103" i="15"/>
  <c r="A3103" i="15"/>
  <c r="AA3102" i="15"/>
  <c r="B3102" i="15"/>
  <c r="A3102" i="15"/>
  <c r="AA3101" i="15"/>
  <c r="B3101" i="15"/>
  <c r="A3101" i="15"/>
  <c r="AA3100" i="15"/>
  <c r="B3100" i="15"/>
  <c r="A3100" i="15"/>
  <c r="AA3099" i="15"/>
  <c r="B3099" i="15"/>
  <c r="A3099" i="15"/>
  <c r="AA3098" i="15"/>
  <c r="B3098" i="15"/>
  <c r="A3098" i="15"/>
  <c r="V3097" i="15"/>
  <c r="A3097" i="15"/>
  <c r="AA3096" i="15"/>
  <c r="B3096" i="15"/>
  <c r="A3096" i="15"/>
  <c r="AA3095" i="15"/>
  <c r="B3095" i="15"/>
  <c r="A3095" i="15"/>
  <c r="AA3094" i="15"/>
  <c r="B3094" i="15"/>
  <c r="A3094" i="15"/>
  <c r="AA3093" i="15"/>
  <c r="B3093" i="15"/>
  <c r="A3093" i="15"/>
  <c r="AA3092" i="15"/>
  <c r="B3092" i="15"/>
  <c r="A3092" i="15"/>
  <c r="AA3091" i="15"/>
  <c r="B3091" i="15"/>
  <c r="A3091" i="15"/>
  <c r="AA2631" i="15"/>
  <c r="B2631" i="15"/>
  <c r="A2631" i="15"/>
  <c r="AA3089" i="15"/>
  <c r="B3089" i="15"/>
  <c r="A3089" i="15"/>
  <c r="AA3088" i="15"/>
  <c r="B3088" i="15"/>
  <c r="A3088" i="15"/>
  <c r="AA3087" i="15"/>
  <c r="B3087" i="15"/>
  <c r="A3087" i="15"/>
  <c r="AA3086" i="15"/>
  <c r="B3086" i="15"/>
  <c r="A3086" i="15"/>
  <c r="B3085" i="15"/>
  <c r="A3085" i="15"/>
  <c r="AA3084" i="15"/>
  <c r="B3084" i="15"/>
  <c r="A3084" i="15"/>
  <c r="AA3083" i="15"/>
  <c r="B3083" i="15"/>
  <c r="A3083" i="15"/>
  <c r="AA3082" i="15"/>
  <c r="B3082" i="15"/>
  <c r="A3082" i="15"/>
  <c r="AA3081" i="15"/>
  <c r="B3081" i="15"/>
  <c r="A3081" i="15"/>
  <c r="AA3080" i="15"/>
  <c r="B3080" i="15"/>
  <c r="A3080" i="15"/>
  <c r="AA3079" i="15"/>
  <c r="B3079" i="15"/>
  <c r="A3079" i="15"/>
  <c r="V3078" i="15"/>
  <c r="A3078" i="15"/>
  <c r="V3077" i="15"/>
  <c r="A3077" i="15"/>
  <c r="B3076" i="15"/>
  <c r="A3076" i="15"/>
  <c r="V3075" i="15"/>
  <c r="A3075" i="15"/>
  <c r="V3074" i="15"/>
  <c r="A3074" i="15"/>
  <c r="AA3073" i="15"/>
  <c r="B3073" i="15"/>
  <c r="A3073" i="15"/>
  <c r="AA3072" i="15"/>
  <c r="B3072" i="15"/>
  <c r="A3072" i="15"/>
  <c r="AA3071" i="15"/>
  <c r="B3071" i="15"/>
  <c r="A3071" i="15"/>
  <c r="AA3070" i="15"/>
  <c r="B3070" i="15"/>
  <c r="A3070" i="15"/>
  <c r="AA3069" i="15"/>
  <c r="B3069" i="15"/>
  <c r="A3069" i="15"/>
  <c r="V3068" i="15"/>
  <c r="A3068" i="15"/>
  <c r="AA3067" i="15"/>
  <c r="B3067" i="15"/>
  <c r="A3067" i="15"/>
  <c r="AA3066" i="15"/>
  <c r="B3066" i="15"/>
  <c r="A3066" i="15"/>
  <c r="AA3065" i="15"/>
  <c r="B3065" i="15"/>
  <c r="A3065" i="15"/>
  <c r="AA3064" i="15"/>
  <c r="B3064" i="15"/>
  <c r="A3064" i="15"/>
  <c r="AA3063" i="15"/>
  <c r="B3063" i="15"/>
  <c r="A3063" i="15"/>
  <c r="AA3062" i="15"/>
  <c r="B3062" i="15"/>
  <c r="A3062" i="15"/>
  <c r="AA3061" i="15"/>
  <c r="B3061" i="15"/>
  <c r="A3061" i="15"/>
  <c r="AA3060" i="15"/>
  <c r="B3060" i="15"/>
  <c r="A3060" i="15"/>
  <c r="AA3059" i="15"/>
  <c r="B3059" i="15"/>
  <c r="A3059" i="15"/>
  <c r="AA3058" i="15"/>
  <c r="B3058" i="15"/>
  <c r="A3058" i="15"/>
  <c r="AA3057" i="15"/>
  <c r="B3057" i="15"/>
  <c r="A3057" i="15"/>
  <c r="AA3056" i="15"/>
  <c r="B3056" i="15"/>
  <c r="A3056" i="15"/>
  <c r="AA3055" i="15"/>
  <c r="B3055" i="15"/>
  <c r="A3055" i="15"/>
  <c r="AA3054" i="15"/>
  <c r="B3054" i="15"/>
  <c r="A3054" i="15"/>
  <c r="AA3053" i="15"/>
  <c r="B3053" i="15"/>
  <c r="A3053" i="15"/>
  <c r="AA3052" i="15"/>
  <c r="B3052" i="15"/>
  <c r="A3052" i="15"/>
  <c r="AA3051" i="15"/>
  <c r="B3051" i="15"/>
  <c r="A3051" i="15"/>
  <c r="AA3050" i="15"/>
  <c r="B3050" i="15"/>
  <c r="A3050" i="15"/>
  <c r="AA3049" i="15"/>
  <c r="B3049" i="15"/>
  <c r="A3049" i="15"/>
  <c r="AA3048" i="15"/>
  <c r="B3048" i="15"/>
  <c r="A3048" i="15"/>
  <c r="AA3047" i="15"/>
  <c r="B3047" i="15"/>
  <c r="A3047" i="15"/>
  <c r="AA3046" i="15"/>
  <c r="B3046" i="15"/>
  <c r="A3046" i="15"/>
  <c r="AA3045" i="15"/>
  <c r="B3045" i="15"/>
  <c r="A3045" i="15"/>
  <c r="AA3044" i="15"/>
  <c r="B3044" i="15"/>
  <c r="A3044" i="15"/>
  <c r="AA3043" i="15"/>
  <c r="B3043" i="15"/>
  <c r="A3043" i="15"/>
  <c r="AA88" i="15"/>
  <c r="B88" i="15"/>
  <c r="A88" i="15"/>
  <c r="AA3041" i="15"/>
  <c r="B3041" i="15"/>
  <c r="A3041" i="15"/>
  <c r="AA3040" i="15"/>
  <c r="B3040" i="15"/>
  <c r="A3040" i="15"/>
  <c r="AA3039" i="15"/>
  <c r="B3039" i="15"/>
  <c r="A3039" i="15"/>
  <c r="AA3038" i="15"/>
  <c r="B3038" i="15"/>
  <c r="A3038" i="15"/>
  <c r="AA3037" i="15"/>
  <c r="B3037" i="15"/>
  <c r="A3037" i="15"/>
  <c r="AA3036" i="15"/>
  <c r="B3036" i="15"/>
  <c r="A3036" i="15"/>
  <c r="AA3035" i="15"/>
  <c r="B3035" i="15"/>
  <c r="A3035" i="15"/>
  <c r="AA431" i="15"/>
  <c r="B431" i="15"/>
  <c r="A431" i="15"/>
  <c r="AA3033" i="15"/>
  <c r="B3033" i="15"/>
  <c r="A3033" i="15"/>
  <c r="V3032" i="15"/>
  <c r="A3032" i="15"/>
  <c r="V3031" i="15"/>
  <c r="A3031" i="15"/>
  <c r="V3030" i="15"/>
  <c r="A3030" i="15"/>
  <c r="AA3029" i="15"/>
  <c r="B3029" i="15"/>
  <c r="A3029" i="15"/>
  <c r="V3028" i="15"/>
  <c r="A3028" i="15"/>
  <c r="AA3027" i="15"/>
  <c r="B3027" i="15"/>
  <c r="A3027" i="15"/>
  <c r="AA3026" i="15"/>
  <c r="B3026" i="15"/>
  <c r="A3026" i="15"/>
  <c r="V3025" i="15"/>
  <c r="A3025" i="15"/>
  <c r="AA3024" i="15"/>
  <c r="B3024" i="15"/>
  <c r="A3024" i="15"/>
  <c r="AA3023" i="15"/>
  <c r="B3023" i="15"/>
  <c r="A3023" i="15"/>
  <c r="V3022" i="15"/>
  <c r="A3022" i="15"/>
  <c r="V3021" i="15"/>
  <c r="A3021" i="15"/>
  <c r="AA3020" i="15"/>
  <c r="B3020" i="15"/>
  <c r="A3020" i="15"/>
  <c r="V3019" i="15"/>
  <c r="A3019" i="15"/>
  <c r="AA3018" i="15"/>
  <c r="B3018" i="15"/>
  <c r="A3018" i="15"/>
  <c r="AA3017" i="15"/>
  <c r="B3017" i="15"/>
  <c r="A3017" i="15"/>
  <c r="AA3016" i="15"/>
  <c r="B3016" i="15"/>
  <c r="A3016" i="15"/>
  <c r="AA3015" i="15"/>
  <c r="B3015" i="15"/>
  <c r="A3015" i="15"/>
  <c r="V3014" i="15"/>
  <c r="A3014" i="15"/>
  <c r="V3013" i="15"/>
  <c r="A3013" i="15"/>
  <c r="AA3012" i="15"/>
  <c r="B3012" i="15"/>
  <c r="A3012" i="15"/>
  <c r="AA219" i="15"/>
  <c r="B219" i="15"/>
  <c r="A219" i="15"/>
  <c r="AA3010" i="15"/>
  <c r="B3010" i="15"/>
  <c r="A3010" i="15"/>
  <c r="AA3009" i="15"/>
  <c r="B3009" i="15"/>
  <c r="A3009" i="15"/>
  <c r="AA3008" i="15"/>
  <c r="B3008" i="15"/>
  <c r="A3008" i="15"/>
  <c r="AA3007" i="15"/>
  <c r="B3007" i="15"/>
  <c r="A3007" i="15"/>
  <c r="AA3006" i="15"/>
  <c r="B3006" i="15"/>
  <c r="A3006" i="15"/>
  <c r="AA3005" i="15"/>
  <c r="B3005" i="15"/>
  <c r="A3005" i="15"/>
  <c r="AA3004" i="15"/>
  <c r="B3004" i="15"/>
  <c r="A3004" i="15"/>
  <c r="AA3003" i="15"/>
  <c r="B3003" i="15"/>
  <c r="A3003" i="15"/>
  <c r="V3002" i="15"/>
  <c r="A3002" i="15"/>
  <c r="AA2025" i="15"/>
  <c r="B2025" i="15"/>
  <c r="A2025" i="15"/>
  <c r="AA3000" i="15"/>
  <c r="B3000" i="15"/>
  <c r="A3000" i="15"/>
  <c r="AA2999" i="15"/>
  <c r="B2999" i="15"/>
  <c r="A2999" i="15"/>
  <c r="AA2998" i="15"/>
  <c r="B2998" i="15"/>
  <c r="A2998" i="15"/>
  <c r="AA2997" i="15"/>
  <c r="B2997" i="15"/>
  <c r="A2997" i="15"/>
  <c r="AA2996" i="15"/>
  <c r="B2996" i="15"/>
  <c r="A2996" i="15"/>
  <c r="AA2995" i="15"/>
  <c r="B2995" i="15"/>
  <c r="A2995" i="15"/>
  <c r="AA2994" i="15"/>
  <c r="B2994" i="15"/>
  <c r="A2994" i="15"/>
  <c r="AA2993" i="15"/>
  <c r="B2993" i="15"/>
  <c r="A2993" i="15"/>
  <c r="AA2992" i="15"/>
  <c r="B2992" i="15"/>
  <c r="A2992" i="15"/>
  <c r="AA2991" i="15"/>
  <c r="B2991" i="15"/>
  <c r="A2991" i="15"/>
  <c r="AA3287" i="15"/>
  <c r="B3287" i="15"/>
  <c r="A3287" i="15"/>
  <c r="AA2989" i="15"/>
  <c r="B2989" i="15"/>
  <c r="A2989" i="15"/>
  <c r="AA2988" i="15"/>
  <c r="B2988" i="15"/>
  <c r="A2988" i="15"/>
  <c r="AA2987" i="15"/>
  <c r="B2987" i="15"/>
  <c r="A2987" i="15"/>
  <c r="AA2986" i="15"/>
  <c r="B2986" i="15"/>
  <c r="A2986" i="15"/>
  <c r="AA2985" i="15"/>
  <c r="B2985" i="15"/>
  <c r="A2985" i="15"/>
  <c r="AA2984" i="15"/>
  <c r="B2984" i="15"/>
  <c r="A2984" i="15"/>
  <c r="AA2983" i="15"/>
  <c r="B2983" i="15"/>
  <c r="A2983" i="15"/>
  <c r="AA2982" i="15"/>
  <c r="B2982" i="15"/>
  <c r="A2982" i="15"/>
  <c r="AA2981" i="15"/>
  <c r="B2981" i="15"/>
  <c r="A2981" i="15"/>
  <c r="AA2980" i="15"/>
  <c r="B2980" i="15"/>
  <c r="A2980" i="15"/>
  <c r="AA2979" i="15"/>
  <c r="B2979" i="15"/>
  <c r="A2979" i="15"/>
  <c r="AA2978" i="15"/>
  <c r="B2978" i="15"/>
  <c r="A2978" i="15"/>
  <c r="AA2977" i="15"/>
  <c r="B2977" i="15"/>
  <c r="A2977" i="15"/>
  <c r="AA2976" i="15"/>
  <c r="B2976" i="15"/>
  <c r="A2976" i="15"/>
  <c r="AA2975" i="15"/>
  <c r="B2975" i="15"/>
  <c r="A2975" i="15"/>
  <c r="AA2974" i="15"/>
  <c r="B2974" i="15"/>
  <c r="A2974" i="15"/>
  <c r="AA2973" i="15"/>
  <c r="B2973" i="15"/>
  <c r="A2973" i="15"/>
  <c r="AA2972" i="15"/>
  <c r="B2972" i="15"/>
  <c r="A2972" i="15"/>
  <c r="AA2971" i="15"/>
  <c r="B2971" i="15"/>
  <c r="A2971" i="15"/>
  <c r="AA2970" i="15"/>
  <c r="B2970" i="15"/>
  <c r="A2970" i="15"/>
  <c r="AA2969" i="15"/>
  <c r="B2969" i="15"/>
  <c r="A2969" i="15"/>
  <c r="AA2968" i="15"/>
  <c r="B2968" i="15"/>
  <c r="A2968" i="15"/>
  <c r="AA2967" i="15"/>
  <c r="B2967" i="15"/>
  <c r="A2967" i="15"/>
  <c r="AA2966" i="15"/>
  <c r="B2966" i="15"/>
  <c r="A2966" i="15"/>
  <c r="AA2965" i="15"/>
  <c r="B2965" i="15"/>
  <c r="A2965" i="15"/>
  <c r="AA2964" i="15"/>
  <c r="B2964" i="15"/>
  <c r="A2964" i="15"/>
  <c r="AA2963" i="15"/>
  <c r="B2963" i="15"/>
  <c r="A2963" i="15"/>
  <c r="AA2962" i="15"/>
  <c r="B2962" i="15"/>
  <c r="A2962" i="15"/>
  <c r="AA2961" i="15"/>
  <c r="B2961" i="15"/>
  <c r="A2961" i="15"/>
  <c r="AA2960" i="15"/>
  <c r="B2960" i="15"/>
  <c r="A2960" i="15"/>
  <c r="AA2959" i="15"/>
  <c r="B2959" i="15"/>
  <c r="A2959" i="15"/>
  <c r="V2958" i="15"/>
  <c r="A2958" i="15"/>
  <c r="AA2957" i="15"/>
  <c r="B2957" i="15"/>
  <c r="A2957" i="15"/>
  <c r="AA2956" i="15"/>
  <c r="B2956" i="15"/>
  <c r="A2956" i="15"/>
  <c r="AA2955" i="15"/>
  <c r="B2955" i="15"/>
  <c r="A2955" i="15"/>
  <c r="AA2954" i="15"/>
  <c r="B2954" i="15"/>
  <c r="A2954" i="15"/>
  <c r="AA2953" i="15"/>
  <c r="B2953" i="15"/>
  <c r="A2953" i="15"/>
  <c r="AA2952" i="15"/>
  <c r="B2952" i="15"/>
  <c r="A2952" i="15"/>
  <c r="AA2951" i="15"/>
  <c r="B2951" i="15"/>
  <c r="A2951" i="15"/>
  <c r="AA2950" i="15"/>
  <c r="B2950" i="15"/>
  <c r="A2950" i="15"/>
  <c r="AA2949" i="15"/>
  <c r="B2949" i="15"/>
  <c r="A2949" i="15"/>
  <c r="AA2948" i="15"/>
  <c r="B2948" i="15"/>
  <c r="A2948" i="15"/>
  <c r="AA2947" i="15"/>
  <c r="B2947" i="15"/>
  <c r="A2947" i="15"/>
  <c r="AA2946" i="15"/>
  <c r="B2946" i="15"/>
  <c r="A2946" i="15"/>
  <c r="AA2945" i="15"/>
  <c r="B2945" i="15"/>
  <c r="A2945" i="15"/>
  <c r="AA2944" i="15"/>
  <c r="B2944" i="15"/>
  <c r="A2944" i="15"/>
  <c r="AA2943" i="15"/>
  <c r="B2943" i="15"/>
  <c r="A2943" i="15"/>
  <c r="AA2942" i="15"/>
  <c r="B2942" i="15"/>
  <c r="A2942" i="15"/>
  <c r="AA2941" i="15"/>
  <c r="B2941" i="15"/>
  <c r="A2941" i="15"/>
  <c r="AA2940" i="15"/>
  <c r="B2940" i="15"/>
  <c r="A2940" i="15"/>
  <c r="AA2939" i="15"/>
  <c r="B2939" i="15"/>
  <c r="A2939" i="15"/>
  <c r="V2938" i="15"/>
  <c r="A2938" i="15"/>
  <c r="AA2937" i="15"/>
  <c r="B2937" i="15"/>
  <c r="A2937" i="15"/>
  <c r="AA2936" i="15"/>
  <c r="B2936" i="15"/>
  <c r="A2936" i="15"/>
  <c r="AA2935" i="15"/>
  <c r="B2935" i="15"/>
  <c r="A2935" i="15"/>
  <c r="V2934" i="15"/>
  <c r="A2934" i="15"/>
  <c r="AA2933" i="15"/>
  <c r="B2933" i="15"/>
  <c r="A2933" i="15"/>
  <c r="AA2932" i="15"/>
  <c r="B2932" i="15"/>
  <c r="A2932" i="15"/>
  <c r="AA2931" i="15"/>
  <c r="B2931" i="15"/>
  <c r="A2931" i="15"/>
  <c r="AA2930" i="15"/>
  <c r="B2930" i="15"/>
  <c r="A2930" i="15"/>
  <c r="AA2929" i="15"/>
  <c r="B2929" i="15"/>
  <c r="A2929" i="15"/>
  <c r="AA2928" i="15"/>
  <c r="B2928" i="15"/>
  <c r="A2928" i="15"/>
  <c r="AA2927" i="15"/>
  <c r="B2927" i="15"/>
  <c r="A2927" i="15"/>
  <c r="V2926" i="15"/>
  <c r="A2926" i="15"/>
  <c r="AA2925" i="15"/>
  <c r="B2925" i="15"/>
  <c r="A2925" i="15"/>
  <c r="AA2924" i="15"/>
  <c r="B2924" i="15"/>
  <c r="A2924" i="15"/>
  <c r="V2923" i="15"/>
  <c r="A2923" i="15"/>
  <c r="AA2922" i="15"/>
  <c r="B2922" i="15"/>
  <c r="A2922" i="15"/>
  <c r="AA2921" i="15"/>
  <c r="B2921" i="15"/>
  <c r="A2921" i="15"/>
  <c r="AA2920" i="15"/>
  <c r="B2920" i="15"/>
  <c r="A2920" i="15"/>
  <c r="AA2919" i="15"/>
  <c r="B2919" i="15"/>
  <c r="A2919" i="15"/>
  <c r="AA2918" i="15"/>
  <c r="B2918" i="15"/>
  <c r="A2918" i="15"/>
  <c r="AA2917" i="15"/>
  <c r="B2917" i="15"/>
  <c r="A2917" i="15"/>
  <c r="AA2916" i="15"/>
  <c r="B2916" i="15"/>
  <c r="A2916" i="15"/>
  <c r="AA2915" i="15"/>
  <c r="B2915" i="15"/>
  <c r="A2915" i="15"/>
  <c r="AA2914" i="15"/>
  <c r="B2914" i="15"/>
  <c r="A2914" i="15"/>
  <c r="AA2024" i="15"/>
  <c r="B2024" i="15"/>
  <c r="A2024" i="15"/>
  <c r="AA2912" i="15"/>
  <c r="B2912" i="15"/>
  <c r="A2912" i="15"/>
  <c r="AA2911" i="15"/>
  <c r="B2911" i="15"/>
  <c r="A2911" i="15"/>
  <c r="AA2910" i="15"/>
  <c r="B2910" i="15"/>
  <c r="A2910" i="15"/>
  <c r="AA2909" i="15"/>
  <c r="B2909" i="15"/>
  <c r="A2909" i="15"/>
  <c r="AA2908" i="15"/>
  <c r="B2908" i="15"/>
  <c r="A2908" i="15"/>
  <c r="AA2907" i="15"/>
  <c r="B2907" i="15"/>
  <c r="A2907" i="15"/>
  <c r="AA2906" i="15"/>
  <c r="B2906" i="15"/>
  <c r="A2906" i="15"/>
  <c r="AA2905" i="15"/>
  <c r="B2905" i="15"/>
  <c r="A2905" i="15"/>
  <c r="AA2904" i="15"/>
  <c r="B2904" i="15"/>
  <c r="A2904" i="15"/>
  <c r="AA2903" i="15"/>
  <c r="B2903" i="15"/>
  <c r="A2903" i="15"/>
  <c r="AA2902" i="15"/>
  <c r="B2902" i="15"/>
  <c r="A2902" i="15"/>
  <c r="AA2901" i="15"/>
  <c r="B2901" i="15"/>
  <c r="A2901" i="15"/>
  <c r="AA2900" i="15"/>
  <c r="B2900" i="15"/>
  <c r="A2900" i="15"/>
  <c r="AA2899" i="15"/>
  <c r="B2899" i="15"/>
  <c r="A2899" i="15"/>
  <c r="AA2913" i="15"/>
  <c r="B2913" i="15"/>
  <c r="A2913" i="15"/>
  <c r="AA2897" i="15"/>
  <c r="B2897" i="15"/>
  <c r="A2897" i="15"/>
  <c r="AA2896" i="15"/>
  <c r="B2896" i="15"/>
  <c r="A2896" i="15"/>
  <c r="AA2895" i="15"/>
  <c r="B2895" i="15"/>
  <c r="A2895" i="15"/>
  <c r="AA2894" i="15"/>
  <c r="B2894" i="15"/>
  <c r="A2894" i="15"/>
  <c r="AA2893" i="15"/>
  <c r="B2893" i="15"/>
  <c r="A2893" i="15"/>
  <c r="AA2892" i="15"/>
  <c r="B2892" i="15"/>
  <c r="A2892" i="15"/>
  <c r="AA2891" i="15"/>
  <c r="B2891" i="15"/>
  <c r="A2891" i="15"/>
  <c r="AA2890" i="15"/>
  <c r="B2890" i="15"/>
  <c r="A2890" i="15"/>
  <c r="AA2889" i="15"/>
  <c r="B2889" i="15"/>
  <c r="A2889" i="15"/>
  <c r="AA2888" i="15"/>
  <c r="B2888" i="15"/>
  <c r="A2888" i="15"/>
  <c r="AA2887" i="15"/>
  <c r="B2887" i="15"/>
  <c r="A2887" i="15"/>
  <c r="AA2886" i="15"/>
  <c r="B2886" i="15"/>
  <c r="A2886" i="15"/>
  <c r="AA2885" i="15"/>
  <c r="B2885" i="15"/>
  <c r="A2885" i="15"/>
  <c r="AA2884" i="15"/>
  <c r="B2884" i="15"/>
  <c r="A2884" i="15"/>
  <c r="AA2883" i="15"/>
  <c r="B2883" i="15"/>
  <c r="A2883" i="15"/>
  <c r="AA2882" i="15"/>
  <c r="B2882" i="15"/>
  <c r="A2882" i="15"/>
  <c r="AA2881" i="15"/>
  <c r="B2881" i="15"/>
  <c r="A2881" i="15"/>
  <c r="AA2880" i="15"/>
  <c r="B2880" i="15"/>
  <c r="A2880" i="15"/>
  <c r="AA2879" i="15"/>
  <c r="B2879" i="15"/>
  <c r="A2879" i="15"/>
  <c r="AA2878" i="15"/>
  <c r="B2878" i="15"/>
  <c r="A2878" i="15"/>
  <c r="AA2877" i="15"/>
  <c r="B2877" i="15"/>
  <c r="A2877" i="15"/>
  <c r="AA2876" i="15"/>
  <c r="B2876" i="15"/>
  <c r="A2876" i="15"/>
  <c r="AA2875" i="15"/>
  <c r="B2875" i="15"/>
  <c r="A2875" i="15"/>
  <c r="AA2874" i="15"/>
  <c r="B2874" i="15"/>
  <c r="A2874" i="15"/>
  <c r="AA2873" i="15"/>
  <c r="B2873" i="15"/>
  <c r="A2873" i="15"/>
  <c r="AA2872" i="15"/>
  <c r="B2872" i="15"/>
  <c r="A2872" i="15"/>
  <c r="AA2871" i="15"/>
  <c r="B2871" i="15"/>
  <c r="A2871" i="15"/>
  <c r="AA2870" i="15"/>
  <c r="B2870" i="15"/>
  <c r="A2870" i="15"/>
  <c r="AA2869" i="15"/>
  <c r="B2869" i="15"/>
  <c r="A2869" i="15"/>
  <c r="AA2868" i="15"/>
  <c r="B2868" i="15"/>
  <c r="A2868" i="15"/>
  <c r="AA2867" i="15"/>
  <c r="B2867" i="15"/>
  <c r="A2867" i="15"/>
  <c r="AA2866" i="15"/>
  <c r="B2866" i="15"/>
  <c r="A2866" i="15"/>
  <c r="AA2865" i="15"/>
  <c r="B2865" i="15"/>
  <c r="A2865" i="15"/>
  <c r="V2864" i="15"/>
  <c r="A2864" i="15"/>
  <c r="AA2863" i="15"/>
  <c r="B2863" i="15"/>
  <c r="A2863" i="15"/>
  <c r="AA2862" i="15"/>
  <c r="B2862" i="15"/>
  <c r="A2862" i="15"/>
  <c r="AA2861" i="15"/>
  <c r="B2861" i="15"/>
  <c r="A2861" i="15"/>
  <c r="AA2860" i="15"/>
  <c r="B2860" i="15"/>
  <c r="A2860" i="15"/>
  <c r="AA2859" i="15"/>
  <c r="B2859" i="15"/>
  <c r="A2859" i="15"/>
  <c r="AA2858" i="15"/>
  <c r="B2858" i="15"/>
  <c r="A2858" i="15"/>
  <c r="AA2857" i="15"/>
  <c r="B2857" i="15"/>
  <c r="A2857" i="15"/>
  <c r="AA2856" i="15"/>
  <c r="B2856" i="15"/>
  <c r="A2856" i="15"/>
  <c r="AA2855" i="15"/>
  <c r="B2855" i="15"/>
  <c r="A2855" i="15"/>
  <c r="AA2854" i="15"/>
  <c r="B2854" i="15"/>
  <c r="A2854" i="15"/>
  <c r="AA2853" i="15"/>
  <c r="B2853" i="15"/>
  <c r="A2853" i="15"/>
  <c r="AA2852" i="15"/>
  <c r="B2852" i="15"/>
  <c r="A2852" i="15"/>
  <c r="AA2851" i="15"/>
  <c r="B2851" i="15"/>
  <c r="A2851" i="15"/>
  <c r="AA2850" i="15"/>
  <c r="B2850" i="15"/>
  <c r="A2850" i="15"/>
  <c r="AA2849" i="15"/>
  <c r="B2849" i="15"/>
  <c r="A2849" i="15"/>
  <c r="AA2848" i="15"/>
  <c r="B2848" i="15"/>
  <c r="A2848" i="15"/>
  <c r="AA2847" i="15"/>
  <c r="B2847" i="15"/>
  <c r="A2847" i="15"/>
  <c r="AA2846" i="15"/>
  <c r="B2846" i="15"/>
  <c r="A2846" i="15"/>
  <c r="AA2845" i="15"/>
  <c r="B2845" i="15"/>
  <c r="A2845" i="15"/>
  <c r="AA2844" i="15"/>
  <c r="B2844" i="15"/>
  <c r="A2844" i="15"/>
  <c r="AA2843" i="15"/>
  <c r="B2843" i="15"/>
  <c r="A2843" i="15"/>
  <c r="V2842" i="15"/>
  <c r="A2842" i="15"/>
  <c r="V2841" i="15"/>
  <c r="A2841" i="15"/>
  <c r="V2840" i="15"/>
  <c r="A2840" i="15"/>
  <c r="V2839" i="15"/>
  <c r="A2839" i="15"/>
  <c r="AA2838" i="15"/>
  <c r="B2838" i="15"/>
  <c r="A2838" i="15"/>
  <c r="V2837" i="15"/>
  <c r="A2837" i="15"/>
  <c r="V2836" i="15"/>
  <c r="A2836" i="15"/>
  <c r="AA2835" i="15"/>
  <c r="B2835" i="15"/>
  <c r="A2835" i="15"/>
  <c r="AA2834" i="15"/>
  <c r="B2834" i="15"/>
  <c r="A2834" i="15"/>
  <c r="AA2833" i="15"/>
  <c r="B2833" i="15"/>
  <c r="A2833" i="15"/>
  <c r="AA2832" i="15"/>
  <c r="B2832" i="15"/>
  <c r="A2832" i="15"/>
  <c r="AA4463" i="15"/>
  <c r="B4463" i="15"/>
  <c r="A4463" i="15"/>
  <c r="AA2830" i="15"/>
  <c r="B2830" i="15"/>
  <c r="A2830" i="15"/>
  <c r="AA2829" i="15"/>
  <c r="B2829" i="15"/>
  <c r="A2829" i="15"/>
  <c r="AA229" i="15"/>
  <c r="B229" i="15"/>
  <c r="A229" i="15"/>
  <c r="AA2827" i="15"/>
  <c r="B2827" i="15"/>
  <c r="A2827" i="15"/>
  <c r="AA228" i="15"/>
  <c r="B228" i="15"/>
  <c r="A228" i="15"/>
  <c r="AA2825" i="15"/>
  <c r="B2825" i="15"/>
  <c r="A2825" i="15"/>
  <c r="AA2824" i="15"/>
  <c r="B2824" i="15"/>
  <c r="A2824" i="15"/>
  <c r="AA2823" i="15"/>
  <c r="B2823" i="15"/>
  <c r="A2823" i="15"/>
  <c r="AA2822" i="15"/>
  <c r="B2822" i="15"/>
  <c r="A2822" i="15"/>
  <c r="AA3185" i="15"/>
  <c r="B3185" i="15"/>
  <c r="AA2820" i="15"/>
  <c r="B2820" i="15"/>
  <c r="A2820" i="15"/>
  <c r="AA2819" i="15"/>
  <c r="B2819" i="15"/>
  <c r="A2819" i="15"/>
  <c r="AA2818" i="15"/>
  <c r="B2818" i="15"/>
  <c r="A2818" i="15"/>
  <c r="AA2817" i="15"/>
  <c r="B2817" i="15"/>
  <c r="A2817" i="15"/>
  <c r="V2816" i="15"/>
  <c r="A2816" i="15"/>
  <c r="AA2815" i="15"/>
  <c r="B2815" i="15"/>
  <c r="A2815" i="15"/>
  <c r="AA2814" i="15"/>
  <c r="B2814" i="15"/>
  <c r="A2814" i="15"/>
  <c r="AA3034" i="15"/>
  <c r="B3034" i="15"/>
  <c r="A3034" i="15"/>
  <c r="V2812" i="15"/>
  <c r="A2812" i="15"/>
  <c r="AA2257" i="15"/>
  <c r="B2257" i="15"/>
  <c r="A2257" i="15"/>
  <c r="AA2810" i="15"/>
  <c r="B2810" i="15"/>
  <c r="A2810" i="15"/>
  <c r="AA2809" i="15"/>
  <c r="B2809" i="15"/>
  <c r="A2809" i="15"/>
  <c r="AA2808" i="15"/>
  <c r="B2808" i="15"/>
  <c r="A2808" i="15"/>
  <c r="AA2807" i="15"/>
  <c r="B2807" i="15"/>
  <c r="A2807" i="15"/>
  <c r="AA2806" i="15"/>
  <c r="B2806" i="15"/>
  <c r="A2806" i="15"/>
  <c r="AA2805" i="15"/>
  <c r="B2805" i="15"/>
  <c r="A2805" i="15"/>
  <c r="AA2804" i="15"/>
  <c r="B2804" i="15"/>
  <c r="A2804" i="15"/>
  <c r="AA2803" i="15"/>
  <c r="B2803" i="15"/>
  <c r="A2803" i="15"/>
  <c r="AA2802" i="15"/>
  <c r="B2802" i="15"/>
  <c r="A2802" i="15"/>
  <c r="AA2801" i="15"/>
  <c r="B2801" i="15"/>
  <c r="A2801" i="15"/>
  <c r="AA2800" i="15"/>
  <c r="B2800" i="15"/>
  <c r="A2800" i="15"/>
  <c r="V2799" i="15"/>
  <c r="A2799" i="15"/>
  <c r="AA2798" i="15"/>
  <c r="B2798" i="15"/>
  <c r="A2798" i="15"/>
  <c r="V2797" i="15"/>
  <c r="A2797" i="15"/>
  <c r="AA2796" i="15"/>
  <c r="B2796" i="15"/>
  <c r="A2796" i="15"/>
  <c r="AA4676" i="15"/>
  <c r="B4676" i="15"/>
  <c r="A4676" i="15"/>
  <c r="AA2794" i="15"/>
  <c r="B2794" i="15"/>
  <c r="A2794" i="15"/>
  <c r="AA2793" i="15"/>
  <c r="B2793" i="15"/>
  <c r="A2793" i="15"/>
  <c r="V2792" i="15"/>
  <c r="A2792" i="15"/>
  <c r="AA2791" i="15"/>
  <c r="B2791" i="15"/>
  <c r="A2791" i="15"/>
  <c r="AA2790" i="15"/>
  <c r="B2790" i="15"/>
  <c r="A2790" i="15"/>
  <c r="AA2789" i="15"/>
  <c r="B2789" i="15"/>
  <c r="A2789" i="15"/>
  <c r="AA2788" i="15"/>
  <c r="B2788" i="15"/>
  <c r="A2788" i="15"/>
  <c r="AA2787" i="15"/>
  <c r="B2787" i="15"/>
  <c r="A2787" i="15"/>
  <c r="AA2786" i="15"/>
  <c r="B2786" i="15"/>
  <c r="A2786" i="15"/>
  <c r="AA2785" i="15"/>
  <c r="B2785" i="15"/>
  <c r="A2785" i="15"/>
  <c r="AA2784" i="15"/>
  <c r="B2784" i="15"/>
  <c r="A2784" i="15"/>
  <c r="AA2783" i="15"/>
  <c r="B2783" i="15"/>
  <c r="A2783" i="15"/>
  <c r="AA2782" i="15"/>
  <c r="B2782" i="15"/>
  <c r="A2782" i="15"/>
  <c r="AA2781" i="15"/>
  <c r="B2781" i="15"/>
  <c r="A2781" i="15"/>
  <c r="AA2076" i="15"/>
  <c r="B2076" i="15"/>
  <c r="A2076" i="15"/>
  <c r="AA2779" i="15"/>
  <c r="B2779" i="15"/>
  <c r="A2779" i="15"/>
  <c r="AA2778" i="15"/>
  <c r="B2778" i="15"/>
  <c r="A2778" i="15"/>
  <c r="V2777" i="15"/>
  <c r="A2777" i="15"/>
  <c r="AA2776" i="15"/>
  <c r="B2776" i="15"/>
  <c r="A2776" i="15"/>
  <c r="AA2775" i="15"/>
  <c r="B2775" i="15"/>
  <c r="A2775" i="15"/>
  <c r="AA2774" i="15"/>
  <c r="B2774" i="15"/>
  <c r="A2774" i="15"/>
  <c r="AA2773" i="15"/>
  <c r="B2773" i="15"/>
  <c r="A2773" i="15"/>
  <c r="AA2772" i="15"/>
  <c r="B2772" i="15"/>
  <c r="A2772" i="15"/>
  <c r="AA1126" i="15"/>
  <c r="B1126" i="15"/>
  <c r="A1126" i="15"/>
  <c r="AA2770" i="15"/>
  <c r="B2770" i="15"/>
  <c r="A2770" i="15"/>
  <c r="V2769" i="15"/>
  <c r="A2769" i="15"/>
  <c r="AA2768" i="15"/>
  <c r="B2768" i="15"/>
  <c r="A2768" i="15"/>
  <c r="AA2767" i="15"/>
  <c r="B2767" i="15"/>
  <c r="A2767" i="15"/>
  <c r="V2766" i="15"/>
  <c r="A2766" i="15"/>
  <c r="AA2765" i="15"/>
  <c r="B2765" i="15"/>
  <c r="A2765" i="15"/>
  <c r="AA2764" i="15"/>
  <c r="B2764" i="15"/>
  <c r="A2764" i="15"/>
  <c r="AA2763" i="15"/>
  <c r="B2763" i="15"/>
  <c r="A2763" i="15"/>
  <c r="AA2762" i="15"/>
  <c r="B2762" i="15"/>
  <c r="A2762" i="15"/>
  <c r="AA2761" i="15"/>
  <c r="B2761" i="15"/>
  <c r="A2761" i="15"/>
  <c r="AA2760" i="15"/>
  <c r="B2760" i="15"/>
  <c r="A2760" i="15"/>
  <c r="AA2759" i="15"/>
  <c r="B2759" i="15"/>
  <c r="A2759" i="15"/>
  <c r="AA2758" i="15"/>
  <c r="B2758" i="15"/>
  <c r="A2758" i="15"/>
  <c r="AA2757" i="15"/>
  <c r="B2757" i="15"/>
  <c r="A2757" i="15"/>
  <c r="V2756" i="15"/>
  <c r="A2756" i="15"/>
  <c r="AA2755" i="15"/>
  <c r="B2755" i="15"/>
  <c r="A2755" i="15"/>
  <c r="AA2754" i="15"/>
  <c r="B2754" i="15"/>
  <c r="A2754" i="15"/>
  <c r="AA2753" i="15"/>
  <c r="B2753" i="15"/>
  <c r="A2753" i="15"/>
  <c r="AA2752" i="15"/>
  <c r="B2752" i="15"/>
  <c r="A2752" i="15"/>
  <c r="AA2751" i="15"/>
  <c r="B2751" i="15"/>
  <c r="A2751" i="15"/>
  <c r="AA2750" i="15"/>
  <c r="B2750" i="15"/>
  <c r="A2750" i="15"/>
  <c r="AA2749" i="15"/>
  <c r="B2749" i="15"/>
  <c r="A2749" i="15"/>
  <c r="AA2748" i="15"/>
  <c r="B2748" i="15"/>
  <c r="A2748" i="15"/>
  <c r="AA2747" i="15"/>
  <c r="B2747" i="15"/>
  <c r="A2747" i="15"/>
  <c r="V2746" i="15"/>
  <c r="A2746" i="15"/>
  <c r="V2745" i="15"/>
  <c r="A2745" i="15"/>
  <c r="AA2744" i="15"/>
  <c r="B2744" i="15"/>
  <c r="A2744" i="15"/>
  <c r="AA2743" i="15"/>
  <c r="B2743" i="15"/>
  <c r="A2743" i="15"/>
  <c r="AA2742" i="15"/>
  <c r="B2742" i="15"/>
  <c r="A2742" i="15"/>
  <c r="AA2741" i="15"/>
  <c r="B2741" i="15"/>
  <c r="A2741" i="15"/>
  <c r="AA2740" i="15"/>
  <c r="B2740" i="15"/>
  <c r="A2740" i="15"/>
  <c r="AA2739" i="15"/>
  <c r="B2739" i="15"/>
  <c r="A2739" i="15"/>
  <c r="V2738" i="15"/>
  <c r="A2738" i="15"/>
  <c r="AA2737" i="15"/>
  <c r="B2737" i="15"/>
  <c r="A2737" i="15"/>
  <c r="AA2736" i="15"/>
  <c r="B2736" i="15"/>
  <c r="A2736" i="15"/>
  <c r="A2735" i="15"/>
  <c r="AA2734" i="15"/>
  <c r="B2734" i="15"/>
  <c r="A2734" i="15"/>
  <c r="AA2027" i="15"/>
  <c r="B2027" i="15"/>
  <c r="AA4657" i="15"/>
  <c r="B4657" i="15"/>
  <c r="AA4123" i="15"/>
  <c r="B4123" i="15"/>
  <c r="AA3285" i="15"/>
  <c r="B3285" i="15"/>
  <c r="AA2725" i="15"/>
  <c r="B2725" i="15"/>
  <c r="AA2724" i="15"/>
  <c r="B2724" i="15"/>
  <c r="AA1957" i="15"/>
  <c r="B1957" i="15"/>
  <c r="AA1927" i="15"/>
  <c r="B1927" i="15"/>
  <c r="AA3178" i="15"/>
  <c r="B3178" i="15"/>
  <c r="AA236" i="15"/>
  <c r="B236" i="15"/>
  <c r="AA2723" i="15"/>
  <c r="B2723" i="15"/>
  <c r="A2723" i="15"/>
  <c r="AA2722" i="15"/>
  <c r="B2722" i="15"/>
  <c r="A2722" i="15"/>
  <c r="AA2721" i="15"/>
  <c r="B2721" i="15"/>
  <c r="A2721" i="15"/>
  <c r="AA2720" i="15"/>
  <c r="B2720" i="15"/>
  <c r="A2720" i="15"/>
  <c r="AA2719" i="15"/>
  <c r="B2719" i="15"/>
  <c r="A2719" i="15"/>
  <c r="V2718" i="15"/>
  <c r="A2718" i="15"/>
  <c r="AA2717" i="15"/>
  <c r="B2717" i="15"/>
  <c r="A2717" i="15"/>
  <c r="AA2716" i="15"/>
  <c r="B2716" i="15"/>
  <c r="A2716" i="15"/>
  <c r="AA2715" i="15"/>
  <c r="B2715" i="15"/>
  <c r="A2715" i="15"/>
  <c r="AA2714" i="15"/>
  <c r="B2714" i="15"/>
  <c r="A2714" i="15"/>
  <c r="AA2713" i="15"/>
  <c r="B2713" i="15"/>
  <c r="A2713" i="15"/>
  <c r="AA4994" i="15"/>
  <c r="B4994" i="15"/>
  <c r="A4994" i="15"/>
  <c r="AA2711" i="15"/>
  <c r="B2711" i="15"/>
  <c r="A2711" i="15"/>
  <c r="B2710" i="15"/>
  <c r="A2710" i="15"/>
  <c r="AA2709" i="15"/>
  <c r="B2709" i="15"/>
  <c r="A2709" i="15"/>
  <c r="AA2708" i="15"/>
  <c r="B2708" i="15"/>
  <c r="A2708" i="15"/>
  <c r="AA2707" i="15"/>
  <c r="B2707" i="15"/>
  <c r="A2707" i="15"/>
  <c r="AA2706" i="15"/>
  <c r="B2706" i="15"/>
  <c r="A2706" i="15"/>
  <c r="AA2705" i="15"/>
  <c r="B2705" i="15"/>
  <c r="A2705" i="15"/>
  <c r="AA2704" i="15"/>
  <c r="B2704" i="15"/>
  <c r="A2704" i="15"/>
  <c r="AA2703" i="15"/>
  <c r="B2703" i="15"/>
  <c r="A2703" i="15"/>
  <c r="AA2702" i="15"/>
  <c r="B2702" i="15"/>
  <c r="A2702" i="15"/>
  <c r="AA2701" i="15"/>
  <c r="B2701" i="15"/>
  <c r="A2701" i="15"/>
  <c r="AA2700" i="15"/>
  <c r="B2700" i="15"/>
  <c r="A2700" i="15"/>
  <c r="AA2699" i="15"/>
  <c r="B2699" i="15"/>
  <c r="A2699" i="15"/>
  <c r="V2698" i="15"/>
  <c r="A2698" i="15"/>
  <c r="AA2697" i="15"/>
  <c r="B2697" i="15"/>
  <c r="A2697" i="15"/>
  <c r="AA2696" i="15"/>
  <c r="B2696" i="15"/>
  <c r="A2696" i="15"/>
  <c r="AA2695" i="15"/>
  <c r="B2695" i="15"/>
  <c r="A2695" i="15"/>
  <c r="AA2694" i="15"/>
  <c r="B2694" i="15"/>
  <c r="A2694" i="15"/>
  <c r="AA2693" i="15"/>
  <c r="B2693" i="15"/>
  <c r="A2693" i="15"/>
  <c r="AA2692" i="15"/>
  <c r="B2692" i="15"/>
  <c r="A2692" i="15"/>
  <c r="AA2691" i="15"/>
  <c r="B2691" i="15"/>
  <c r="A2691" i="15"/>
  <c r="AA2690" i="15"/>
  <c r="B2690" i="15"/>
  <c r="A2690" i="15"/>
  <c r="AA2689" i="15"/>
  <c r="B2689" i="15"/>
  <c r="A2689" i="15"/>
  <c r="V2688" i="15"/>
  <c r="A2688" i="15"/>
  <c r="AA2687" i="15"/>
  <c r="B2687" i="15"/>
  <c r="A2687" i="15"/>
  <c r="AA2686" i="15"/>
  <c r="B2686" i="15"/>
  <c r="A2686" i="15"/>
  <c r="AA2685" i="15"/>
  <c r="B2685" i="15"/>
  <c r="A2685" i="15"/>
  <c r="V2684" i="15"/>
  <c r="A2684" i="15"/>
  <c r="V2683" i="15"/>
  <c r="A2683" i="15"/>
  <c r="V2682" i="15"/>
  <c r="A2682" i="15"/>
  <c r="AA2681" i="15"/>
  <c r="B2681" i="15"/>
  <c r="A2681" i="15"/>
  <c r="AA2680" i="15"/>
  <c r="B2680" i="15"/>
  <c r="A2680" i="15"/>
  <c r="AA2679" i="15"/>
  <c r="B2679" i="15"/>
  <c r="A2679" i="15"/>
  <c r="AA2678" i="15"/>
  <c r="B2678" i="15"/>
  <c r="A2678" i="15"/>
  <c r="AA2677" i="15"/>
  <c r="B2677" i="15"/>
  <c r="A2677" i="15"/>
  <c r="AA2676" i="15"/>
  <c r="B2676" i="15"/>
  <c r="A2676" i="15"/>
  <c r="V2675" i="15"/>
  <c r="A2675" i="15"/>
  <c r="AA2674" i="15"/>
  <c r="B2674" i="15"/>
  <c r="A2674" i="15"/>
  <c r="AA2673" i="15"/>
  <c r="B2673" i="15"/>
  <c r="A2673" i="15"/>
  <c r="AA2672" i="15"/>
  <c r="B2672" i="15"/>
  <c r="A2672" i="15"/>
  <c r="AA2671" i="15"/>
  <c r="B2671" i="15"/>
  <c r="A2671" i="15"/>
  <c r="AA2670" i="15"/>
  <c r="B2670" i="15"/>
  <c r="A2670" i="15"/>
  <c r="AA2669" i="15"/>
  <c r="B2669" i="15"/>
  <c r="A2669" i="15"/>
  <c r="V2668" i="15"/>
  <c r="A2668" i="15"/>
  <c r="V2667" i="15"/>
  <c r="A2667" i="15"/>
  <c r="AA2666" i="15"/>
  <c r="B2666" i="15"/>
  <c r="A2666" i="15"/>
  <c r="AA2665" i="15"/>
  <c r="B2665" i="15"/>
  <c r="A2665" i="15"/>
  <c r="V2664" i="15"/>
  <c r="A2664" i="15"/>
  <c r="AA2663" i="15"/>
  <c r="B2663" i="15"/>
  <c r="A2663" i="15"/>
  <c r="AA2662" i="15"/>
  <c r="B2662" i="15"/>
  <c r="A2662" i="15"/>
  <c r="AA2661" i="15"/>
  <c r="B2661" i="15"/>
  <c r="A2661" i="15"/>
  <c r="AA2660" i="15"/>
  <c r="B2660" i="15"/>
  <c r="A2660" i="15"/>
  <c r="AA2659" i="15"/>
  <c r="B2659" i="15"/>
  <c r="A2659" i="15"/>
  <c r="AA2658" i="15"/>
  <c r="B2658" i="15"/>
  <c r="A2658" i="15"/>
  <c r="AA2657" i="15"/>
  <c r="B2657" i="15"/>
  <c r="A2657" i="15"/>
  <c r="AA2656" i="15"/>
  <c r="B2656" i="15"/>
  <c r="A2656" i="15"/>
  <c r="AA2655" i="15"/>
  <c r="B2655" i="15"/>
  <c r="A2655" i="15"/>
  <c r="V2654" i="15"/>
  <c r="A2654" i="15"/>
  <c r="AA2653" i="15"/>
  <c r="B2653" i="15"/>
  <c r="A2653" i="15"/>
  <c r="AA2652" i="15"/>
  <c r="B2652" i="15"/>
  <c r="A2652" i="15"/>
  <c r="AA2651" i="15"/>
  <c r="B2651" i="15"/>
  <c r="A2651" i="15"/>
  <c r="AA2650" i="15"/>
  <c r="B2650" i="15"/>
  <c r="A2650" i="15"/>
  <c r="AA2649" i="15"/>
  <c r="B2649" i="15"/>
  <c r="A2649" i="15"/>
  <c r="AA2648" i="15"/>
  <c r="B2648" i="15"/>
  <c r="A2648" i="15"/>
  <c r="AA2647" i="15"/>
  <c r="B2647" i="15"/>
  <c r="A2647" i="15"/>
  <c r="AA2646" i="15"/>
  <c r="B2646" i="15"/>
  <c r="A2646" i="15"/>
  <c r="AA2645" i="15"/>
  <c r="B2645" i="15"/>
  <c r="A2645" i="15"/>
  <c r="AA2644" i="15"/>
  <c r="B2644" i="15"/>
  <c r="A2644" i="15"/>
  <c r="AA2643" i="15"/>
  <c r="B2643" i="15"/>
  <c r="A2643" i="15"/>
  <c r="AA2642" i="15"/>
  <c r="B2642" i="15"/>
  <c r="A2642" i="15"/>
  <c r="AA2641" i="15"/>
  <c r="B2641" i="15"/>
  <c r="A2641" i="15"/>
  <c r="AA2640" i="15"/>
  <c r="B2640" i="15"/>
  <c r="A2640" i="15"/>
  <c r="AA2639" i="15"/>
  <c r="B2639" i="15"/>
  <c r="A2639" i="15"/>
  <c r="AA2638" i="15"/>
  <c r="B2638" i="15"/>
  <c r="A2638" i="15"/>
  <c r="AA2637" i="15"/>
  <c r="B2637" i="15"/>
  <c r="A2637" i="15"/>
  <c r="AA2636" i="15"/>
  <c r="B2636" i="15"/>
  <c r="A2636" i="15"/>
  <c r="V2635" i="15"/>
  <c r="A2635" i="15"/>
  <c r="V2634" i="15"/>
  <c r="A2634" i="15"/>
  <c r="V2633" i="15"/>
  <c r="A2633" i="15"/>
  <c r="AA2632" i="15"/>
  <c r="B2632" i="15"/>
  <c r="A2632" i="15"/>
  <c r="AA2728" i="15"/>
  <c r="B2728" i="15"/>
  <c r="A2728" i="15"/>
  <c r="AA2630" i="15"/>
  <c r="B2630" i="15"/>
  <c r="A2630" i="15"/>
  <c r="AA2629" i="15"/>
  <c r="B2629" i="15"/>
  <c r="A2629" i="15"/>
  <c r="AA2628" i="15"/>
  <c r="B2628" i="15"/>
  <c r="A2628" i="15"/>
  <c r="V2627" i="15"/>
  <c r="A2627" i="15"/>
  <c r="AA2626" i="15"/>
  <c r="B2626" i="15"/>
  <c r="A2626" i="15"/>
  <c r="AA2625" i="15"/>
  <c r="B2625" i="15"/>
  <c r="A2625" i="15"/>
  <c r="V2624" i="15"/>
  <c r="A2624" i="15"/>
  <c r="V2623" i="15"/>
  <c r="A2623" i="15"/>
  <c r="V2622" i="15"/>
  <c r="A2622" i="15"/>
  <c r="AA2621" i="15"/>
  <c r="B2621" i="15"/>
  <c r="A2621" i="15"/>
  <c r="AA2620" i="15"/>
  <c r="B2620" i="15"/>
  <c r="A2620" i="15"/>
  <c r="AA2619" i="15"/>
  <c r="B2619" i="15"/>
  <c r="A2619" i="15"/>
  <c r="AA2618" i="15"/>
  <c r="B2618" i="15"/>
  <c r="A2618" i="15"/>
  <c r="AA2617" i="15"/>
  <c r="B2617" i="15"/>
  <c r="A2617" i="15"/>
  <c r="AA2616" i="15"/>
  <c r="B2616" i="15"/>
  <c r="A2616" i="15"/>
  <c r="AA2615" i="15"/>
  <c r="B2615" i="15"/>
  <c r="A2615" i="15"/>
  <c r="AA2614" i="15"/>
  <c r="B2614" i="15"/>
  <c r="A2614" i="15"/>
  <c r="AA2613" i="15"/>
  <c r="B2613" i="15"/>
  <c r="A2613" i="15"/>
  <c r="AA2612" i="15"/>
  <c r="B2612" i="15"/>
  <c r="A2612" i="15"/>
  <c r="AA2611" i="15"/>
  <c r="B2611" i="15"/>
  <c r="A2611" i="15"/>
  <c r="AA2610" i="15"/>
  <c r="B2610" i="15"/>
  <c r="A2610" i="15"/>
  <c r="AA2609" i="15"/>
  <c r="B2609" i="15"/>
  <c r="A2609" i="15"/>
  <c r="AA2608" i="15"/>
  <c r="B2608" i="15"/>
  <c r="A2608" i="15"/>
  <c r="AA2607" i="15"/>
  <c r="B2607" i="15"/>
  <c r="A2607" i="15"/>
  <c r="AA2606" i="15"/>
  <c r="B2606" i="15"/>
  <c r="A2606" i="15"/>
  <c r="AA2605" i="15"/>
  <c r="B2605" i="15"/>
  <c r="A2605" i="15"/>
  <c r="AA2604" i="15"/>
  <c r="B2604" i="15"/>
  <c r="A2604" i="15"/>
  <c r="AA2603" i="15"/>
  <c r="B2603" i="15"/>
  <c r="A2603" i="15"/>
  <c r="AA2602" i="15"/>
  <c r="B2602" i="15"/>
  <c r="A2602" i="15"/>
  <c r="AA2601" i="15"/>
  <c r="B2601" i="15"/>
  <c r="A2601" i="15"/>
  <c r="AA2600" i="15"/>
  <c r="B2600" i="15"/>
  <c r="A2600" i="15"/>
  <c r="AA2599" i="15"/>
  <c r="B2599" i="15"/>
  <c r="A2599" i="15"/>
  <c r="AA2598" i="15"/>
  <c r="B2598" i="15"/>
  <c r="A2598" i="15"/>
  <c r="AA2597" i="15"/>
  <c r="B2597" i="15"/>
  <c r="A2597" i="15"/>
  <c r="AA2596" i="15"/>
  <c r="B2596" i="15"/>
  <c r="A2596" i="15"/>
  <c r="AA2595" i="15"/>
  <c r="B2595" i="15"/>
  <c r="A2595" i="15"/>
  <c r="AA2594" i="15"/>
  <c r="B2594" i="15"/>
  <c r="A2594" i="15"/>
  <c r="AA4964" i="15"/>
  <c r="B4964" i="15"/>
  <c r="A4964" i="15"/>
  <c r="AA2592" i="15"/>
  <c r="B2592" i="15"/>
  <c r="A2592" i="15"/>
  <c r="AA2591" i="15"/>
  <c r="B2591" i="15"/>
  <c r="A2591" i="15"/>
  <c r="AA2590" i="15"/>
  <c r="B2590" i="15"/>
  <c r="A2590" i="15"/>
  <c r="AA2589" i="15"/>
  <c r="B2589" i="15"/>
  <c r="A2589" i="15"/>
  <c r="AA2588" i="15"/>
  <c r="B2588" i="15"/>
  <c r="A2588" i="15"/>
  <c r="AA2587" i="15"/>
  <c r="B2587" i="15"/>
  <c r="A2587" i="15"/>
  <c r="AA2586" i="15"/>
  <c r="B2586" i="15"/>
  <c r="A2586" i="15"/>
  <c r="AA2585" i="15"/>
  <c r="B2585" i="15"/>
  <c r="A2585" i="15"/>
  <c r="AA2584" i="15"/>
  <c r="B2584" i="15"/>
  <c r="A2584" i="15"/>
  <c r="AA2583" i="15"/>
  <c r="B2583" i="15"/>
  <c r="A2583" i="15"/>
  <c r="AA2582" i="15"/>
  <c r="B2582" i="15"/>
  <c r="A2582" i="15"/>
  <c r="AA2581" i="15"/>
  <c r="B2581" i="15"/>
  <c r="A2581" i="15"/>
  <c r="AA2580" i="15"/>
  <c r="B2580" i="15"/>
  <c r="A2580" i="15"/>
  <c r="AA2579" i="15"/>
  <c r="B2579" i="15"/>
  <c r="A2579" i="15"/>
  <c r="AA2578" i="15"/>
  <c r="B2578" i="15"/>
  <c r="A2578" i="15"/>
  <c r="AA2577" i="15"/>
  <c r="B2577" i="15"/>
  <c r="A2577" i="15"/>
  <c r="AA2576" i="15"/>
  <c r="B2576" i="15"/>
  <c r="A2576" i="15"/>
  <c r="AA2575" i="15"/>
  <c r="B2575" i="15"/>
  <c r="A2575" i="15"/>
  <c r="AA2574" i="15"/>
  <c r="B2574" i="15"/>
  <c r="A2574" i="15"/>
  <c r="AA2573" i="15"/>
  <c r="B2573" i="15"/>
  <c r="A2573" i="15"/>
  <c r="AA2572" i="15"/>
  <c r="B2572" i="15"/>
  <c r="A2572" i="15"/>
  <c r="AA2571" i="15"/>
  <c r="B2571" i="15"/>
  <c r="A2571" i="15"/>
  <c r="AA2570" i="15"/>
  <c r="B2570" i="15"/>
  <c r="A2570" i="15"/>
  <c r="AA2569" i="15"/>
  <c r="B2569" i="15"/>
  <c r="A2569" i="15"/>
  <c r="AA2568" i="15"/>
  <c r="B2568" i="15"/>
  <c r="A2568" i="15"/>
  <c r="AA2567" i="15"/>
  <c r="B2567" i="15"/>
  <c r="A2567" i="15"/>
  <c r="AA2566" i="15"/>
  <c r="B2566" i="15"/>
  <c r="A2566" i="15"/>
  <c r="AA2565" i="15"/>
  <c r="B2565" i="15"/>
  <c r="A2565" i="15"/>
  <c r="AA2564" i="15"/>
  <c r="B2564" i="15"/>
  <c r="A2564" i="15"/>
  <c r="AA2563" i="15"/>
  <c r="B2563" i="15"/>
  <c r="A2563" i="15"/>
  <c r="AA2562" i="15"/>
  <c r="B2562" i="15"/>
  <c r="A2562" i="15"/>
  <c r="AA2561" i="15"/>
  <c r="B2561" i="15"/>
  <c r="A2561" i="15"/>
  <c r="AA2560" i="15"/>
  <c r="B2560" i="15"/>
  <c r="A2560" i="15"/>
  <c r="AA2559" i="15"/>
  <c r="B2559" i="15"/>
  <c r="A2559" i="15"/>
  <c r="AA2558" i="15"/>
  <c r="B2558" i="15"/>
  <c r="A2558" i="15"/>
  <c r="AA2557" i="15"/>
  <c r="B2557" i="15"/>
  <c r="A2557" i="15"/>
  <c r="AA2556" i="15"/>
  <c r="B2556" i="15"/>
  <c r="A2556" i="15"/>
  <c r="AA2555" i="15"/>
  <c r="B2555" i="15"/>
  <c r="A2555" i="15"/>
  <c r="AA2554" i="15"/>
  <c r="B2554" i="15"/>
  <c r="A2554" i="15"/>
  <c r="AA2553" i="15"/>
  <c r="B2553" i="15"/>
  <c r="A2553" i="15"/>
  <c r="AA2552" i="15"/>
  <c r="B2552" i="15"/>
  <c r="A2552" i="15"/>
  <c r="V2551" i="15"/>
  <c r="A2551" i="15"/>
  <c r="AA2550" i="15"/>
  <c r="B2550" i="15"/>
  <c r="A2550" i="15"/>
  <c r="AA2549" i="15"/>
  <c r="B2549" i="15"/>
  <c r="A2549" i="15"/>
  <c r="AA2548" i="15"/>
  <c r="B2548" i="15"/>
  <c r="A2548" i="15"/>
  <c r="AA2547" i="15"/>
  <c r="B2547" i="15"/>
  <c r="A2547" i="15"/>
  <c r="AA2546" i="15"/>
  <c r="B2546" i="15"/>
  <c r="A2546" i="15"/>
  <c r="AA2545" i="15"/>
  <c r="B2545" i="15"/>
  <c r="A2545" i="15"/>
  <c r="AA2544" i="15"/>
  <c r="B2544" i="15"/>
  <c r="A2544" i="15"/>
  <c r="AA2543" i="15"/>
  <c r="B2543" i="15"/>
  <c r="A2543" i="15"/>
  <c r="AA2542" i="15"/>
  <c r="B2542" i="15"/>
  <c r="A2542" i="15"/>
  <c r="AA2541" i="15"/>
  <c r="B2541" i="15"/>
  <c r="A2541" i="15"/>
  <c r="AA2540" i="15"/>
  <c r="B2540" i="15"/>
  <c r="A2540" i="15"/>
  <c r="AA2539" i="15"/>
  <c r="B2539" i="15"/>
  <c r="A2539" i="15"/>
  <c r="AA2538" i="15"/>
  <c r="B2538" i="15"/>
  <c r="A2538" i="15"/>
  <c r="AA2537" i="15"/>
  <c r="B2537" i="15"/>
  <c r="A2537" i="15"/>
  <c r="AA2536" i="15"/>
  <c r="B2536" i="15"/>
  <c r="A2536" i="15"/>
  <c r="AA2535" i="15"/>
  <c r="B2535" i="15"/>
  <c r="A2535" i="15"/>
  <c r="AA2534" i="15"/>
  <c r="B2534" i="15"/>
  <c r="A2534" i="15"/>
  <c r="AA2533" i="15"/>
  <c r="B2533" i="15"/>
  <c r="A2533" i="15"/>
  <c r="AA2532" i="15"/>
  <c r="B2532" i="15"/>
  <c r="A2532" i="15"/>
  <c r="AA2531" i="15"/>
  <c r="B2531" i="15"/>
  <c r="A2531" i="15"/>
  <c r="AA2530" i="15"/>
  <c r="B2530" i="15"/>
  <c r="A2530" i="15"/>
  <c r="AA2529" i="15"/>
  <c r="B2529" i="15"/>
  <c r="A2529" i="15"/>
  <c r="AA2528" i="15"/>
  <c r="B2528" i="15"/>
  <c r="A2528" i="15"/>
  <c r="AA2527" i="15"/>
  <c r="B2527" i="15"/>
  <c r="A2527" i="15"/>
  <c r="AA2526" i="15"/>
  <c r="B2526" i="15"/>
  <c r="A2526" i="15"/>
  <c r="AA2525" i="15"/>
  <c r="B2525" i="15"/>
  <c r="A2525" i="15"/>
  <c r="AA2524" i="15"/>
  <c r="B2524" i="15"/>
  <c r="A2524" i="15"/>
  <c r="AA2523" i="15"/>
  <c r="B2523" i="15"/>
  <c r="A2523" i="15"/>
  <c r="V2522" i="15"/>
  <c r="A2522" i="15"/>
  <c r="AA2521" i="15"/>
  <c r="B2521" i="15"/>
  <c r="A2521" i="15"/>
  <c r="AA2520" i="15"/>
  <c r="B2520" i="15"/>
  <c r="A2520" i="15"/>
  <c r="AA2519" i="15"/>
  <c r="B2519" i="15"/>
  <c r="A2519" i="15"/>
  <c r="AA2518" i="15"/>
  <c r="B2518" i="15"/>
  <c r="A2518" i="15"/>
  <c r="AA2517" i="15"/>
  <c r="B2517" i="15"/>
  <c r="A2517" i="15"/>
  <c r="AA2516" i="15"/>
  <c r="B2516" i="15"/>
  <c r="A2516" i="15"/>
  <c r="AA2515" i="15"/>
  <c r="B2515" i="15"/>
  <c r="A2515" i="15"/>
  <c r="AA2514" i="15"/>
  <c r="B2514" i="15"/>
  <c r="A2514" i="15"/>
  <c r="AA2513" i="15"/>
  <c r="B2513" i="15"/>
  <c r="A2513" i="15"/>
  <c r="AA2512" i="15"/>
  <c r="B2512" i="15"/>
  <c r="A2512" i="15"/>
  <c r="AA2511" i="15"/>
  <c r="B2511" i="15"/>
  <c r="A2511" i="15"/>
  <c r="AA2510" i="15"/>
  <c r="B2510" i="15"/>
  <c r="A2510" i="15"/>
  <c r="AA2509" i="15"/>
  <c r="B2509" i="15"/>
  <c r="A2509" i="15"/>
  <c r="V2508" i="15"/>
  <c r="A2508" i="15"/>
  <c r="AA2507" i="15"/>
  <c r="B2507" i="15"/>
  <c r="A2507" i="15"/>
  <c r="V2506" i="15"/>
  <c r="A2506" i="15"/>
  <c r="AA259" i="15"/>
  <c r="B259" i="15"/>
  <c r="A259" i="15"/>
  <c r="V2504" i="15"/>
  <c r="A2504" i="15"/>
  <c r="AA2503" i="15"/>
  <c r="B2503" i="15"/>
  <c r="A2503" i="15"/>
  <c r="AA2502" i="15"/>
  <c r="B2502" i="15"/>
  <c r="A2502" i="15"/>
  <c r="AA2501" i="15"/>
  <c r="B2501" i="15"/>
  <c r="A2501" i="15"/>
  <c r="AA2500" i="15"/>
  <c r="B2500" i="15"/>
  <c r="A2500" i="15"/>
  <c r="AA2499" i="15"/>
  <c r="B2499" i="15"/>
  <c r="A2499" i="15"/>
  <c r="AA2498" i="15"/>
  <c r="B2498" i="15"/>
  <c r="A2498" i="15"/>
  <c r="AA2497" i="15"/>
  <c r="B2497" i="15"/>
  <c r="A2497" i="15"/>
  <c r="AA2496" i="15"/>
  <c r="B2496" i="15"/>
  <c r="A2496" i="15"/>
  <c r="AA2495" i="15"/>
  <c r="B2495" i="15"/>
  <c r="A2495" i="15"/>
  <c r="AA2494" i="15"/>
  <c r="B2494" i="15"/>
  <c r="A2494" i="15"/>
  <c r="AA224" i="15"/>
  <c r="B224" i="15"/>
  <c r="A224" i="15"/>
  <c r="AA2492" i="15"/>
  <c r="B2492" i="15"/>
  <c r="A2492" i="15"/>
  <c r="AA2491" i="15"/>
  <c r="B2491" i="15"/>
  <c r="A2491" i="15"/>
  <c r="AA2490" i="15"/>
  <c r="B2490" i="15"/>
  <c r="A2490" i="15"/>
  <c r="AA2489" i="15"/>
  <c r="B2489" i="15"/>
  <c r="A2489" i="15"/>
  <c r="V2488" i="15"/>
  <c r="A2488" i="15"/>
  <c r="AA2487" i="15"/>
  <c r="B2487" i="15"/>
  <c r="A2487" i="15"/>
  <c r="V2486" i="15"/>
  <c r="A2486" i="15"/>
  <c r="V2485" i="15"/>
  <c r="A2485" i="15"/>
  <c r="AA2484" i="15"/>
  <c r="B2484" i="15"/>
  <c r="A2484" i="15"/>
  <c r="V2483" i="15"/>
  <c r="A2483" i="15"/>
  <c r="V2482" i="15"/>
  <c r="A2482" i="15"/>
  <c r="AA2481" i="15"/>
  <c r="B2481" i="15"/>
  <c r="A2481" i="15"/>
  <c r="AA2480" i="15"/>
  <c r="B2480" i="15"/>
  <c r="A2480" i="15"/>
  <c r="AA2479" i="15"/>
  <c r="B2479" i="15"/>
  <c r="A2479" i="15"/>
  <c r="V2478" i="15"/>
  <c r="A2478" i="15"/>
  <c r="AA2477" i="15"/>
  <c r="B2477" i="15"/>
  <c r="A2477" i="15"/>
  <c r="AA2476" i="15"/>
  <c r="B2476" i="15"/>
  <c r="A2476" i="15"/>
  <c r="AA2475" i="15"/>
  <c r="B2475" i="15"/>
  <c r="A2475" i="15"/>
  <c r="AA2474" i="15"/>
  <c r="B2474" i="15"/>
  <c r="A2474" i="15"/>
  <c r="AA2473" i="15"/>
  <c r="B2473" i="15"/>
  <c r="A2473" i="15"/>
  <c r="AA2472" i="15"/>
  <c r="B2472" i="15"/>
  <c r="A2472" i="15"/>
  <c r="AA2471" i="15"/>
  <c r="B2471" i="15"/>
  <c r="A2471" i="15"/>
  <c r="AA2470" i="15"/>
  <c r="B2470" i="15"/>
  <c r="A2470" i="15"/>
  <c r="AA2469" i="15"/>
  <c r="B2469" i="15"/>
  <c r="A2469" i="15"/>
  <c r="V2468" i="15"/>
  <c r="A2468" i="15"/>
  <c r="AA2467" i="15"/>
  <c r="B2467" i="15"/>
  <c r="A2467" i="15"/>
  <c r="AA2466" i="15"/>
  <c r="B2466" i="15"/>
  <c r="A2466" i="15"/>
  <c r="AA2465" i="15"/>
  <c r="B2465" i="15"/>
  <c r="A2465" i="15"/>
  <c r="AA2464" i="15"/>
  <c r="B2464" i="15"/>
  <c r="A2464" i="15"/>
  <c r="AA2463" i="15"/>
  <c r="B2463" i="15"/>
  <c r="A2463" i="15"/>
  <c r="AA2462" i="15"/>
  <c r="B2462" i="15"/>
  <c r="A2462" i="15"/>
  <c r="V2461" i="15"/>
  <c r="A2461" i="15"/>
  <c r="AA2460" i="15"/>
  <c r="B2460" i="15"/>
  <c r="A2460" i="15"/>
  <c r="AA2459" i="15"/>
  <c r="B2459" i="15"/>
  <c r="A2459" i="15"/>
  <c r="AA2458" i="15"/>
  <c r="B2458" i="15"/>
  <c r="A2458" i="15"/>
  <c r="AA2457" i="15"/>
  <c r="B2457" i="15"/>
  <c r="A2457" i="15"/>
  <c r="AA2456" i="15"/>
  <c r="B2456" i="15"/>
  <c r="A2456" i="15"/>
  <c r="AA2455" i="15"/>
  <c r="B2455" i="15"/>
  <c r="A2455" i="15"/>
  <c r="B2454" i="15"/>
  <c r="A2454" i="15"/>
  <c r="AA2453" i="15"/>
  <c r="B2453" i="15"/>
  <c r="A2453" i="15"/>
  <c r="AA2452" i="15"/>
  <c r="B2452" i="15"/>
  <c r="A2452" i="15"/>
  <c r="AA2451" i="15"/>
  <c r="B2451" i="15"/>
  <c r="A2451" i="15"/>
  <c r="AA2450" i="15"/>
  <c r="B2450" i="15"/>
  <c r="A2450" i="15"/>
  <c r="AA2449" i="15"/>
  <c r="B2449" i="15"/>
  <c r="A2449" i="15"/>
  <c r="V2448" i="15"/>
  <c r="A2448" i="15"/>
  <c r="AA2447" i="15"/>
  <c r="B2447" i="15"/>
  <c r="A2447" i="15"/>
  <c r="AA2446" i="15"/>
  <c r="B2446" i="15"/>
  <c r="A2446" i="15"/>
  <c r="V2445" i="15"/>
  <c r="A2445" i="15"/>
  <c r="AA2444" i="15"/>
  <c r="B2444" i="15"/>
  <c r="A2444" i="15"/>
  <c r="AA2443" i="15"/>
  <c r="B2443" i="15"/>
  <c r="A2443" i="15"/>
  <c r="AA2442" i="15"/>
  <c r="B2442" i="15"/>
  <c r="A2442" i="15"/>
  <c r="AA2441" i="15"/>
  <c r="B2441" i="15"/>
  <c r="A2441" i="15"/>
  <c r="AA2440" i="15"/>
  <c r="B2440" i="15"/>
  <c r="A2440" i="15"/>
  <c r="AA2439" i="15"/>
  <c r="B2439" i="15"/>
  <c r="A2439" i="15"/>
  <c r="AA2438" i="15"/>
  <c r="B2438" i="15"/>
  <c r="A2438" i="15"/>
  <c r="AA2437" i="15"/>
  <c r="B2437" i="15"/>
  <c r="A2437" i="15"/>
  <c r="AA2436" i="15"/>
  <c r="B2436" i="15"/>
  <c r="A2436" i="15"/>
  <c r="AA2435" i="15"/>
  <c r="B2435" i="15"/>
  <c r="A2435" i="15"/>
  <c r="AA2434" i="15"/>
  <c r="B2434" i="15"/>
  <c r="A2434" i="15"/>
  <c r="AA2433" i="15"/>
  <c r="B2433" i="15"/>
  <c r="A2433" i="15"/>
  <c r="AA2432" i="15"/>
  <c r="B2432" i="15"/>
  <c r="A2432" i="15"/>
  <c r="AA2431" i="15"/>
  <c r="B2431" i="15"/>
  <c r="A2431" i="15"/>
  <c r="AA2430" i="15"/>
  <c r="B2430" i="15"/>
  <c r="A2430" i="15"/>
  <c r="AA2429" i="15"/>
  <c r="B2429" i="15"/>
  <c r="A2429" i="15"/>
  <c r="AA2428" i="15"/>
  <c r="B2428" i="15"/>
  <c r="A2428" i="15"/>
  <c r="AA836" i="15"/>
  <c r="B836" i="15"/>
  <c r="A836" i="15"/>
  <c r="AA2426" i="15"/>
  <c r="B2426" i="15"/>
  <c r="A2426" i="15"/>
  <c r="AA2425" i="15"/>
  <c r="B2425" i="15"/>
  <c r="A2425" i="15"/>
  <c r="AA2424" i="15"/>
  <c r="B2424" i="15"/>
  <c r="A2424" i="15"/>
  <c r="AA2423" i="15"/>
  <c r="B2423" i="15"/>
  <c r="A2423" i="15"/>
  <c r="AA1635" i="15"/>
  <c r="B1635" i="15"/>
  <c r="A1635" i="15"/>
  <c r="AA2421" i="15"/>
  <c r="B2421" i="15"/>
  <c r="A2421" i="15"/>
  <c r="AA2420" i="15"/>
  <c r="B2420" i="15"/>
  <c r="A2420" i="15"/>
  <c r="AA2419" i="15"/>
  <c r="B2419" i="15"/>
  <c r="A2419" i="15"/>
  <c r="AA2418" i="15"/>
  <c r="B2418" i="15"/>
  <c r="A2418" i="15"/>
  <c r="AA2417" i="15"/>
  <c r="B2417" i="15"/>
  <c r="A2417" i="15"/>
  <c r="AA2416" i="15"/>
  <c r="B2416" i="15"/>
  <c r="A2416" i="15"/>
  <c r="AA1794" i="15"/>
  <c r="B1794" i="15"/>
  <c r="A1794" i="15"/>
  <c r="AA2414" i="15"/>
  <c r="B2414" i="15"/>
  <c r="A2414" i="15"/>
  <c r="AA2413" i="15"/>
  <c r="B2413" i="15"/>
  <c r="A2413" i="15"/>
  <c r="AA2412" i="15"/>
  <c r="B2412" i="15"/>
  <c r="A2412" i="15"/>
  <c r="AA2411" i="15"/>
  <c r="B2411" i="15"/>
  <c r="A2411" i="15"/>
  <c r="AA2410" i="15"/>
  <c r="B2410" i="15"/>
  <c r="A2410" i="15"/>
  <c r="AA2409" i="15"/>
  <c r="B2409" i="15"/>
  <c r="A2409" i="15"/>
  <c r="V2408" i="15"/>
  <c r="A2408" i="15"/>
  <c r="AA2407" i="15"/>
  <c r="B2407" i="15"/>
  <c r="A2407" i="15"/>
  <c r="AA2406" i="15"/>
  <c r="B2406" i="15"/>
  <c r="A2406" i="15"/>
  <c r="AA2405" i="15"/>
  <c r="B2405" i="15"/>
  <c r="A2405" i="15"/>
  <c r="V2404" i="15"/>
  <c r="A2404" i="15"/>
  <c r="AA2403" i="15"/>
  <c r="B2403" i="15"/>
  <c r="A2403" i="15"/>
  <c r="AA2402" i="15"/>
  <c r="B2402" i="15"/>
  <c r="A2402" i="15"/>
  <c r="AA2401" i="15"/>
  <c r="B2401" i="15"/>
  <c r="A2401" i="15"/>
  <c r="AA2400" i="15"/>
  <c r="B2400" i="15"/>
  <c r="A2400" i="15"/>
  <c r="AA2399" i="15"/>
  <c r="B2399" i="15"/>
  <c r="A2399" i="15"/>
  <c r="AA2398" i="15"/>
  <c r="B2398" i="15"/>
  <c r="A2398" i="15"/>
  <c r="AA2397" i="15"/>
  <c r="B2397" i="15"/>
  <c r="A2397" i="15"/>
  <c r="AA2396" i="15"/>
  <c r="B2396" i="15"/>
  <c r="A2396" i="15"/>
  <c r="AA2395" i="15"/>
  <c r="B2395" i="15"/>
  <c r="A2395" i="15"/>
  <c r="AA2394" i="15"/>
  <c r="B2394" i="15"/>
  <c r="A2394" i="15"/>
  <c r="AA2393" i="15"/>
  <c r="B2393" i="15"/>
  <c r="A2393" i="15"/>
  <c r="AA2392" i="15"/>
  <c r="B2392" i="15"/>
  <c r="A2392" i="15"/>
  <c r="AA2391" i="15"/>
  <c r="B2391" i="15"/>
  <c r="A2391" i="15"/>
  <c r="AA2390" i="15"/>
  <c r="B2390" i="15"/>
  <c r="A2390" i="15"/>
  <c r="AA2389" i="15"/>
  <c r="B2389" i="15"/>
  <c r="A2389" i="15"/>
  <c r="AA2388" i="15"/>
  <c r="B2388" i="15"/>
  <c r="A2388" i="15"/>
  <c r="B2387" i="15"/>
  <c r="A2387" i="15"/>
  <c r="AA2386" i="15"/>
  <c r="B2386" i="15"/>
  <c r="A2386" i="15"/>
  <c r="AA2385" i="15"/>
  <c r="B2385" i="15"/>
  <c r="A2385" i="15"/>
  <c r="AA2384" i="15"/>
  <c r="B2384" i="15"/>
  <c r="A2384" i="15"/>
  <c r="AA2383" i="15"/>
  <c r="B2383" i="15"/>
  <c r="A2383" i="15"/>
  <c r="AA2382" i="15"/>
  <c r="B2382" i="15"/>
  <c r="A2382" i="15"/>
  <c r="AA2381" i="15"/>
  <c r="B2381" i="15"/>
  <c r="A2381" i="15"/>
  <c r="AA2380" i="15"/>
  <c r="B2380" i="15"/>
  <c r="A2380" i="15"/>
  <c r="AA2379" i="15"/>
  <c r="B2379" i="15"/>
  <c r="A2379" i="15"/>
  <c r="AA2378" i="15"/>
  <c r="B2378" i="15"/>
  <c r="A2378" i="15"/>
  <c r="AA2377" i="15"/>
  <c r="B2377" i="15"/>
  <c r="A2377" i="15"/>
  <c r="AA2376" i="15"/>
  <c r="B2376" i="15"/>
  <c r="A2376" i="15"/>
  <c r="AA2375" i="15"/>
  <c r="B2375" i="15"/>
  <c r="A2375" i="15"/>
  <c r="AA2374" i="15"/>
  <c r="B2374" i="15"/>
  <c r="A2374" i="15"/>
  <c r="V2373" i="15"/>
  <c r="A2373" i="15"/>
  <c r="AA2372" i="15"/>
  <c r="B2372" i="15"/>
  <c r="A2372" i="15"/>
  <c r="AA2371" i="15"/>
  <c r="B2371" i="15"/>
  <c r="A2371" i="15"/>
  <c r="AA2370" i="15"/>
  <c r="B2370" i="15"/>
  <c r="A2370" i="15"/>
  <c r="AA2369" i="15"/>
  <c r="B2369" i="15"/>
  <c r="A2369" i="15"/>
  <c r="AA2368" i="15"/>
  <c r="B2368" i="15"/>
  <c r="A2368" i="15"/>
  <c r="AA4660" i="15"/>
  <c r="B4660" i="15"/>
  <c r="A4660" i="15"/>
  <c r="AA2366" i="15"/>
  <c r="B2366" i="15"/>
  <c r="A2366" i="15"/>
  <c r="AA2365" i="15"/>
  <c r="B2365" i="15"/>
  <c r="A2365" i="15"/>
  <c r="AA2364" i="15"/>
  <c r="B2364" i="15"/>
  <c r="A2364" i="15"/>
  <c r="V2363" i="15"/>
  <c r="A2363" i="15"/>
  <c r="AA2362" i="15"/>
  <c r="B2362" i="15"/>
  <c r="A2362" i="15"/>
  <c r="AA2361" i="15"/>
  <c r="B2361" i="15"/>
  <c r="A2361" i="15"/>
  <c r="V2360" i="15"/>
  <c r="A2360" i="15"/>
  <c r="AA2359" i="15"/>
  <c r="B2359" i="15"/>
  <c r="A2359" i="15"/>
  <c r="AA2358" i="15"/>
  <c r="B2358" i="15"/>
  <c r="A2358" i="15"/>
  <c r="AA2357" i="15"/>
  <c r="B2357" i="15"/>
  <c r="A2357" i="15"/>
  <c r="V2356" i="15"/>
  <c r="A2356" i="15"/>
  <c r="AA2355" i="15"/>
  <c r="B2355" i="15"/>
  <c r="A2355" i="15"/>
  <c r="AA2354" i="15"/>
  <c r="B2354" i="15"/>
  <c r="A2354" i="15"/>
  <c r="AA2353" i="15"/>
  <c r="B2353" i="15"/>
  <c r="A2353" i="15"/>
  <c r="AA2352" i="15"/>
  <c r="B2352" i="15"/>
  <c r="A2352" i="15"/>
  <c r="AA2351" i="15"/>
  <c r="B2351" i="15"/>
  <c r="A2351" i="15"/>
  <c r="AA2350" i="15"/>
  <c r="B2350" i="15"/>
  <c r="A2350" i="15"/>
  <c r="AA2349" i="15"/>
  <c r="B2349" i="15"/>
  <c r="A2349" i="15"/>
  <c r="AA2348" i="15"/>
  <c r="B2348" i="15"/>
  <c r="A2348" i="15"/>
  <c r="AA2347" i="15"/>
  <c r="B2347" i="15"/>
  <c r="A2347" i="15"/>
  <c r="AA2346" i="15"/>
  <c r="B2346" i="15"/>
  <c r="A2346" i="15"/>
  <c r="AA2345" i="15"/>
  <c r="B2345" i="15"/>
  <c r="A2345" i="15"/>
  <c r="AA2344" i="15"/>
  <c r="B2344" i="15"/>
  <c r="A2344" i="15"/>
  <c r="AA2343" i="15"/>
  <c r="B2343" i="15"/>
  <c r="A2343" i="15"/>
  <c r="AA2342" i="15"/>
  <c r="B2342" i="15"/>
  <c r="A2342" i="15"/>
  <c r="AA2341" i="15"/>
  <c r="B2341" i="15"/>
  <c r="A2341" i="15"/>
  <c r="AA2340" i="15"/>
  <c r="B2340" i="15"/>
  <c r="A2340" i="15"/>
  <c r="AA2339" i="15"/>
  <c r="B2339" i="15"/>
  <c r="A2339" i="15"/>
  <c r="AA2338" i="15"/>
  <c r="B2338" i="15"/>
  <c r="A2338" i="15"/>
  <c r="V2337" i="15"/>
  <c r="A2337" i="15"/>
  <c r="AA2336" i="15"/>
  <c r="B2336" i="15"/>
  <c r="A2336" i="15"/>
  <c r="V2335" i="15"/>
  <c r="A2335" i="15"/>
  <c r="V2334" i="15"/>
  <c r="A2334" i="15"/>
  <c r="AA2333" i="15"/>
  <c r="B2333" i="15"/>
  <c r="A2333" i="15"/>
  <c r="AA2332" i="15"/>
  <c r="B2332" i="15"/>
  <c r="A2332" i="15"/>
  <c r="AA2331" i="15"/>
  <c r="B2331" i="15"/>
  <c r="A2331" i="15"/>
  <c r="V2330" i="15"/>
  <c r="A2330" i="15"/>
  <c r="V2329" i="15"/>
  <c r="A2329" i="15"/>
  <c r="V2328" i="15"/>
  <c r="A2328" i="15"/>
  <c r="AA2327" i="15"/>
  <c r="B2327" i="15"/>
  <c r="A2327" i="15"/>
  <c r="AA2326" i="15"/>
  <c r="B2326" i="15"/>
  <c r="A2326" i="15"/>
  <c r="AA2325" i="15"/>
  <c r="B2325" i="15"/>
  <c r="A2325" i="15"/>
  <c r="AA2324" i="15"/>
  <c r="B2324" i="15"/>
  <c r="A2324" i="15"/>
  <c r="AA2323" i="15"/>
  <c r="B2323" i="15"/>
  <c r="A2323" i="15"/>
  <c r="V2322" i="15"/>
  <c r="A2322" i="15"/>
  <c r="V2321" i="15"/>
  <c r="A2321" i="15"/>
  <c r="AA2320" i="15"/>
  <c r="B2320" i="15"/>
  <c r="A2320" i="15"/>
  <c r="AA2319" i="15"/>
  <c r="B2319" i="15"/>
  <c r="A2319" i="15"/>
  <c r="AA2318" i="15"/>
  <c r="B2318" i="15"/>
  <c r="A2318" i="15"/>
  <c r="AA2317" i="15"/>
  <c r="B2317" i="15"/>
  <c r="A2317" i="15"/>
  <c r="AA3090" i="15"/>
  <c r="B3090" i="15"/>
  <c r="A3090" i="15"/>
  <c r="AA2315" i="15"/>
  <c r="B2315" i="15"/>
  <c r="A2315" i="15"/>
  <c r="AA2314" i="15"/>
  <c r="B2314" i="15"/>
  <c r="A2314" i="15"/>
  <c r="AA2313" i="15"/>
  <c r="B2313" i="15"/>
  <c r="A2313" i="15"/>
  <c r="AA2312" i="15"/>
  <c r="B2312" i="15"/>
  <c r="A2312" i="15"/>
  <c r="AA2311" i="15"/>
  <c r="B2311" i="15"/>
  <c r="A2311" i="15"/>
  <c r="AA2283" i="15"/>
  <c r="B2283" i="15"/>
  <c r="A2283" i="15"/>
  <c r="AA2309" i="15"/>
  <c r="B2309" i="15"/>
  <c r="A2309" i="15"/>
  <c r="AA2308" i="15"/>
  <c r="B2308" i="15"/>
  <c r="A2308" i="15"/>
  <c r="AA2307" i="15"/>
  <c r="B2307" i="15"/>
  <c r="A2307" i="15"/>
  <c r="AA2306" i="15"/>
  <c r="B2306" i="15"/>
  <c r="A2306" i="15"/>
  <c r="AA2305" i="15"/>
  <c r="B2305" i="15"/>
  <c r="A2305" i="15"/>
  <c r="AA2304" i="15"/>
  <c r="B2304" i="15"/>
  <c r="A2304" i="15"/>
  <c r="AA2303" i="15"/>
  <c r="B2303" i="15"/>
  <c r="A2303" i="15"/>
  <c r="AA2302" i="15"/>
  <c r="B2302" i="15"/>
  <c r="A2302" i="15"/>
  <c r="V2301" i="15"/>
  <c r="A2301" i="15"/>
  <c r="AA2300" i="15"/>
  <c r="B2300" i="15"/>
  <c r="A2300" i="15"/>
  <c r="V2299" i="15"/>
  <c r="A2299" i="15"/>
  <c r="V2298" i="15"/>
  <c r="A2298" i="15"/>
  <c r="AA153" i="15"/>
  <c r="B153" i="15"/>
  <c r="A153" i="15"/>
  <c r="V2296" i="15"/>
  <c r="A2296" i="15"/>
  <c r="AA2295" i="15"/>
  <c r="B2295" i="15"/>
  <c r="A2295" i="15"/>
  <c r="AA2294" i="15"/>
  <c r="B2294" i="15"/>
  <c r="A2294" i="15"/>
  <c r="AA2293" i="15"/>
  <c r="B2293" i="15"/>
  <c r="A2293" i="15"/>
  <c r="AA2292" i="15"/>
  <c r="B2292" i="15"/>
  <c r="A2292" i="15"/>
  <c r="AA2291" i="15"/>
  <c r="B2291" i="15"/>
  <c r="A2291" i="15"/>
  <c r="AA2290" i="15"/>
  <c r="B2290" i="15"/>
  <c r="A2290" i="15"/>
  <c r="V2289" i="15"/>
  <c r="A2289" i="15"/>
  <c r="V2288" i="15"/>
  <c r="A2288" i="15"/>
  <c r="AA2287" i="15"/>
  <c r="B2287" i="15"/>
  <c r="A2287" i="15"/>
  <c r="AA2286" i="15"/>
  <c r="B2286" i="15"/>
  <c r="A2286" i="15"/>
  <c r="AA2285" i="15"/>
  <c r="B2285" i="15"/>
  <c r="A2285" i="15"/>
  <c r="AA3700" i="15"/>
  <c r="B3700" i="15"/>
  <c r="AA3181" i="15"/>
  <c r="B3181" i="15"/>
  <c r="AA2282" i="15"/>
  <c r="B2282" i="15"/>
  <c r="A2282" i="15"/>
  <c r="AA2281" i="15"/>
  <c r="B2281" i="15"/>
  <c r="A2281" i="15"/>
  <c r="AA2280" i="15"/>
  <c r="B2280" i="15"/>
  <c r="A2280" i="15"/>
  <c r="AA2279" i="15"/>
  <c r="B2279" i="15"/>
  <c r="A2279" i="15"/>
  <c r="AA2278" i="15"/>
  <c r="B2278" i="15"/>
  <c r="A2278" i="15"/>
  <c r="AA2277" i="15"/>
  <c r="B2277" i="15"/>
  <c r="A2277" i="15"/>
  <c r="AA2276" i="15"/>
  <c r="B2276" i="15"/>
  <c r="A2276" i="15"/>
  <c r="AA2275" i="15"/>
  <c r="B2275" i="15"/>
  <c r="A2275" i="15"/>
  <c r="AA2274" i="15"/>
  <c r="B2274" i="15"/>
  <c r="A2274" i="15"/>
  <c r="AA2273" i="15"/>
  <c r="B2273" i="15"/>
  <c r="A2273" i="15"/>
  <c r="AA2272" i="15"/>
  <c r="B2272" i="15"/>
  <c r="A2272" i="15"/>
  <c r="AA2271" i="15"/>
  <c r="B2271" i="15"/>
  <c r="A2271" i="15"/>
  <c r="AA2270" i="15"/>
  <c r="B2270" i="15"/>
  <c r="A2270" i="15"/>
  <c r="AA2269" i="15"/>
  <c r="B2269" i="15"/>
  <c r="A2269" i="15"/>
  <c r="AA2268" i="15"/>
  <c r="B2268" i="15"/>
  <c r="A2268" i="15"/>
  <c r="AA2267" i="15"/>
  <c r="B2267" i="15"/>
  <c r="A2267" i="15"/>
  <c r="AA2266" i="15"/>
  <c r="B2266" i="15"/>
  <c r="A2266" i="15"/>
  <c r="AA2265" i="15"/>
  <c r="B2265" i="15"/>
  <c r="A2265" i="15"/>
  <c r="AA2264" i="15"/>
  <c r="B2264" i="15"/>
  <c r="A2264" i="15"/>
  <c r="AA2263" i="15"/>
  <c r="B2263" i="15"/>
  <c r="A2263" i="15"/>
  <c r="AA2262" i="15"/>
  <c r="B2262" i="15"/>
  <c r="A2262" i="15"/>
  <c r="AA2261" i="15"/>
  <c r="B2261" i="15"/>
  <c r="A2261" i="15"/>
  <c r="AA2260" i="15"/>
  <c r="B2260" i="15"/>
  <c r="A2260" i="15"/>
  <c r="AA2259" i="15"/>
  <c r="B2259" i="15"/>
  <c r="A2259" i="15"/>
  <c r="AA2258" i="15"/>
  <c r="B2258" i="15"/>
  <c r="A2258" i="15"/>
  <c r="AA214" i="15"/>
  <c r="B214" i="15"/>
  <c r="A214" i="15"/>
  <c r="AA2256" i="15"/>
  <c r="B2256" i="15"/>
  <c r="A2256" i="15"/>
  <c r="AA2255" i="15"/>
  <c r="B2255" i="15"/>
  <c r="A2255" i="15"/>
  <c r="AA2254" i="15"/>
  <c r="B2254" i="15"/>
  <c r="A2254" i="15"/>
  <c r="AA2253" i="15"/>
  <c r="B2253" i="15"/>
  <c r="A2253" i="15"/>
  <c r="AA2252" i="15"/>
  <c r="B2252" i="15"/>
  <c r="A2252" i="15"/>
  <c r="AA2251" i="15"/>
  <c r="B2251" i="15"/>
  <c r="A2251" i="15"/>
  <c r="AA2250" i="15"/>
  <c r="B2250" i="15"/>
  <c r="A2250" i="15"/>
  <c r="AA1250" i="15"/>
  <c r="B1250" i="15"/>
  <c r="AA2248" i="15"/>
  <c r="B2248" i="15"/>
  <c r="A2248" i="15"/>
  <c r="AA2247" i="15"/>
  <c r="B2247" i="15"/>
  <c r="A2247" i="15"/>
  <c r="AA2246" i="15"/>
  <c r="B2246" i="15"/>
  <c r="A2246" i="15"/>
  <c r="AA2245" i="15"/>
  <c r="B2245" i="15"/>
  <c r="A2245" i="15"/>
  <c r="AA2244" i="15"/>
  <c r="B2244" i="15"/>
  <c r="A2244" i="15"/>
  <c r="AA2243" i="15"/>
  <c r="B2243" i="15"/>
  <c r="A2243" i="15"/>
  <c r="AA2242" i="15"/>
  <c r="B2242" i="15"/>
  <c r="A2242" i="15"/>
  <c r="AA2241" i="15"/>
  <c r="B2241" i="15"/>
  <c r="A2241" i="15"/>
  <c r="AA2240" i="15"/>
  <c r="B2240" i="15"/>
  <c r="A2240" i="15"/>
  <c r="AA2239" i="15"/>
  <c r="B2239" i="15"/>
  <c r="A2239" i="15"/>
  <c r="AA2238" i="15"/>
  <c r="B2238" i="15"/>
  <c r="A2238" i="15"/>
  <c r="AA2237" i="15"/>
  <c r="B2237" i="15"/>
  <c r="A2237" i="15"/>
  <c r="AA2236" i="15"/>
  <c r="B2236" i="15"/>
  <c r="A2236" i="15"/>
  <c r="AA2235" i="15"/>
  <c r="B2235" i="15"/>
  <c r="A2235" i="15"/>
  <c r="AA2234" i="15"/>
  <c r="B2234" i="15"/>
  <c r="A2234" i="15"/>
  <c r="AA2233" i="15"/>
  <c r="B2233" i="15"/>
  <c r="A2233" i="15"/>
  <c r="AA2232" i="15"/>
  <c r="B2232" i="15"/>
  <c r="A2232" i="15"/>
  <c r="AA2231" i="15"/>
  <c r="B2231" i="15"/>
  <c r="A2231" i="15"/>
  <c r="V2230" i="15"/>
  <c r="A2230" i="15"/>
  <c r="AA2229" i="15"/>
  <c r="B2229" i="15"/>
  <c r="A2229" i="15"/>
  <c r="AA2228" i="15"/>
  <c r="B2228" i="15"/>
  <c r="A2228" i="15"/>
  <c r="AA2227" i="15"/>
  <c r="B2227" i="15"/>
  <c r="A2227" i="15"/>
  <c r="AA2226" i="15"/>
  <c r="B2226" i="15"/>
  <c r="A2226" i="15"/>
  <c r="AA2225" i="15"/>
  <c r="B2225" i="15"/>
  <c r="A2225" i="15"/>
  <c r="AA2224" i="15"/>
  <c r="B2224" i="15"/>
  <c r="A2224" i="15"/>
  <c r="AA2223" i="15"/>
  <c r="B2223" i="15"/>
  <c r="A2223" i="15"/>
  <c r="AA2222" i="15"/>
  <c r="B2222" i="15"/>
  <c r="A2222" i="15"/>
  <c r="AA2221" i="15"/>
  <c r="B2221" i="15"/>
  <c r="A2221" i="15"/>
  <c r="AA2220" i="15"/>
  <c r="B2220" i="15"/>
  <c r="A2220" i="15"/>
  <c r="AA2219" i="15"/>
  <c r="B2219" i="15"/>
  <c r="A2219" i="15"/>
  <c r="AA2218" i="15"/>
  <c r="B2218" i="15"/>
  <c r="A2218" i="15"/>
  <c r="AA2217" i="15"/>
  <c r="B2217" i="15"/>
  <c r="A2217" i="15"/>
  <c r="AA2216" i="15"/>
  <c r="B2216" i="15"/>
  <c r="A2216" i="15"/>
  <c r="V2215" i="15"/>
  <c r="A2215" i="15"/>
  <c r="V2214" i="15"/>
  <c r="A2214" i="15"/>
  <c r="AA2213" i="15"/>
  <c r="B2213" i="15"/>
  <c r="A2213" i="15"/>
  <c r="AA2212" i="15"/>
  <c r="B2212" i="15"/>
  <c r="A2212" i="15"/>
  <c r="AA2211" i="15"/>
  <c r="B2211" i="15"/>
  <c r="A2211" i="15"/>
  <c r="AA2210" i="15"/>
  <c r="B2210" i="15"/>
  <c r="A2210" i="15"/>
  <c r="AA2209" i="15"/>
  <c r="B2209" i="15"/>
  <c r="A2209" i="15"/>
  <c r="AA2208" i="15"/>
  <c r="B2208" i="15"/>
  <c r="A2208" i="15"/>
  <c r="AA2207" i="15"/>
  <c r="B2207" i="15"/>
  <c r="A2207" i="15"/>
  <c r="AA2206" i="15"/>
  <c r="B2206" i="15"/>
  <c r="A2206" i="15"/>
  <c r="AA2205" i="15"/>
  <c r="B2205" i="15"/>
  <c r="A2205" i="15"/>
  <c r="V2204" i="15"/>
  <c r="A2204" i="15"/>
  <c r="AA2203" i="15"/>
  <c r="B2203" i="15"/>
  <c r="A2203" i="15"/>
  <c r="AA2202" i="15"/>
  <c r="B2202" i="15"/>
  <c r="A2202" i="15"/>
  <c r="AA2201" i="15"/>
  <c r="B2201" i="15"/>
  <c r="A2201" i="15"/>
  <c r="AA2200" i="15"/>
  <c r="B2200" i="15"/>
  <c r="A2200" i="15"/>
  <c r="AA2199" i="15"/>
  <c r="B2199" i="15"/>
  <c r="A2199" i="15"/>
  <c r="AA2198" i="15"/>
  <c r="B2198" i="15"/>
  <c r="A2198" i="15"/>
  <c r="V2197" i="15"/>
  <c r="A2197" i="15"/>
  <c r="V2196" i="15"/>
  <c r="A2196" i="15"/>
  <c r="AA2195" i="15"/>
  <c r="B2195" i="15"/>
  <c r="A2195" i="15"/>
  <c r="V2194" i="15"/>
  <c r="A2194" i="15"/>
  <c r="V2193" i="15"/>
  <c r="A2193" i="15"/>
  <c r="AA2192" i="15"/>
  <c r="B2192" i="15"/>
  <c r="A2192" i="15"/>
  <c r="AA2191" i="15"/>
  <c r="B2191" i="15"/>
  <c r="A2191" i="15"/>
  <c r="AA2190" i="15"/>
  <c r="B2190" i="15"/>
  <c r="A2190" i="15"/>
  <c r="AA2189" i="15"/>
  <c r="B2189" i="15"/>
  <c r="A2189" i="15"/>
  <c r="AA2188" i="15"/>
  <c r="B2188" i="15"/>
  <c r="A2188" i="15"/>
  <c r="AA2187" i="15"/>
  <c r="B2187" i="15"/>
  <c r="A2187" i="15"/>
  <c r="AA2186" i="15"/>
  <c r="B2186" i="15"/>
  <c r="A2186" i="15"/>
  <c r="AA2185" i="15"/>
  <c r="B2185" i="15"/>
  <c r="A2185" i="15"/>
  <c r="AA2184" i="15"/>
  <c r="B2184" i="15"/>
  <c r="A2184" i="15"/>
  <c r="AA2183" i="15"/>
  <c r="B2183" i="15"/>
  <c r="A2183" i="15"/>
  <c r="AA2182" i="15"/>
  <c r="B2182" i="15"/>
  <c r="A2182" i="15"/>
  <c r="AA2181" i="15"/>
  <c r="B2181" i="15"/>
  <c r="A2181" i="15"/>
  <c r="AA2180" i="15"/>
  <c r="B2180" i="15"/>
  <c r="A2180" i="15"/>
  <c r="AA2179" i="15"/>
  <c r="B2179" i="15"/>
  <c r="A2179" i="15"/>
  <c r="AA2178" i="15"/>
  <c r="B2178" i="15"/>
  <c r="A2178" i="15"/>
  <c r="AA2177" i="15"/>
  <c r="B2177" i="15"/>
  <c r="A2177" i="15"/>
  <c r="V2176" i="15"/>
  <c r="A2176" i="15"/>
  <c r="AA2175" i="15"/>
  <c r="B2175" i="15"/>
  <c r="A2175" i="15"/>
  <c r="V2174" i="15"/>
  <c r="A2174" i="15"/>
  <c r="AA2173" i="15"/>
  <c r="B2173" i="15"/>
  <c r="A2173" i="15"/>
  <c r="AA2172" i="15"/>
  <c r="B2172" i="15"/>
  <c r="A2172" i="15"/>
  <c r="AA2171" i="15"/>
  <c r="B2171" i="15"/>
  <c r="A2171" i="15"/>
  <c r="AA2170" i="15"/>
  <c r="B2170" i="15"/>
  <c r="A2170" i="15"/>
  <c r="AA2169" i="15"/>
  <c r="B2169" i="15"/>
  <c r="A2169" i="15"/>
  <c r="AA2168" i="15"/>
  <c r="B2168" i="15"/>
  <c r="A2168" i="15"/>
  <c r="AA2167" i="15"/>
  <c r="B2167" i="15"/>
  <c r="A2167" i="15"/>
  <c r="AA2166" i="15"/>
  <c r="B2166" i="15"/>
  <c r="A2166" i="15"/>
  <c r="AA2165" i="15"/>
  <c r="B2165" i="15"/>
  <c r="A2165" i="15"/>
  <c r="AA2164" i="15"/>
  <c r="B2164" i="15"/>
  <c r="A2164" i="15"/>
  <c r="AA2163" i="15"/>
  <c r="B2163" i="15"/>
  <c r="A2163" i="15"/>
  <c r="AA2162" i="15"/>
  <c r="B2162" i="15"/>
  <c r="A2162" i="15"/>
  <c r="V2161" i="15"/>
  <c r="A2161" i="15"/>
  <c r="AA2828" i="15"/>
  <c r="B2828" i="15"/>
  <c r="A2828" i="15"/>
  <c r="AA1632" i="15"/>
  <c r="B1632" i="15"/>
  <c r="A1632" i="15"/>
  <c r="AA2158" i="15"/>
  <c r="B2158" i="15"/>
  <c r="A2158" i="15"/>
  <c r="AA2157" i="15"/>
  <c r="B2157" i="15"/>
  <c r="A2157" i="15"/>
  <c r="AA2821" i="15"/>
  <c r="B2821" i="15"/>
  <c r="A2821" i="15"/>
  <c r="AA2155" i="15"/>
  <c r="B2155" i="15"/>
  <c r="A2155" i="15"/>
  <c r="AA2154" i="15"/>
  <c r="B2154" i="15"/>
  <c r="A2154" i="15"/>
  <c r="AA2153" i="15"/>
  <c r="B2153" i="15"/>
  <c r="A2153" i="15"/>
  <c r="AA2152" i="15"/>
  <c r="B2152" i="15"/>
  <c r="A2152" i="15"/>
  <c r="V2151" i="15"/>
  <c r="A2151" i="15"/>
  <c r="AA2150" i="15"/>
  <c r="B2150" i="15"/>
  <c r="A2150" i="15"/>
  <c r="AA2149" i="15"/>
  <c r="B2149" i="15"/>
  <c r="A2149" i="15"/>
  <c r="AA2148" i="15"/>
  <c r="B2148" i="15"/>
  <c r="A2148" i="15"/>
  <c r="AA2147" i="15"/>
  <c r="B2147" i="15"/>
  <c r="A2147" i="15"/>
  <c r="AA2146" i="15"/>
  <c r="B2146" i="15"/>
  <c r="A2146" i="15"/>
  <c r="AA2145" i="15"/>
  <c r="B2145" i="15"/>
  <c r="A2145" i="15"/>
  <c r="AA2144" i="15"/>
  <c r="B2144" i="15"/>
  <c r="A2144" i="15"/>
  <c r="AA2143" i="15"/>
  <c r="B2143" i="15"/>
  <c r="A2143" i="15"/>
  <c r="AA2142" i="15"/>
  <c r="B2142" i="15"/>
  <c r="A2142" i="15"/>
  <c r="V2141" i="15"/>
  <c r="A2141" i="15"/>
  <c r="AA2140" i="15"/>
  <c r="B2140" i="15"/>
  <c r="A2140" i="15"/>
  <c r="AA2139" i="15"/>
  <c r="B2139" i="15"/>
  <c r="A2139" i="15"/>
  <c r="AA2138" i="15"/>
  <c r="B2138" i="15"/>
  <c r="A2138" i="15"/>
  <c r="AA2137" i="15"/>
  <c r="B2137" i="15"/>
  <c r="A2137" i="15"/>
  <c r="AA2136" i="15"/>
  <c r="B2136" i="15"/>
  <c r="A2136" i="15"/>
  <c r="V2135" i="15"/>
  <c r="A2135" i="15"/>
  <c r="V2134" i="15"/>
  <c r="A2134" i="15"/>
  <c r="AA2133" i="15"/>
  <c r="B2133" i="15"/>
  <c r="A2133" i="15"/>
  <c r="AA2132" i="15"/>
  <c r="B2132" i="15"/>
  <c r="A2132" i="15"/>
  <c r="AA2131" i="15"/>
  <c r="B2131" i="15"/>
  <c r="A2131" i="15"/>
  <c r="V2130" i="15"/>
  <c r="A2130" i="15"/>
  <c r="AA2129" i="15"/>
  <c r="B2129" i="15"/>
  <c r="A2129" i="15"/>
  <c r="AA2128" i="15"/>
  <c r="B2128" i="15"/>
  <c r="A2128" i="15"/>
  <c r="AA2127" i="15"/>
  <c r="B2127" i="15"/>
  <c r="A2127" i="15"/>
  <c r="AA2126" i="15"/>
  <c r="B2126" i="15"/>
  <c r="A2126" i="15"/>
  <c r="AA2125" i="15"/>
  <c r="B2125" i="15"/>
  <c r="A2125" i="15"/>
  <c r="AA2124" i="15"/>
  <c r="B2124" i="15"/>
  <c r="A2124" i="15"/>
  <c r="AA2123" i="15"/>
  <c r="B2123" i="15"/>
  <c r="A2123" i="15"/>
  <c r="AA2122" i="15"/>
  <c r="B2122" i="15"/>
  <c r="A2122" i="15"/>
  <c r="AA2121" i="15"/>
  <c r="B2121" i="15"/>
  <c r="A2121" i="15"/>
  <c r="AA2120" i="15"/>
  <c r="B2120" i="15"/>
  <c r="A2120" i="15"/>
  <c r="AA1506" i="15"/>
  <c r="B1506" i="15"/>
  <c r="A1506" i="15"/>
  <c r="AA2118" i="15"/>
  <c r="B2118" i="15"/>
  <c r="A2118" i="15"/>
  <c r="AA2117" i="15"/>
  <c r="B2117" i="15"/>
  <c r="A2117" i="15"/>
  <c r="AA2116" i="15"/>
  <c r="B2116" i="15"/>
  <c r="A2116" i="15"/>
  <c r="AA2115" i="15"/>
  <c r="B2115" i="15"/>
  <c r="A2115" i="15"/>
  <c r="AA2114" i="15"/>
  <c r="B2114" i="15"/>
  <c r="A2114" i="15"/>
  <c r="AA2113" i="15"/>
  <c r="B2113" i="15"/>
  <c r="A2113" i="15"/>
  <c r="AA2112" i="15"/>
  <c r="B2112" i="15"/>
  <c r="A2112" i="15"/>
  <c r="AA2111" i="15"/>
  <c r="B2111" i="15"/>
  <c r="A2111" i="15"/>
  <c r="AA2110" i="15"/>
  <c r="B2110" i="15"/>
  <c r="A2110" i="15"/>
  <c r="AA2109" i="15"/>
  <c r="B2109" i="15"/>
  <c r="A2109" i="15"/>
  <c r="AA2108" i="15"/>
  <c r="B2108" i="15"/>
  <c r="A2108" i="15"/>
  <c r="AA2107" i="15"/>
  <c r="B2107" i="15"/>
  <c r="A2107" i="15"/>
  <c r="AA2106" i="15"/>
  <c r="B2106" i="15"/>
  <c r="A2106" i="15"/>
  <c r="V2105" i="15"/>
  <c r="A2105" i="15"/>
  <c r="AA2104" i="15"/>
  <c r="B2104" i="15"/>
  <c r="A2104" i="15"/>
  <c r="AA2103" i="15"/>
  <c r="B2103" i="15"/>
  <c r="A2103" i="15"/>
  <c r="V2102" i="15"/>
  <c r="A2102" i="15"/>
  <c r="AA2101" i="15"/>
  <c r="B2101" i="15"/>
  <c r="A2101" i="15"/>
  <c r="AA2100" i="15"/>
  <c r="B2100" i="15"/>
  <c r="A2100" i="15"/>
  <c r="AA2099" i="15"/>
  <c r="B2099" i="15"/>
  <c r="A2099" i="15"/>
  <c r="AA2098" i="15"/>
  <c r="B2098" i="15"/>
  <c r="A2098" i="15"/>
  <c r="AA2097" i="15"/>
  <c r="B2097" i="15"/>
  <c r="A2097" i="15"/>
  <c r="V2096" i="15"/>
  <c r="A2096" i="15"/>
  <c r="V2095" i="15"/>
  <c r="A2095" i="15"/>
  <c r="V2094" i="15"/>
  <c r="A2094" i="15"/>
  <c r="AA2093" i="15"/>
  <c r="B2093" i="15"/>
  <c r="A2093" i="15"/>
  <c r="AA2092" i="15"/>
  <c r="B2092" i="15"/>
  <c r="A2092" i="15"/>
  <c r="AA2091" i="15"/>
  <c r="B2091" i="15"/>
  <c r="A2091" i="15"/>
  <c r="AA2090" i="15"/>
  <c r="B2090" i="15"/>
  <c r="A2090" i="15"/>
  <c r="AA2089" i="15"/>
  <c r="B2089" i="15"/>
  <c r="A2089" i="15"/>
  <c r="V2088" i="15"/>
  <c r="A2088" i="15"/>
  <c r="AA2087" i="15"/>
  <c r="B2087" i="15"/>
  <c r="A2087" i="15"/>
  <c r="AA2086" i="15"/>
  <c r="B2086" i="15"/>
  <c r="A2086" i="15"/>
  <c r="AA2085" i="15"/>
  <c r="B2085" i="15"/>
  <c r="A2085" i="15"/>
  <c r="AA2084" i="15"/>
  <c r="B2084" i="15"/>
  <c r="A2084" i="15"/>
  <c r="AA2083" i="15"/>
  <c r="B2083" i="15"/>
  <c r="A2083" i="15"/>
  <c r="AA2082" i="15"/>
  <c r="B2082" i="15"/>
  <c r="A2082" i="15"/>
  <c r="AA2081" i="15"/>
  <c r="B2081" i="15"/>
  <c r="A2081" i="15"/>
  <c r="AA2080" i="15"/>
  <c r="B2080" i="15"/>
  <c r="A2080" i="15"/>
  <c r="AA2079" i="15"/>
  <c r="B2079" i="15"/>
  <c r="A2079" i="15"/>
  <c r="AA2078" i="15"/>
  <c r="B2078" i="15"/>
  <c r="A2078" i="15"/>
  <c r="AA2077" i="15"/>
  <c r="B2077" i="15"/>
  <c r="A2077" i="15"/>
  <c r="AA1665" i="15"/>
  <c r="B1665" i="15"/>
  <c r="A1665" i="15"/>
  <c r="AA2075" i="15"/>
  <c r="B2075" i="15"/>
  <c r="A2075" i="15"/>
  <c r="AA2074" i="15"/>
  <c r="B2074" i="15"/>
  <c r="A2074" i="15"/>
  <c r="AA2073" i="15"/>
  <c r="B2073" i="15"/>
  <c r="A2073" i="15"/>
  <c r="AA2072" i="15"/>
  <c r="B2072" i="15"/>
  <c r="A2072" i="15"/>
  <c r="AA2071" i="15"/>
  <c r="B2071" i="15"/>
  <c r="A2071" i="15"/>
  <c r="AA2070" i="15"/>
  <c r="B2070" i="15"/>
  <c r="A2070" i="15"/>
  <c r="AA2069" i="15"/>
  <c r="B2069" i="15"/>
  <c r="A2069" i="15"/>
  <c r="AA2068" i="15"/>
  <c r="B2068" i="15"/>
  <c r="A2068" i="15"/>
  <c r="AA2067" i="15"/>
  <c r="B2067" i="15"/>
  <c r="A2067" i="15"/>
  <c r="AA2066" i="15"/>
  <c r="B2066" i="15"/>
  <c r="A2066" i="15"/>
  <c r="AA2826" i="15"/>
  <c r="B2826" i="15"/>
  <c r="A2826" i="15"/>
  <c r="AA2064" i="15"/>
  <c r="B2064" i="15"/>
  <c r="A2064" i="15"/>
  <c r="AA2063" i="15"/>
  <c r="B2063" i="15"/>
  <c r="A2063" i="15"/>
  <c r="AA2062" i="15"/>
  <c r="B2062" i="15"/>
  <c r="A2062" i="15"/>
  <c r="AA2061" i="15"/>
  <c r="B2061" i="15"/>
  <c r="A2061" i="15"/>
  <c r="AA2060" i="15"/>
  <c r="B2060" i="15"/>
  <c r="A2060" i="15"/>
  <c r="V2059" i="15"/>
  <c r="A2059" i="15"/>
  <c r="AA2058" i="15"/>
  <c r="B2058" i="15"/>
  <c r="A2058" i="15"/>
  <c r="AA2057" i="15"/>
  <c r="B2057" i="15"/>
  <c r="A2057" i="15"/>
  <c r="AA2056" i="15"/>
  <c r="B2056" i="15"/>
  <c r="A2056" i="15"/>
  <c r="AA2055" i="15"/>
  <c r="B2055" i="15"/>
  <c r="A2055" i="15"/>
  <c r="B2054" i="15"/>
  <c r="A2054" i="15"/>
  <c r="AA2053" i="15"/>
  <c r="B2053" i="15"/>
  <c r="A2053" i="15"/>
  <c r="AA2052" i="15"/>
  <c r="B2052" i="15"/>
  <c r="A2052" i="15"/>
  <c r="AA2051" i="15"/>
  <c r="B2051" i="15"/>
  <c r="A2051" i="15"/>
  <c r="AA2050" i="15"/>
  <c r="B2050" i="15"/>
  <c r="A2050" i="15"/>
  <c r="AA2049" i="15"/>
  <c r="B2049" i="15"/>
  <c r="A2049" i="15"/>
  <c r="AA2048" i="15"/>
  <c r="B2048" i="15"/>
  <c r="A2048" i="15"/>
  <c r="V2047" i="15"/>
  <c r="A2047" i="15"/>
  <c r="AA2046" i="15"/>
  <c r="B2046" i="15"/>
  <c r="A2046" i="15"/>
  <c r="AA2045" i="15"/>
  <c r="B2045" i="15"/>
  <c r="A2045" i="15"/>
  <c r="AA2044" i="15"/>
  <c r="B2044" i="15"/>
  <c r="A2044" i="15"/>
  <c r="AA2043" i="15"/>
  <c r="B2043" i="15"/>
  <c r="A2043" i="15"/>
  <c r="AA2042" i="15"/>
  <c r="B2042" i="15"/>
  <c r="A2042" i="15"/>
  <c r="AA2041" i="15"/>
  <c r="B2041" i="15"/>
  <c r="A2041" i="15"/>
  <c r="AA2040" i="15"/>
  <c r="B2040" i="15"/>
  <c r="A2040" i="15"/>
  <c r="V2039" i="15"/>
  <c r="A2039" i="15"/>
  <c r="AA2038" i="15"/>
  <c r="B2038" i="15"/>
  <c r="A2038" i="15"/>
  <c r="AA2037" i="15"/>
  <c r="B2037" i="15"/>
  <c r="A2037" i="15"/>
  <c r="AA2036" i="15"/>
  <c r="B2036" i="15"/>
  <c r="A2036" i="15"/>
  <c r="AA2035" i="15"/>
  <c r="B2035" i="15"/>
  <c r="A2035" i="15"/>
  <c r="AA2034" i="15"/>
  <c r="B2034" i="15"/>
  <c r="A2034" i="15"/>
  <c r="AA2033" i="15"/>
  <c r="B2033" i="15"/>
  <c r="A2033" i="15"/>
  <c r="AA2032" i="15"/>
  <c r="B2032" i="15"/>
  <c r="A2032" i="15"/>
  <c r="AA3464" i="15"/>
  <c r="B3464" i="15"/>
  <c r="AA2160" i="15"/>
  <c r="B2160" i="15"/>
  <c r="AA2156" i="15"/>
  <c r="B2156" i="15"/>
  <c r="AA3283" i="15"/>
  <c r="B3283" i="15"/>
  <c r="AA3186" i="15"/>
  <c r="B3186" i="15"/>
  <c r="AA3176" i="15"/>
  <c r="B3176" i="15"/>
  <c r="AA1543" i="15"/>
  <c r="B1543" i="15"/>
  <c r="AA3601" i="15"/>
  <c r="B3601" i="15"/>
  <c r="AA3180" i="15"/>
  <c r="B3180" i="15"/>
  <c r="AA2284" i="15"/>
  <c r="B2284" i="15"/>
  <c r="AA4655" i="15"/>
  <c r="B4655" i="15"/>
  <c r="AA2026" i="15"/>
  <c r="B2026" i="15"/>
  <c r="AA1260" i="15"/>
  <c r="B1260" i="15"/>
  <c r="AA232" i="15"/>
  <c r="B232" i="15"/>
  <c r="AA4454" i="15"/>
  <c r="B4454" i="15"/>
  <c r="AA998" i="15"/>
  <c r="B998" i="15"/>
  <c r="AA3042" i="15"/>
  <c r="B3042" i="15"/>
  <c r="AA2014" i="15"/>
  <c r="B2014" i="15"/>
  <c r="A2014" i="15"/>
  <c r="AA2013" i="15"/>
  <c r="B2013" i="15"/>
  <c r="A2013" i="15"/>
  <c r="AA2012" i="15"/>
  <c r="B2012" i="15"/>
  <c r="A2012" i="15"/>
  <c r="AA2011" i="15"/>
  <c r="B2011" i="15"/>
  <c r="A2011" i="15"/>
  <c r="AA2010" i="15"/>
  <c r="B2010" i="15"/>
  <c r="A2010" i="15"/>
  <c r="V2009" i="15"/>
  <c r="A2009" i="15"/>
  <c r="AA2008" i="15"/>
  <c r="B2008" i="15"/>
  <c r="A2008" i="15"/>
  <c r="AA2007" i="15"/>
  <c r="B2007" i="15"/>
  <c r="A2007" i="15"/>
  <c r="AA2006" i="15"/>
  <c r="B2006" i="15"/>
  <c r="A2006" i="15"/>
  <c r="AA2005" i="15"/>
  <c r="B2005" i="15"/>
  <c r="A2005" i="15"/>
  <c r="V2004" i="15"/>
  <c r="A2004" i="15"/>
  <c r="V2003" i="15"/>
  <c r="A2003" i="15"/>
  <c r="AA2002" i="15"/>
  <c r="B2002" i="15"/>
  <c r="A2002" i="15"/>
  <c r="AA3275" i="15"/>
  <c r="B3275" i="15"/>
  <c r="A3275" i="15"/>
  <c r="AA144" i="15"/>
  <c r="B144" i="15"/>
  <c r="A144" i="15"/>
  <c r="AA1999" i="15"/>
  <c r="B1999" i="15"/>
  <c r="A1999" i="15"/>
  <c r="AA1998" i="15"/>
  <c r="B1998" i="15"/>
  <c r="A1998" i="15"/>
  <c r="AA1997" i="15"/>
  <c r="B1997" i="15"/>
  <c r="A1997" i="15"/>
  <c r="AA1996" i="15"/>
  <c r="B1996" i="15"/>
  <c r="A1996" i="15"/>
  <c r="AA1995" i="15"/>
  <c r="B1995" i="15"/>
  <c r="A1995" i="15"/>
  <c r="AA1994" i="15"/>
  <c r="B1994" i="15"/>
  <c r="A1994" i="15"/>
  <c r="AA1501" i="15"/>
  <c r="B1501" i="15"/>
  <c r="A1501" i="15"/>
  <c r="AA1992" i="15"/>
  <c r="B1992" i="15"/>
  <c r="A1992" i="15"/>
  <c r="AA1991" i="15"/>
  <c r="B1991" i="15"/>
  <c r="A1991" i="15"/>
  <c r="AA1990" i="15"/>
  <c r="B1990" i="15"/>
  <c r="A1990" i="15"/>
  <c r="V1989" i="15"/>
  <c r="A1989" i="15"/>
  <c r="AA1988" i="15"/>
  <c r="B1988" i="15"/>
  <c r="A1988" i="15"/>
  <c r="AA1987" i="15"/>
  <c r="B1987" i="15"/>
  <c r="A1987" i="15"/>
  <c r="AA1986" i="15"/>
  <c r="B1986" i="15"/>
  <c r="A1986" i="15"/>
  <c r="V1985" i="15"/>
  <c r="A1985" i="15"/>
  <c r="AA24" i="15"/>
  <c r="B24" i="15"/>
  <c r="A24" i="15"/>
  <c r="V1983" i="15"/>
  <c r="A1983" i="15"/>
  <c r="V1982" i="15"/>
  <c r="A1982" i="15"/>
  <c r="V1981" i="15"/>
  <c r="A1981" i="15"/>
  <c r="AA1980" i="15"/>
  <c r="B1980" i="15"/>
  <c r="A1980" i="15"/>
  <c r="AA1979" i="15"/>
  <c r="B1979" i="15"/>
  <c r="A1979" i="15"/>
  <c r="AA1978" i="15"/>
  <c r="B1978" i="15"/>
  <c r="A1978" i="15"/>
  <c r="AA1977" i="15"/>
  <c r="B1977" i="15"/>
  <c r="A1977" i="15"/>
  <c r="AA1976" i="15"/>
  <c r="B1976" i="15"/>
  <c r="A1976" i="15"/>
  <c r="V1975" i="15"/>
  <c r="A1975" i="15"/>
  <c r="AA1974" i="15"/>
  <c r="B1974" i="15"/>
  <c r="A1974" i="15"/>
  <c r="AA1973" i="15"/>
  <c r="B1973" i="15"/>
  <c r="A1973" i="15"/>
  <c r="AA1972" i="15"/>
  <c r="B1972" i="15"/>
  <c r="A1972" i="15"/>
  <c r="AA1971" i="15"/>
  <c r="B1971" i="15"/>
  <c r="A1971" i="15"/>
  <c r="AA1970" i="15"/>
  <c r="B1970" i="15"/>
  <c r="A1970" i="15"/>
  <c r="AA1969" i="15"/>
  <c r="B1969" i="15"/>
  <c r="A1969" i="15"/>
  <c r="B1968" i="15"/>
  <c r="A1968" i="15"/>
  <c r="AA1967" i="15"/>
  <c r="B1967" i="15"/>
  <c r="A1967" i="15"/>
  <c r="AA1966" i="15"/>
  <c r="B1966" i="15"/>
  <c r="A1966" i="15"/>
  <c r="AA1965" i="15"/>
  <c r="B1965" i="15"/>
  <c r="A1965" i="15"/>
  <c r="V1964" i="15"/>
  <c r="A1964" i="15"/>
  <c r="V1963" i="15"/>
  <c r="A1963" i="15"/>
  <c r="V1962" i="15"/>
  <c r="A1962" i="15"/>
  <c r="AA1961" i="15"/>
  <c r="B1961" i="15"/>
  <c r="A1961" i="15"/>
  <c r="V1960" i="15"/>
  <c r="A1960" i="15"/>
  <c r="V1959" i="15"/>
  <c r="A1959" i="15"/>
  <c r="AA1958" i="15"/>
  <c r="B1958" i="15"/>
  <c r="A1958" i="15"/>
  <c r="AA220" i="15"/>
  <c r="B220" i="15"/>
  <c r="A220" i="15"/>
  <c r="V1956" i="15"/>
  <c r="A1956" i="15"/>
  <c r="AA1955" i="15"/>
  <c r="B1955" i="15"/>
  <c r="A1955" i="15"/>
  <c r="V1954" i="15"/>
  <c r="A1954" i="15"/>
  <c r="AA1953" i="15"/>
  <c r="B1953" i="15"/>
  <c r="A1953" i="15"/>
  <c r="AA1952" i="15"/>
  <c r="B1952" i="15"/>
  <c r="A1952" i="15"/>
  <c r="V1951" i="15"/>
  <c r="A1951" i="15"/>
  <c r="V1950" i="15"/>
  <c r="A1950" i="15"/>
  <c r="AA1949" i="15"/>
  <c r="B1949" i="15"/>
  <c r="A1949" i="15"/>
  <c r="AA1948" i="15"/>
  <c r="B1948" i="15"/>
  <c r="A1948" i="15"/>
  <c r="AA1947" i="15"/>
  <c r="B1947" i="15"/>
  <c r="A1947" i="15"/>
  <c r="AA1946" i="15"/>
  <c r="B1946" i="15"/>
  <c r="A1946" i="15"/>
  <c r="V1945" i="15"/>
  <c r="A1945" i="15"/>
  <c r="V1944" i="15"/>
  <c r="A1944" i="15"/>
  <c r="AA1943" i="15"/>
  <c r="B1943" i="15"/>
  <c r="A1943" i="15"/>
  <c r="AA1942" i="15"/>
  <c r="B1942" i="15"/>
  <c r="A1942" i="15"/>
  <c r="AA1941" i="15"/>
  <c r="B1941" i="15"/>
  <c r="A1941" i="15"/>
  <c r="AA1940" i="15"/>
  <c r="B1940" i="15"/>
  <c r="A1940" i="15"/>
  <c r="AA1939" i="15"/>
  <c r="B1939" i="15"/>
  <c r="A1939" i="15"/>
  <c r="AA1938" i="15"/>
  <c r="B1938" i="15"/>
  <c r="A1938" i="15"/>
  <c r="AA1937" i="15"/>
  <c r="B1937" i="15"/>
  <c r="A1937" i="15"/>
  <c r="AA1936" i="15"/>
  <c r="B1936" i="15"/>
  <c r="A1936" i="15"/>
  <c r="AA1935" i="15"/>
  <c r="B1935" i="15"/>
  <c r="A1935" i="15"/>
  <c r="AA1934" i="15"/>
  <c r="B1934" i="15"/>
  <c r="A1934" i="15"/>
  <c r="AA1933" i="15"/>
  <c r="B1933" i="15"/>
  <c r="A1933" i="15"/>
  <c r="AA1932" i="15"/>
  <c r="B1932" i="15"/>
  <c r="A1932" i="15"/>
  <c r="AA1931" i="15"/>
  <c r="B1931" i="15"/>
  <c r="A1931" i="15"/>
  <c r="AA1930" i="15"/>
  <c r="B1930" i="15"/>
  <c r="A1930" i="15"/>
  <c r="AA1929" i="15"/>
  <c r="B1929" i="15"/>
  <c r="A1929" i="15"/>
  <c r="AA1928" i="15"/>
  <c r="B1928" i="15"/>
  <c r="A1928" i="15"/>
  <c r="AA2249" i="15"/>
  <c r="B2249" i="15"/>
  <c r="A2249" i="15"/>
  <c r="AA1926" i="15"/>
  <c r="B1926" i="15"/>
  <c r="A1926" i="15"/>
  <c r="AA1925" i="15"/>
  <c r="B1925" i="15"/>
  <c r="A1925" i="15"/>
  <c r="AA1924" i="15"/>
  <c r="B1924" i="15"/>
  <c r="A1924" i="15"/>
  <c r="AA1923" i="15"/>
  <c r="B1923" i="15"/>
  <c r="A1923" i="15"/>
  <c r="AA1922" i="15"/>
  <c r="B1922" i="15"/>
  <c r="A1922" i="15"/>
  <c r="AA1921" i="15"/>
  <c r="B1921" i="15"/>
  <c r="A1921" i="15"/>
  <c r="V1920" i="15"/>
  <c r="A1920" i="15"/>
  <c r="AA1919" i="15"/>
  <c r="B1919" i="15"/>
  <c r="A1919" i="15"/>
  <c r="AA1918" i="15"/>
  <c r="B1918" i="15"/>
  <c r="A1918" i="15"/>
  <c r="AA1917" i="15"/>
  <c r="B1917" i="15"/>
  <c r="A1917" i="15"/>
  <c r="AA1916" i="15"/>
  <c r="B1916" i="15"/>
  <c r="A1916" i="15"/>
  <c r="AA1915" i="15"/>
  <c r="B1915" i="15"/>
  <c r="A1915" i="15"/>
  <c r="AA1914" i="15"/>
  <c r="B1914" i="15"/>
  <c r="A1914" i="15"/>
  <c r="AA1913" i="15"/>
  <c r="B1913" i="15"/>
  <c r="A1913" i="15"/>
  <c r="AA1912" i="15"/>
  <c r="B1912" i="15"/>
  <c r="A1912" i="15"/>
  <c r="AA1911" i="15"/>
  <c r="B1911" i="15"/>
  <c r="A1911" i="15"/>
  <c r="AA1910" i="15"/>
  <c r="B1910" i="15"/>
  <c r="A1910" i="15"/>
  <c r="AA1909" i="15"/>
  <c r="B1909" i="15"/>
  <c r="A1909" i="15"/>
  <c r="AA1908" i="15"/>
  <c r="B1908" i="15"/>
  <c r="A1908" i="15"/>
  <c r="AA1907" i="15"/>
  <c r="B1907" i="15"/>
  <c r="A1907" i="15"/>
  <c r="AA1906" i="15"/>
  <c r="B1906" i="15"/>
  <c r="A1906" i="15"/>
  <c r="AA1905" i="15"/>
  <c r="B1905" i="15"/>
  <c r="A1905" i="15"/>
  <c r="AA1904" i="15"/>
  <c r="B1904" i="15"/>
  <c r="A1904" i="15"/>
  <c r="AA1903" i="15"/>
  <c r="B1903" i="15"/>
  <c r="A1903" i="15"/>
  <c r="AA1902" i="15"/>
  <c r="B1902" i="15"/>
  <c r="A1902" i="15"/>
  <c r="AA1901" i="15"/>
  <c r="B1901" i="15"/>
  <c r="A1901" i="15"/>
  <c r="V1900" i="15"/>
  <c r="A1900" i="15"/>
  <c r="V1899" i="15"/>
  <c r="A1899" i="15"/>
  <c r="AA2733" i="15"/>
  <c r="B2733" i="15"/>
  <c r="A2733" i="15"/>
  <c r="AA1897" i="15"/>
  <c r="B1897" i="15"/>
  <c r="A1897" i="15"/>
  <c r="AA1896" i="15"/>
  <c r="B1896" i="15"/>
  <c r="A1896" i="15"/>
  <c r="AA1895" i="15"/>
  <c r="B1895" i="15"/>
  <c r="A1895" i="15"/>
  <c r="AA1894" i="15"/>
  <c r="B1894" i="15"/>
  <c r="A1894" i="15"/>
  <c r="AA1893" i="15"/>
  <c r="B1893" i="15"/>
  <c r="A1893" i="15"/>
  <c r="AA1892" i="15"/>
  <c r="B1892" i="15"/>
  <c r="A1892" i="15"/>
  <c r="AA1891" i="15"/>
  <c r="B1891" i="15"/>
  <c r="A1891" i="15"/>
  <c r="AA1890" i="15"/>
  <c r="B1890" i="15"/>
  <c r="A1890" i="15"/>
  <c r="AA1889" i="15"/>
  <c r="B1889" i="15"/>
  <c r="A1889" i="15"/>
  <c r="AA1888" i="15"/>
  <c r="B1888" i="15"/>
  <c r="A1888" i="15"/>
  <c r="AA1887" i="15"/>
  <c r="B1887" i="15"/>
  <c r="A1887" i="15"/>
  <c r="AA1886" i="15"/>
  <c r="B1886" i="15"/>
  <c r="A1886" i="15"/>
  <c r="AA1885" i="15"/>
  <c r="B1885" i="15"/>
  <c r="A1885" i="15"/>
  <c r="AA1884" i="15"/>
  <c r="B1884" i="15"/>
  <c r="A1884" i="15"/>
  <c r="AA1883" i="15"/>
  <c r="B1883" i="15"/>
  <c r="A1883" i="15"/>
  <c r="AA1882" i="15"/>
  <c r="B1882" i="15"/>
  <c r="A1882" i="15"/>
  <c r="V1881" i="15"/>
  <c r="A1881" i="15"/>
  <c r="AA1880" i="15"/>
  <c r="B1880" i="15"/>
  <c r="A1880" i="15"/>
  <c r="V1879" i="15"/>
  <c r="A1879" i="15"/>
  <c r="V1878" i="15"/>
  <c r="A1878" i="15"/>
  <c r="AA1877" i="15"/>
  <c r="B1877" i="15"/>
  <c r="A1877" i="15"/>
  <c r="V1876" i="15"/>
  <c r="A1876" i="15"/>
  <c r="AA1875" i="15"/>
  <c r="B1875" i="15"/>
  <c r="A1875" i="15"/>
  <c r="AA1874" i="15"/>
  <c r="B1874" i="15"/>
  <c r="A1874" i="15"/>
  <c r="V1873" i="15"/>
  <c r="A1873" i="15"/>
  <c r="V1872" i="15"/>
  <c r="A1872" i="15"/>
  <c r="AA1871" i="15"/>
  <c r="B1871" i="15"/>
  <c r="A1871" i="15"/>
  <c r="AA1870" i="15"/>
  <c r="B1870" i="15"/>
  <c r="A1870" i="15"/>
  <c r="AA1869" i="15"/>
  <c r="B1869" i="15"/>
  <c r="A1869" i="15"/>
  <c r="AA1868" i="15"/>
  <c r="B1868" i="15"/>
  <c r="A1868" i="15"/>
  <c r="AA1867" i="15"/>
  <c r="B1867" i="15"/>
  <c r="A1867" i="15"/>
  <c r="V1866" i="15"/>
  <c r="A1866" i="15"/>
  <c r="AA1865" i="15"/>
  <c r="B1865" i="15"/>
  <c r="A1865" i="15"/>
  <c r="AA1864" i="15"/>
  <c r="B1864" i="15"/>
  <c r="A1864" i="15"/>
  <c r="AA1863" i="15"/>
  <c r="B1863" i="15"/>
  <c r="A1863" i="15"/>
  <c r="AA1862" i="15"/>
  <c r="B1862" i="15"/>
  <c r="A1862" i="15"/>
  <c r="AA1861" i="15"/>
  <c r="B1861" i="15"/>
  <c r="A1861" i="15"/>
  <c r="AA1860" i="15"/>
  <c r="B1860" i="15"/>
  <c r="A1860" i="15"/>
  <c r="V1859" i="15"/>
  <c r="A1859" i="15"/>
  <c r="AA1858" i="15"/>
  <c r="B1858" i="15"/>
  <c r="A1858" i="15"/>
  <c r="AA1857" i="15"/>
  <c r="B1857" i="15"/>
  <c r="A1857" i="15"/>
  <c r="V1856" i="15"/>
  <c r="A1856" i="15"/>
  <c r="V1855" i="15"/>
  <c r="A1855" i="15"/>
  <c r="V1854" i="15"/>
  <c r="A1854" i="15"/>
  <c r="V1853" i="15"/>
  <c r="A1853" i="15"/>
  <c r="AA1852" i="15"/>
  <c r="B1852" i="15"/>
  <c r="A1852" i="15"/>
  <c r="V1851" i="15"/>
  <c r="A1851" i="15"/>
  <c r="AA1850" i="15"/>
  <c r="B1850" i="15"/>
  <c r="A1850" i="15"/>
  <c r="AA1849" i="15"/>
  <c r="B1849" i="15"/>
  <c r="A1849" i="15"/>
  <c r="AA1848" i="15"/>
  <c r="B1848" i="15"/>
  <c r="A1848" i="15"/>
  <c r="AA1847" i="15"/>
  <c r="B1847" i="15"/>
  <c r="A1847" i="15"/>
  <c r="AA1846" i="15"/>
  <c r="B1846" i="15"/>
  <c r="A1846" i="15"/>
  <c r="AA1845" i="15"/>
  <c r="B1845" i="15"/>
  <c r="A1845" i="15"/>
  <c r="AA1844" i="15"/>
  <c r="B1844" i="15"/>
  <c r="A1844" i="15"/>
  <c r="AA1843" i="15"/>
  <c r="B1843" i="15"/>
  <c r="A1843" i="15"/>
  <c r="AA1842" i="15"/>
  <c r="B1842" i="15"/>
  <c r="A1842" i="15"/>
  <c r="AA1841" i="15"/>
  <c r="B1841" i="15"/>
  <c r="A1841" i="15"/>
  <c r="V1840" i="15"/>
  <c r="A1840" i="15"/>
  <c r="V1839" i="15"/>
  <c r="A1839" i="15"/>
  <c r="AA1838" i="15"/>
  <c r="B1838" i="15"/>
  <c r="A1838" i="15"/>
  <c r="AA1837" i="15"/>
  <c r="B1837" i="15"/>
  <c r="A1837" i="15"/>
  <c r="AA1836" i="15"/>
  <c r="B1836" i="15"/>
  <c r="A1836" i="15"/>
  <c r="AA1835" i="15"/>
  <c r="B1835" i="15"/>
  <c r="A1835" i="15"/>
  <c r="AA1834" i="15"/>
  <c r="B1834" i="15"/>
  <c r="A1834" i="15"/>
  <c r="AA1833" i="15"/>
  <c r="B1833" i="15"/>
  <c r="A1833" i="15"/>
  <c r="AA1832" i="15"/>
  <c r="B1832" i="15"/>
  <c r="A1832" i="15"/>
  <c r="AA1831" i="15"/>
  <c r="B1831" i="15"/>
  <c r="A1831" i="15"/>
  <c r="AA1830" i="15"/>
  <c r="B1830" i="15"/>
  <c r="A1830" i="15"/>
  <c r="AA1829" i="15"/>
  <c r="B1829" i="15"/>
  <c r="A1829" i="15"/>
  <c r="AA1828" i="15"/>
  <c r="B1828" i="15"/>
  <c r="A1828" i="15"/>
  <c r="AA1827" i="15"/>
  <c r="B1827" i="15"/>
  <c r="A1827" i="15"/>
  <c r="AA1826" i="15"/>
  <c r="B1826" i="15"/>
  <c r="A1826" i="15"/>
  <c r="V1825" i="15"/>
  <c r="A1825" i="15"/>
  <c r="AA1824" i="15"/>
  <c r="B1824" i="15"/>
  <c r="A1824" i="15"/>
  <c r="AA1823" i="15"/>
  <c r="B1823" i="15"/>
  <c r="A1823" i="15"/>
  <c r="AA1822" i="15"/>
  <c r="B1822" i="15"/>
  <c r="A1822" i="15"/>
  <c r="AA1821" i="15"/>
  <c r="B1821" i="15"/>
  <c r="A1821" i="15"/>
  <c r="AA1820" i="15"/>
  <c r="B1820" i="15"/>
  <c r="A1820" i="15"/>
  <c r="AA1819" i="15"/>
  <c r="B1819" i="15"/>
  <c r="A1819" i="15"/>
  <c r="AA1818" i="15"/>
  <c r="B1818" i="15"/>
  <c r="A1818" i="15"/>
  <c r="AA1817" i="15"/>
  <c r="B1817" i="15"/>
  <c r="A1817" i="15"/>
  <c r="V1816" i="15"/>
  <c r="A1816" i="15"/>
  <c r="AA1815" i="15"/>
  <c r="B1815" i="15"/>
  <c r="A1815" i="15"/>
  <c r="AA1814" i="15"/>
  <c r="B1814" i="15"/>
  <c r="A1814" i="15"/>
  <c r="AA1813" i="15"/>
  <c r="B1813" i="15"/>
  <c r="A1813" i="15"/>
  <c r="AA1812" i="15"/>
  <c r="B1812" i="15"/>
  <c r="A1812" i="15"/>
  <c r="AA1811" i="15"/>
  <c r="B1811" i="15"/>
  <c r="A1811" i="15"/>
  <c r="AA1810" i="15"/>
  <c r="B1810" i="15"/>
  <c r="A1810" i="15"/>
  <c r="AA1809" i="15"/>
  <c r="B1809" i="15"/>
  <c r="A1809" i="15"/>
  <c r="AA1808" i="15"/>
  <c r="B1808" i="15"/>
  <c r="A1808" i="15"/>
  <c r="V1807" i="15"/>
  <c r="A1807" i="15"/>
  <c r="AA1806" i="15"/>
  <c r="B1806" i="15"/>
  <c r="A1806" i="15"/>
  <c r="AA1805" i="15"/>
  <c r="B1805" i="15"/>
  <c r="A1805" i="15"/>
  <c r="AA1804" i="15"/>
  <c r="B1804" i="15"/>
  <c r="A1804" i="15"/>
  <c r="AA1803" i="15"/>
  <c r="B1803" i="15"/>
  <c r="A1803" i="15"/>
  <c r="AA1802" i="15"/>
  <c r="B1802" i="15"/>
  <c r="A1802" i="15"/>
  <c r="AA1801" i="15"/>
  <c r="B1801" i="15"/>
  <c r="A1801" i="15"/>
  <c r="AA1800" i="15"/>
  <c r="B1800" i="15"/>
  <c r="A1800" i="15"/>
  <c r="AA1799" i="15"/>
  <c r="B1799" i="15"/>
  <c r="A1799" i="15"/>
  <c r="AA1798" i="15"/>
  <c r="B1798" i="15"/>
  <c r="A1798" i="15"/>
  <c r="AA1797" i="15"/>
  <c r="B1797" i="15"/>
  <c r="A1797" i="15"/>
  <c r="AA1796" i="15"/>
  <c r="B1796" i="15"/>
  <c r="A1796" i="15"/>
  <c r="AA1795" i="15"/>
  <c r="B1795" i="15"/>
  <c r="A1795" i="15"/>
  <c r="AA2813" i="15"/>
  <c r="B2813" i="15"/>
  <c r="A2813" i="15"/>
  <c r="AA1793" i="15"/>
  <c r="B1793" i="15"/>
  <c r="A1793" i="15"/>
  <c r="AA1792" i="15"/>
  <c r="B1792" i="15"/>
  <c r="A1792" i="15"/>
  <c r="AA1791" i="15"/>
  <c r="B1791" i="15"/>
  <c r="A1791" i="15"/>
  <c r="AA1790" i="15"/>
  <c r="B1790" i="15"/>
  <c r="A1790" i="15"/>
  <c r="AA1789" i="15"/>
  <c r="B1789" i="15"/>
  <c r="A1789" i="15"/>
  <c r="V1788" i="15"/>
  <c r="A1788" i="15"/>
  <c r="AA1787" i="15"/>
  <c r="B1787" i="15"/>
  <c r="A1787" i="15"/>
  <c r="AA1786" i="15"/>
  <c r="B1786" i="15"/>
  <c r="A1786" i="15"/>
  <c r="V1785" i="15"/>
  <c r="A1785" i="15"/>
  <c r="AA1784" i="15"/>
  <c r="B1784" i="15"/>
  <c r="A1784" i="15"/>
  <c r="AA1783" i="15"/>
  <c r="B1783" i="15"/>
  <c r="A1783" i="15"/>
  <c r="AA1782" i="15"/>
  <c r="B1782" i="15"/>
  <c r="A1782" i="15"/>
  <c r="V1781" i="15"/>
  <c r="A1781" i="15"/>
  <c r="AA1780" i="15"/>
  <c r="B1780" i="15"/>
  <c r="A1780" i="15"/>
  <c r="AA1779" i="15"/>
  <c r="B1779" i="15"/>
  <c r="A1779" i="15"/>
  <c r="AA1778" i="15"/>
  <c r="B1778" i="15"/>
  <c r="A1778" i="15"/>
  <c r="AA1777" i="15"/>
  <c r="B1777" i="15"/>
  <c r="A1777" i="15"/>
  <c r="AA1776" i="15"/>
  <c r="B1776" i="15"/>
  <c r="A1776" i="15"/>
  <c r="AA1775" i="15"/>
  <c r="B1775" i="15"/>
  <c r="A1775" i="15"/>
  <c r="AA1774" i="15"/>
  <c r="B1774" i="15"/>
  <c r="A1774" i="15"/>
  <c r="AA1773" i="15"/>
  <c r="B1773" i="15"/>
  <c r="A1773" i="15"/>
  <c r="AA1772" i="15"/>
  <c r="B1772" i="15"/>
  <c r="A1772" i="15"/>
  <c r="AA1771" i="15"/>
  <c r="B1771" i="15"/>
  <c r="A1771" i="15"/>
  <c r="AA1770" i="15"/>
  <c r="B1770" i="15"/>
  <c r="A1770" i="15"/>
  <c r="AA1769" i="15"/>
  <c r="B1769" i="15"/>
  <c r="A1769" i="15"/>
  <c r="AA1768" i="15"/>
  <c r="B1768" i="15"/>
  <c r="A1768" i="15"/>
  <c r="AA1767" i="15"/>
  <c r="B1767" i="15"/>
  <c r="A1767" i="15"/>
  <c r="AA1766" i="15"/>
  <c r="B1766" i="15"/>
  <c r="A1766" i="15"/>
  <c r="AA1765" i="15"/>
  <c r="B1765" i="15"/>
  <c r="A1765" i="15"/>
  <c r="AA1764" i="15"/>
  <c r="B1764" i="15"/>
  <c r="A1764" i="15"/>
  <c r="AA1763" i="15"/>
  <c r="B1763" i="15"/>
  <c r="A1763" i="15"/>
  <c r="AA1762" i="15"/>
  <c r="B1762" i="15"/>
  <c r="A1762" i="15"/>
  <c r="V1761" i="15"/>
  <c r="A1761" i="15"/>
  <c r="V1760" i="15"/>
  <c r="A1760" i="15"/>
  <c r="V1759" i="15"/>
  <c r="A1759" i="15"/>
  <c r="AA1758" i="15"/>
  <c r="B1758" i="15"/>
  <c r="A1758" i="15"/>
  <c r="V1757" i="15"/>
  <c r="A1757" i="15"/>
  <c r="AA1756" i="15"/>
  <c r="B1756" i="15"/>
  <c r="A1756" i="15"/>
  <c r="AA1755" i="15"/>
  <c r="B1755" i="15"/>
  <c r="A1755" i="15"/>
  <c r="AA1754" i="15"/>
  <c r="B1754" i="15"/>
  <c r="A1754" i="15"/>
  <c r="AA1753" i="15"/>
  <c r="B1753" i="15"/>
  <c r="A1753" i="15"/>
  <c r="V1752" i="15"/>
  <c r="A1752" i="15"/>
  <c r="AA1751" i="15"/>
  <c r="B1751" i="15"/>
  <c r="A1751" i="15"/>
  <c r="AA1750" i="15"/>
  <c r="B1750" i="15"/>
  <c r="A1750" i="15"/>
  <c r="AA1749" i="15"/>
  <c r="B1749" i="15"/>
  <c r="A1749" i="15"/>
  <c r="V1748" i="15"/>
  <c r="A1748" i="15"/>
  <c r="V1747" i="15"/>
  <c r="A1747" i="15"/>
  <c r="AA1746" i="15"/>
  <c r="B1746" i="15"/>
  <c r="A1746" i="15"/>
  <c r="AA1745" i="15"/>
  <c r="B1745" i="15"/>
  <c r="A1745" i="15"/>
  <c r="V1744" i="15"/>
  <c r="A1744" i="15"/>
  <c r="V1743" i="15"/>
  <c r="A1743" i="15"/>
  <c r="V1742" i="15"/>
  <c r="A1742" i="15"/>
  <c r="AA1741" i="15"/>
  <c r="B1741" i="15"/>
  <c r="A1741" i="15"/>
  <c r="AA1740" i="15"/>
  <c r="B1740" i="15"/>
  <c r="A1740" i="15"/>
  <c r="AA1739" i="15"/>
  <c r="B1739" i="15"/>
  <c r="A1739" i="15"/>
  <c r="AA1738" i="15"/>
  <c r="B1738" i="15"/>
  <c r="A1738" i="15"/>
  <c r="AA1737" i="15"/>
  <c r="B1737" i="15"/>
  <c r="A1737" i="15"/>
  <c r="V1736" i="15"/>
  <c r="A1736" i="15"/>
  <c r="AA1735" i="15"/>
  <c r="B1735" i="15"/>
  <c r="A1735" i="15"/>
  <c r="AA1734" i="15"/>
  <c r="B1734" i="15"/>
  <c r="A1734" i="15"/>
  <c r="AA1733" i="15"/>
  <c r="B1733" i="15"/>
  <c r="A1733" i="15"/>
  <c r="AA1732" i="15"/>
  <c r="B1732" i="15"/>
  <c r="A1732" i="15"/>
  <c r="AA1731" i="15"/>
  <c r="B1731" i="15"/>
  <c r="A1731" i="15"/>
  <c r="AA1730" i="15"/>
  <c r="B1730" i="15"/>
  <c r="A1730" i="15"/>
  <c r="V1729" i="15"/>
  <c r="A1729" i="15"/>
  <c r="AA1728" i="15"/>
  <c r="B1728" i="15"/>
  <c r="A1728" i="15"/>
  <c r="V1727" i="15"/>
  <c r="A1727" i="15"/>
  <c r="V1726" i="15"/>
  <c r="A1726" i="15"/>
  <c r="AA1725" i="15"/>
  <c r="B1725" i="15"/>
  <c r="A1725" i="15"/>
  <c r="V1724" i="15"/>
  <c r="A1724" i="15"/>
  <c r="AA1723" i="15"/>
  <c r="B1723" i="15"/>
  <c r="A1723" i="15"/>
  <c r="V1722" i="15"/>
  <c r="A1722" i="15"/>
  <c r="B1721" i="15"/>
  <c r="A1721" i="15"/>
  <c r="AA1720" i="15"/>
  <c r="B1720" i="15"/>
  <c r="A1720" i="15"/>
  <c r="AA1664" i="15"/>
  <c r="B1664" i="15"/>
  <c r="A1664" i="15"/>
  <c r="AA1718" i="15"/>
  <c r="B1718" i="15"/>
  <c r="A1718" i="15"/>
  <c r="AA1717" i="15"/>
  <c r="B1717" i="15"/>
  <c r="A1717" i="15"/>
  <c r="V1716" i="15"/>
  <c r="A1716" i="15"/>
  <c r="AA1715" i="15"/>
  <c r="B1715" i="15"/>
  <c r="A1715" i="15"/>
  <c r="AA1714" i="15"/>
  <c r="B1714" i="15"/>
  <c r="A1714" i="15"/>
  <c r="AA1713" i="15"/>
  <c r="B1713" i="15"/>
  <c r="A1713" i="15"/>
  <c r="V1712" i="15"/>
  <c r="A1712" i="15"/>
  <c r="AA1711" i="15"/>
  <c r="B1711" i="15"/>
  <c r="A1711" i="15"/>
  <c r="AA1710" i="15"/>
  <c r="B1710" i="15"/>
  <c r="A1710" i="15"/>
  <c r="AA1709" i="15"/>
  <c r="B1709" i="15"/>
  <c r="A1709" i="15"/>
  <c r="V1708" i="15"/>
  <c r="A1708" i="15"/>
  <c r="AA1707" i="15"/>
  <c r="B1707" i="15"/>
  <c r="A1707" i="15"/>
  <c r="AA1706" i="15"/>
  <c r="B1706" i="15"/>
  <c r="A1706" i="15"/>
  <c r="AA1705" i="15"/>
  <c r="B1705" i="15"/>
  <c r="A1705" i="15"/>
  <c r="V1704" i="15"/>
  <c r="A1704" i="15"/>
  <c r="V1703" i="15"/>
  <c r="A1703" i="15"/>
  <c r="V1702" i="15"/>
  <c r="A1702" i="15"/>
  <c r="V1701" i="15"/>
  <c r="A1701" i="15"/>
  <c r="AA1700" i="15"/>
  <c r="B1700" i="15"/>
  <c r="A1700" i="15"/>
  <c r="V1699" i="15"/>
  <c r="A1699" i="15"/>
  <c r="V1698" i="15"/>
  <c r="A1698" i="15"/>
  <c r="AA1697" i="15"/>
  <c r="B1697" i="15"/>
  <c r="A1697" i="15"/>
  <c r="V1696" i="15"/>
  <c r="A1696" i="15"/>
  <c r="AA1695" i="15"/>
  <c r="B1695" i="15"/>
  <c r="A1695" i="15"/>
  <c r="AA1694" i="15"/>
  <c r="B1694" i="15"/>
  <c r="A1694" i="15"/>
  <c r="AA1693" i="15"/>
  <c r="B1693" i="15"/>
  <c r="A1693" i="15"/>
  <c r="AA1692" i="15"/>
  <c r="B1692" i="15"/>
  <c r="A1692" i="15"/>
  <c r="V1691" i="15"/>
  <c r="A1691" i="15"/>
  <c r="AA1690" i="15"/>
  <c r="B1690" i="15"/>
  <c r="A1690" i="15"/>
  <c r="AA1689" i="15"/>
  <c r="B1689" i="15"/>
  <c r="A1689" i="15"/>
  <c r="AA1688" i="15"/>
  <c r="B1688" i="15"/>
  <c r="A1688" i="15"/>
  <c r="AA1687" i="15"/>
  <c r="B1687" i="15"/>
  <c r="A1687" i="15"/>
  <c r="AA1686" i="15"/>
  <c r="B1686" i="15"/>
  <c r="A1686" i="15"/>
  <c r="AA1685" i="15"/>
  <c r="B1685" i="15"/>
  <c r="A1685" i="15"/>
  <c r="AA1684" i="15"/>
  <c r="B1684" i="15"/>
  <c r="A1684" i="15"/>
  <c r="AA1683" i="15"/>
  <c r="B1683" i="15"/>
  <c r="A1683" i="15"/>
  <c r="AA1682" i="15"/>
  <c r="B1682" i="15"/>
  <c r="A1682" i="15"/>
  <c r="AA1681" i="15"/>
  <c r="B1681" i="15"/>
  <c r="A1681" i="15"/>
  <c r="AA1680" i="15"/>
  <c r="B1680" i="15"/>
  <c r="A1680" i="15"/>
  <c r="AA1679" i="15"/>
  <c r="B1679" i="15"/>
  <c r="A1679" i="15"/>
  <c r="AA1678" i="15"/>
  <c r="B1678" i="15"/>
  <c r="A1678" i="15"/>
  <c r="AA1677" i="15"/>
  <c r="B1677" i="15"/>
  <c r="A1677" i="15"/>
  <c r="AA1676" i="15"/>
  <c r="B1676" i="15"/>
  <c r="A1676" i="15"/>
  <c r="V1675" i="15"/>
  <c r="A1675" i="15"/>
  <c r="V1674" i="15"/>
  <c r="A1674" i="15"/>
  <c r="V1673" i="15"/>
  <c r="A1673" i="15"/>
  <c r="AA1672" i="15"/>
  <c r="B1672" i="15"/>
  <c r="A1672" i="15"/>
  <c r="V1671" i="15"/>
  <c r="A1671" i="15"/>
  <c r="V1670" i="15"/>
  <c r="A1670" i="15"/>
  <c r="V1669" i="15"/>
  <c r="A1669" i="15"/>
  <c r="AA1668" i="15"/>
  <c r="B1668" i="15"/>
  <c r="A1668" i="15"/>
  <c r="V1667" i="15"/>
  <c r="A1667" i="15"/>
  <c r="V1666" i="15"/>
  <c r="A1666" i="15"/>
  <c r="AA1523" i="15"/>
  <c r="B1523" i="15"/>
  <c r="A1523" i="15"/>
  <c r="AA4870" i="15"/>
  <c r="B4870" i="15"/>
  <c r="A4870" i="15"/>
  <c r="AA1663" i="15"/>
  <c r="B1663" i="15"/>
  <c r="A1663" i="15"/>
  <c r="AA1662" i="15"/>
  <c r="B1662" i="15"/>
  <c r="A1662" i="15"/>
  <c r="AA1661" i="15"/>
  <c r="B1661" i="15"/>
  <c r="A1661" i="15"/>
  <c r="AA1660" i="15"/>
  <c r="B1660" i="15"/>
  <c r="A1660" i="15"/>
  <c r="AA1659" i="15"/>
  <c r="B1659" i="15"/>
  <c r="A1659" i="15"/>
  <c r="AA1658" i="15"/>
  <c r="B1658" i="15"/>
  <c r="A1658" i="15"/>
  <c r="AA1657" i="15"/>
  <c r="B1657" i="15"/>
  <c r="A1657" i="15"/>
  <c r="AA1656" i="15"/>
  <c r="B1656" i="15"/>
  <c r="A1656" i="15"/>
  <c r="AA1655" i="15"/>
  <c r="B1655" i="15"/>
  <c r="A1655" i="15"/>
  <c r="AA1654" i="15"/>
  <c r="B1654" i="15"/>
  <c r="A1654" i="15"/>
  <c r="AA1653" i="15"/>
  <c r="B1653" i="15"/>
  <c r="A1653" i="15"/>
  <c r="AA1652" i="15"/>
  <c r="B1652" i="15"/>
  <c r="A1652" i="15"/>
  <c r="AA1651" i="15"/>
  <c r="B1651" i="15"/>
  <c r="A1651" i="15"/>
  <c r="AA1650" i="15"/>
  <c r="B1650" i="15"/>
  <c r="A1650" i="15"/>
  <c r="AA1649" i="15"/>
  <c r="B1649" i="15"/>
  <c r="A1649" i="15"/>
  <c r="AA1648" i="15"/>
  <c r="B1648" i="15"/>
  <c r="A1648" i="15"/>
  <c r="AA1647" i="15"/>
  <c r="B1647" i="15"/>
  <c r="A1647" i="15"/>
  <c r="AA1646" i="15"/>
  <c r="B1646" i="15"/>
  <c r="A1646" i="15"/>
  <c r="V1645" i="15"/>
  <c r="A1645" i="15"/>
  <c r="V1644" i="15"/>
  <c r="A1644" i="15"/>
  <c r="AA1643" i="15"/>
  <c r="B1643" i="15"/>
  <c r="A1643" i="15"/>
  <c r="AA1642" i="15"/>
  <c r="B1642" i="15"/>
  <c r="A1642" i="15"/>
  <c r="AA1641" i="15"/>
  <c r="B1641" i="15"/>
  <c r="A1641" i="15"/>
  <c r="AA1640" i="15"/>
  <c r="B1640" i="15"/>
  <c r="A1640" i="15"/>
  <c r="AA1639" i="15"/>
  <c r="B1639" i="15"/>
  <c r="A1639" i="15"/>
  <c r="AA1638" i="15"/>
  <c r="B1638" i="15"/>
  <c r="A1638" i="15"/>
  <c r="AA1637" i="15"/>
  <c r="B1637" i="15"/>
  <c r="A1637" i="15"/>
  <c r="AA1636" i="15"/>
  <c r="B1636" i="15"/>
  <c r="A1636" i="15"/>
  <c r="AA4674" i="15"/>
  <c r="B4674" i="15"/>
  <c r="A4674" i="15"/>
  <c r="V1634" i="15"/>
  <c r="A1634" i="15"/>
  <c r="AA1633" i="15"/>
  <c r="B1633" i="15"/>
  <c r="A1633" i="15"/>
  <c r="AA3199" i="15"/>
  <c r="B3199" i="15"/>
  <c r="A3199" i="15"/>
  <c r="AA1631" i="15"/>
  <c r="B1631" i="15"/>
  <c r="A1631" i="15"/>
  <c r="V1630" i="15"/>
  <c r="A1630" i="15"/>
  <c r="AA1629" i="15"/>
  <c r="B1629" i="15"/>
  <c r="A1629" i="15"/>
  <c r="V1628" i="15"/>
  <c r="A1628" i="15"/>
  <c r="AA1627" i="15"/>
  <c r="B1627" i="15"/>
  <c r="A1627" i="15"/>
  <c r="AA1626" i="15"/>
  <c r="B1626" i="15"/>
  <c r="A1626" i="15"/>
  <c r="AA1625" i="15"/>
  <c r="B1625" i="15"/>
  <c r="A1625" i="15"/>
  <c r="V1624" i="15"/>
  <c r="A1624" i="15"/>
  <c r="AA1623" i="15"/>
  <c r="B1623" i="15"/>
  <c r="A1623" i="15"/>
  <c r="AA1622" i="15"/>
  <c r="B1622" i="15"/>
  <c r="A1622" i="15"/>
  <c r="AA1621" i="15"/>
  <c r="B1621" i="15"/>
  <c r="A1621" i="15"/>
  <c r="V1620" i="15"/>
  <c r="A1620" i="15"/>
  <c r="AA1619" i="15"/>
  <c r="B1619" i="15"/>
  <c r="A1619" i="15"/>
  <c r="AA1024" i="15"/>
  <c r="B1024" i="15"/>
  <c r="A1024" i="15"/>
  <c r="AA1617" i="15"/>
  <c r="B1617" i="15"/>
  <c r="A1617" i="15"/>
  <c r="V1616" i="15"/>
  <c r="A1616" i="15"/>
  <c r="AA1615" i="15"/>
  <c r="B1615" i="15"/>
  <c r="A1615" i="15"/>
  <c r="AA1614" i="15"/>
  <c r="B1614" i="15"/>
  <c r="A1614" i="15"/>
  <c r="AA1613" i="15"/>
  <c r="B1613" i="15"/>
  <c r="A1613" i="15"/>
  <c r="AA1612" i="15"/>
  <c r="B1612" i="15"/>
  <c r="A1612" i="15"/>
  <c r="AA3958" i="15"/>
  <c r="B3958" i="15"/>
  <c r="A3958" i="15"/>
  <c r="AA1610" i="15"/>
  <c r="B1610" i="15"/>
  <c r="A1610" i="15"/>
  <c r="AA1609" i="15"/>
  <c r="B1609" i="15"/>
  <c r="A1609" i="15"/>
  <c r="AA1608" i="15"/>
  <c r="B1608" i="15"/>
  <c r="A1608" i="15"/>
  <c r="AA1607" i="15"/>
  <c r="B1607" i="15"/>
  <c r="A1607" i="15"/>
  <c r="AA1606" i="15"/>
  <c r="B1606" i="15"/>
  <c r="A1606" i="15"/>
  <c r="AA1605" i="15"/>
  <c r="B1605" i="15"/>
  <c r="A1605" i="15"/>
  <c r="AA1604" i="15"/>
  <c r="B1604" i="15"/>
  <c r="A1604" i="15"/>
  <c r="AA1603" i="15"/>
  <c r="B1603" i="15"/>
  <c r="A1603" i="15"/>
  <c r="AA1602" i="15"/>
  <c r="B1602" i="15"/>
  <c r="A1602" i="15"/>
  <c r="AA1601" i="15"/>
  <c r="B1601" i="15"/>
  <c r="A1601" i="15"/>
  <c r="AA1600" i="15"/>
  <c r="B1600" i="15"/>
  <c r="A1600" i="15"/>
  <c r="AA1599" i="15"/>
  <c r="B1599" i="15"/>
  <c r="A1599" i="15"/>
  <c r="AA1598" i="15"/>
  <c r="B1598" i="15"/>
  <c r="A1598" i="15"/>
  <c r="AA1597" i="15"/>
  <c r="B1597" i="15"/>
  <c r="A1597" i="15"/>
  <c r="AA1596" i="15"/>
  <c r="B1596" i="15"/>
  <c r="A1596" i="15"/>
  <c r="AA1595" i="15"/>
  <c r="B1595" i="15"/>
  <c r="A1595" i="15"/>
  <c r="AA1594" i="15"/>
  <c r="B1594" i="15"/>
  <c r="A1594" i="15"/>
  <c r="AA1593" i="15"/>
  <c r="B1593" i="15"/>
  <c r="A1593" i="15"/>
  <c r="AA1592" i="15"/>
  <c r="B1592" i="15"/>
  <c r="A1592" i="15"/>
  <c r="AA1591" i="15"/>
  <c r="B1591" i="15"/>
  <c r="A1591" i="15"/>
  <c r="AA1590" i="15"/>
  <c r="B1590" i="15"/>
  <c r="A1590" i="15"/>
  <c r="V1589" i="15"/>
  <c r="A1589" i="15"/>
  <c r="AA1588" i="15"/>
  <c r="B1588" i="15"/>
  <c r="A1588" i="15"/>
  <c r="V1587" i="15"/>
  <c r="A1587" i="15"/>
  <c r="AA1586" i="15"/>
  <c r="B1586" i="15"/>
  <c r="A1586" i="15"/>
  <c r="V1585" i="15"/>
  <c r="A1585" i="15"/>
  <c r="AA1584" i="15"/>
  <c r="B1584" i="15"/>
  <c r="A1584" i="15"/>
  <c r="AA1583" i="15"/>
  <c r="B1583" i="15"/>
  <c r="A1583" i="15"/>
  <c r="V1582" i="15"/>
  <c r="A1582" i="15"/>
  <c r="AA1581" i="15"/>
  <c r="B1581" i="15"/>
  <c r="A1581" i="15"/>
  <c r="AA1580" i="15"/>
  <c r="B1580" i="15"/>
  <c r="A1580" i="15"/>
  <c r="V1579" i="15"/>
  <c r="A1579" i="15"/>
  <c r="AA1578" i="15"/>
  <c r="B1578" i="15"/>
  <c r="A1578" i="15"/>
  <c r="AA1577" i="15"/>
  <c r="B1577" i="15"/>
  <c r="A1577" i="15"/>
  <c r="AA1576" i="15"/>
  <c r="B1576" i="15"/>
  <c r="A1576" i="15"/>
  <c r="V1575" i="15"/>
  <c r="A1575" i="15"/>
  <c r="AA1574" i="15"/>
  <c r="B1574" i="15"/>
  <c r="A1574" i="15"/>
  <c r="AA1573" i="15"/>
  <c r="B1573" i="15"/>
  <c r="A1573" i="15"/>
  <c r="AA1572" i="15"/>
  <c r="B1572" i="15"/>
  <c r="A1572" i="15"/>
  <c r="AA1571" i="15"/>
  <c r="B1571" i="15"/>
  <c r="A1571" i="15"/>
  <c r="AA1570" i="15"/>
  <c r="B1570" i="15"/>
  <c r="A1570" i="15"/>
  <c r="AA1569" i="15"/>
  <c r="B1569" i="15"/>
  <c r="A1569" i="15"/>
  <c r="AA1568" i="15"/>
  <c r="B1568" i="15"/>
  <c r="A1568" i="15"/>
  <c r="AA1567" i="15"/>
  <c r="B1567" i="15"/>
  <c r="A1567" i="15"/>
  <c r="AA1566" i="15"/>
  <c r="B1566" i="15"/>
  <c r="A1566" i="15"/>
  <c r="AA1565" i="15"/>
  <c r="B1565" i="15"/>
  <c r="A1565" i="15"/>
  <c r="AA1564" i="15"/>
  <c r="B1564" i="15"/>
  <c r="A1564" i="15"/>
  <c r="AA2297" i="15"/>
  <c r="B2297" i="15"/>
  <c r="A2297" i="15"/>
  <c r="V1562" i="15"/>
  <c r="A1562" i="15"/>
  <c r="V1561" i="15"/>
  <c r="A1561" i="15"/>
  <c r="AA1560" i="15"/>
  <c r="B1560" i="15"/>
  <c r="A1560" i="15"/>
  <c r="AA1559" i="15"/>
  <c r="B1559" i="15"/>
  <c r="A1559" i="15"/>
  <c r="V1558" i="15"/>
  <c r="A1558" i="15"/>
  <c r="AA1557" i="15"/>
  <c r="B1557" i="15"/>
  <c r="A1557" i="15"/>
  <c r="AA1556" i="15"/>
  <c r="B1556" i="15"/>
  <c r="A1556" i="15"/>
  <c r="AA1555" i="15"/>
  <c r="B1555" i="15"/>
  <c r="A1555" i="15"/>
  <c r="AA1554" i="15"/>
  <c r="B1554" i="15"/>
  <c r="A1554" i="15"/>
  <c r="V1553" i="15"/>
  <c r="A1553" i="15"/>
  <c r="AA1552" i="15"/>
  <c r="B1552" i="15"/>
  <c r="A1552" i="15"/>
  <c r="AA1551" i="15"/>
  <c r="B1551" i="15"/>
  <c r="A1551" i="15"/>
  <c r="AA1550" i="15"/>
  <c r="B1550" i="15"/>
  <c r="A1550" i="15"/>
  <c r="AA1549" i="15"/>
  <c r="B1549" i="15"/>
  <c r="A1549" i="15"/>
  <c r="AA1548" i="15"/>
  <c r="B1548" i="15"/>
  <c r="A1548" i="15"/>
  <c r="AA1547" i="15"/>
  <c r="B1547" i="15"/>
  <c r="A1547" i="15"/>
  <c r="V1546" i="15"/>
  <c r="A1546" i="15"/>
  <c r="AA1545" i="15"/>
  <c r="B1545" i="15"/>
  <c r="A1545" i="15"/>
  <c r="V1544" i="15"/>
  <c r="A1544" i="15"/>
  <c r="AA4679" i="15"/>
  <c r="B4679" i="15"/>
  <c r="A4679" i="15"/>
  <c r="AA1542" i="15"/>
  <c r="B1542" i="15"/>
  <c r="A1542" i="15"/>
  <c r="AA1541" i="15"/>
  <c r="B1541" i="15"/>
  <c r="A1541" i="15"/>
  <c r="AA1540" i="15"/>
  <c r="B1540" i="15"/>
  <c r="A1540" i="15"/>
  <c r="AA1539" i="15"/>
  <c r="B1539" i="15"/>
  <c r="A1539" i="15"/>
  <c r="AA1538" i="15"/>
  <c r="B1538" i="15"/>
  <c r="A1538" i="15"/>
  <c r="AA1537" i="15"/>
  <c r="B1537" i="15"/>
  <c r="A1537" i="15"/>
  <c r="AA1536" i="15"/>
  <c r="B1536" i="15"/>
  <c r="A1536" i="15"/>
  <c r="AA1535" i="15"/>
  <c r="B1535" i="15"/>
  <c r="A1535" i="15"/>
  <c r="AA1534" i="15"/>
  <c r="B1534" i="15"/>
  <c r="A1534" i="15"/>
  <c r="AA1533" i="15"/>
  <c r="B1533" i="15"/>
  <c r="A1533" i="15"/>
  <c r="AA1532" i="15"/>
  <c r="B1532" i="15"/>
  <c r="A1532" i="15"/>
  <c r="AA1531" i="15"/>
  <c r="B1531" i="15"/>
  <c r="A1531" i="15"/>
  <c r="AA1530" i="15"/>
  <c r="B1530" i="15"/>
  <c r="A1530" i="15"/>
  <c r="AA1529" i="15"/>
  <c r="B1529" i="15"/>
  <c r="A1529" i="15"/>
  <c r="AA1528" i="15"/>
  <c r="B1528" i="15"/>
  <c r="A1528" i="15"/>
  <c r="AA4208" i="15"/>
  <c r="B4208" i="15"/>
  <c r="A4208" i="15"/>
  <c r="AA1526" i="15"/>
  <c r="B1526" i="15"/>
  <c r="A1526" i="15"/>
  <c r="AA1525" i="15"/>
  <c r="B1525" i="15"/>
  <c r="A1525" i="15"/>
  <c r="AA1524" i="15"/>
  <c r="B1524" i="15"/>
  <c r="A1524" i="15"/>
  <c r="AA2795" i="15"/>
  <c r="B2795" i="15"/>
  <c r="A2795" i="15"/>
  <c r="AA1522" i="15"/>
  <c r="B1522" i="15"/>
  <c r="A1522" i="15"/>
  <c r="V1521" i="15"/>
  <c r="A1521" i="15"/>
  <c r="AA1520" i="15"/>
  <c r="B1520" i="15"/>
  <c r="A1520" i="15"/>
  <c r="AA1519" i="15"/>
  <c r="B1519" i="15"/>
  <c r="A1519" i="15"/>
  <c r="AA1518" i="15"/>
  <c r="B1518" i="15"/>
  <c r="A1518" i="15"/>
  <c r="B1517" i="15"/>
  <c r="A1517" i="15"/>
  <c r="V1516" i="15"/>
  <c r="A1516" i="15"/>
  <c r="AA1515" i="15"/>
  <c r="B1515" i="15"/>
  <c r="A1515" i="15"/>
  <c r="AA1514" i="15"/>
  <c r="B1514" i="15"/>
  <c r="A1514" i="15"/>
  <c r="AA1513" i="15"/>
  <c r="B1513" i="15"/>
  <c r="A1513" i="15"/>
  <c r="AA1512" i="15"/>
  <c r="B1512" i="15"/>
  <c r="A1512" i="15"/>
  <c r="AA1511" i="15"/>
  <c r="B1511" i="15"/>
  <c r="A1511" i="15"/>
  <c r="AA1510" i="15"/>
  <c r="B1510" i="15"/>
  <c r="A1510" i="15"/>
  <c r="AA1509" i="15"/>
  <c r="B1509" i="15"/>
  <c r="A1509" i="15"/>
  <c r="AA1508" i="15"/>
  <c r="B1508" i="15"/>
  <c r="A1508" i="15"/>
  <c r="V1507" i="15"/>
  <c r="A1507" i="15"/>
  <c r="AA205" i="15"/>
  <c r="B205" i="15"/>
  <c r="A205" i="15"/>
  <c r="V1505" i="15"/>
  <c r="A1505" i="15"/>
  <c r="V1504" i="15"/>
  <c r="A1504" i="15"/>
  <c r="AA1503" i="15"/>
  <c r="B1503" i="15"/>
  <c r="A1503" i="15"/>
  <c r="AA1502" i="15"/>
  <c r="B1502" i="15"/>
  <c r="A1502" i="15"/>
  <c r="AA2493" i="15"/>
  <c r="B2493" i="15"/>
  <c r="A2493" i="15"/>
  <c r="AA1500" i="15"/>
  <c r="B1500" i="15"/>
  <c r="A1500" i="15"/>
  <c r="AA1499" i="15"/>
  <c r="B1499" i="15"/>
  <c r="A1499" i="15"/>
  <c r="AA1498" i="15"/>
  <c r="B1498" i="15"/>
  <c r="A1498" i="15"/>
  <c r="AA1497" i="15"/>
  <c r="B1497" i="15"/>
  <c r="A1497" i="15"/>
  <c r="AA1496" i="15"/>
  <c r="B1496" i="15"/>
  <c r="A1496" i="15"/>
  <c r="AA1495" i="15"/>
  <c r="B1495" i="15"/>
  <c r="A1495" i="15"/>
  <c r="AA1494" i="15"/>
  <c r="B1494" i="15"/>
  <c r="A1494" i="15"/>
  <c r="V1493" i="15"/>
  <c r="A1493" i="15"/>
  <c r="AA1492" i="15"/>
  <c r="B1492" i="15"/>
  <c r="A1492" i="15"/>
  <c r="AA1491" i="15"/>
  <c r="B1491" i="15"/>
  <c r="A1491" i="15"/>
  <c r="AA1490" i="15"/>
  <c r="B1490" i="15"/>
  <c r="A1490" i="15"/>
  <c r="AA1489" i="15"/>
  <c r="B1489" i="15"/>
  <c r="A1489" i="15"/>
  <c r="AA1488" i="15"/>
  <c r="B1488" i="15"/>
  <c r="A1488" i="15"/>
  <c r="AA1487" i="15"/>
  <c r="B1487" i="15"/>
  <c r="A1487" i="15"/>
  <c r="V1486" i="15"/>
  <c r="A1486" i="15"/>
  <c r="AA1485" i="15"/>
  <c r="B1485" i="15"/>
  <c r="A1485" i="15"/>
  <c r="AA1484" i="15"/>
  <c r="B1484" i="15"/>
  <c r="A1484" i="15"/>
  <c r="AA1483" i="15"/>
  <c r="B1483" i="15"/>
  <c r="A1483" i="15"/>
  <c r="AA1482" i="15"/>
  <c r="B1482" i="15"/>
  <c r="A1482" i="15"/>
  <c r="AA1481" i="15"/>
  <c r="B1481" i="15"/>
  <c r="A1481" i="15"/>
  <c r="AA1480" i="15"/>
  <c r="B1480" i="15"/>
  <c r="A1480" i="15"/>
  <c r="AA1479" i="15"/>
  <c r="B1479" i="15"/>
  <c r="A1479" i="15"/>
  <c r="AA1478" i="15"/>
  <c r="B1478" i="15"/>
  <c r="A1478" i="15"/>
  <c r="AA1477" i="15"/>
  <c r="B1477" i="15"/>
  <c r="A1477" i="15"/>
  <c r="AA1476" i="15"/>
  <c r="B1476" i="15"/>
  <c r="A1476" i="15"/>
  <c r="AA1475" i="15"/>
  <c r="B1475" i="15"/>
  <c r="A1475" i="15"/>
  <c r="AA1474" i="15"/>
  <c r="B1474" i="15"/>
  <c r="A1474" i="15"/>
  <c r="AA1473" i="15"/>
  <c r="B1473" i="15"/>
  <c r="A1473" i="15"/>
  <c r="AA1472" i="15"/>
  <c r="B1472" i="15"/>
  <c r="A1472" i="15"/>
  <c r="AA1471" i="15"/>
  <c r="B1471" i="15"/>
  <c r="A1471" i="15"/>
  <c r="AA1470" i="15"/>
  <c r="B1470" i="15"/>
  <c r="A1470" i="15"/>
  <c r="V1469" i="15"/>
  <c r="A1469" i="15"/>
  <c r="V1468" i="15"/>
  <c r="A1468" i="15"/>
  <c r="AA1467" i="15"/>
  <c r="B1467" i="15"/>
  <c r="A1467" i="15"/>
  <c r="AA1466" i="15"/>
  <c r="B1466" i="15"/>
  <c r="A1466" i="15"/>
  <c r="AA1465" i="15"/>
  <c r="B1465" i="15"/>
  <c r="A1465" i="15"/>
  <c r="AA1464" i="15"/>
  <c r="B1464" i="15"/>
  <c r="A1464" i="15"/>
  <c r="AA1463" i="15"/>
  <c r="B1463" i="15"/>
  <c r="A1463" i="15"/>
  <c r="V1462" i="15"/>
  <c r="A1462" i="15"/>
  <c r="V1461" i="15"/>
  <c r="A1461" i="15"/>
  <c r="V1460" i="15"/>
  <c r="A1460" i="15"/>
  <c r="V1459" i="15"/>
  <c r="A1459" i="15"/>
  <c r="V1458" i="15"/>
  <c r="A1458" i="15"/>
  <c r="V1457" i="15"/>
  <c r="A1457" i="15"/>
  <c r="V1456" i="15"/>
  <c r="A1456" i="15"/>
  <c r="AA1455" i="15"/>
  <c r="B1455" i="15"/>
  <c r="A1455" i="15"/>
  <c r="AA3282" i="15"/>
  <c r="B3282" i="15"/>
  <c r="A3282" i="15"/>
  <c r="V1453" i="15"/>
  <c r="A1453" i="15"/>
  <c r="AA1452" i="15"/>
  <c r="B1452" i="15"/>
  <c r="A1452" i="15"/>
  <c r="AA1451" i="15"/>
  <c r="B1451" i="15"/>
  <c r="A1451" i="15"/>
  <c r="AA1450" i="15"/>
  <c r="B1450" i="15"/>
  <c r="A1450" i="15"/>
  <c r="AA1449" i="15"/>
  <c r="B1449" i="15"/>
  <c r="A1449" i="15"/>
  <c r="AA1448" i="15"/>
  <c r="B1448" i="15"/>
  <c r="A1448" i="15"/>
  <c r="AA1447" i="15"/>
  <c r="B1447" i="15"/>
  <c r="A1447" i="15"/>
  <c r="AA1446" i="15"/>
  <c r="B1446" i="15"/>
  <c r="A1446" i="15"/>
  <c r="AA1445" i="15"/>
  <c r="B1445" i="15"/>
  <c r="A1445" i="15"/>
  <c r="AA2029" i="15"/>
  <c r="B2029" i="15"/>
  <c r="A2029" i="15"/>
  <c r="AA1443" i="15"/>
  <c r="B1443" i="15"/>
  <c r="A1443" i="15"/>
  <c r="AA1442" i="15"/>
  <c r="B1442" i="15"/>
  <c r="A1442" i="15"/>
  <c r="AA1441" i="15"/>
  <c r="B1441" i="15"/>
  <c r="A1441" i="15"/>
  <c r="AA1440" i="15"/>
  <c r="B1440" i="15"/>
  <c r="A1440" i="15"/>
  <c r="AA1439" i="15"/>
  <c r="B1439" i="15"/>
  <c r="A1439" i="15"/>
  <c r="AA1438" i="15"/>
  <c r="B1438" i="15"/>
  <c r="A1438" i="15"/>
  <c r="AA1437" i="15"/>
  <c r="B1437" i="15"/>
  <c r="A1437" i="15"/>
  <c r="AA3011" i="15"/>
  <c r="B3011" i="15"/>
  <c r="A3011" i="15"/>
  <c r="AA1435" i="15"/>
  <c r="B1435" i="15"/>
  <c r="A1435" i="15"/>
  <c r="AA1434" i="15"/>
  <c r="B1434" i="15"/>
  <c r="A1434" i="15"/>
  <c r="V1433" i="15"/>
  <c r="A1433" i="15"/>
  <c r="V1432" i="15"/>
  <c r="A1432" i="15"/>
  <c r="AA1431" i="15"/>
  <c r="B1431" i="15"/>
  <c r="A1431" i="15"/>
  <c r="AA1430" i="15"/>
  <c r="B1430" i="15"/>
  <c r="A1430" i="15"/>
  <c r="AA1429" i="15"/>
  <c r="B1429" i="15"/>
  <c r="A1429" i="15"/>
  <c r="AA1428" i="15"/>
  <c r="B1428" i="15"/>
  <c r="A1428" i="15"/>
  <c r="AA1427" i="15"/>
  <c r="B1427" i="15"/>
  <c r="A1427" i="15"/>
  <c r="AA1426" i="15"/>
  <c r="B1426" i="15"/>
  <c r="A1426" i="15"/>
  <c r="AA1425" i="15"/>
  <c r="B1425" i="15"/>
  <c r="A1425" i="15"/>
  <c r="AA1424" i="15"/>
  <c r="B1424" i="15"/>
  <c r="A1424" i="15"/>
  <c r="AA1423" i="15"/>
  <c r="B1423" i="15"/>
  <c r="A1423" i="15"/>
  <c r="V1422" i="15"/>
  <c r="A1422" i="15"/>
  <c r="AA1421" i="15"/>
  <c r="B1421" i="15"/>
  <c r="A1421" i="15"/>
  <c r="AA1420" i="15"/>
  <c r="B1420" i="15"/>
  <c r="A1420" i="15"/>
  <c r="AA1419" i="15"/>
  <c r="B1419" i="15"/>
  <c r="A1419" i="15"/>
  <c r="AA1418" i="15"/>
  <c r="B1418" i="15"/>
  <c r="A1418" i="15"/>
  <c r="AA1417" i="15"/>
  <c r="B1417" i="15"/>
  <c r="A1417" i="15"/>
  <c r="V1416" i="15"/>
  <c r="A1416" i="15"/>
  <c r="AA1415" i="15"/>
  <c r="B1415" i="15"/>
  <c r="A1415" i="15"/>
  <c r="AA1414" i="15"/>
  <c r="B1414" i="15"/>
  <c r="A1414" i="15"/>
  <c r="AA1413" i="15"/>
  <c r="B1413" i="15"/>
  <c r="A1413" i="15"/>
  <c r="AA1412" i="15"/>
  <c r="B1412" i="15"/>
  <c r="A1412" i="15"/>
  <c r="AA1411" i="15"/>
  <c r="B1411" i="15"/>
  <c r="A1411" i="15"/>
  <c r="AA1410" i="15"/>
  <c r="B1410" i="15"/>
  <c r="A1410" i="15"/>
  <c r="AA1409" i="15"/>
  <c r="B1409" i="15"/>
  <c r="A1409" i="15"/>
  <c r="V1408" i="15"/>
  <c r="A1408" i="15"/>
  <c r="AA1407" i="15"/>
  <c r="B1407" i="15"/>
  <c r="A1407" i="15"/>
  <c r="AA1406" i="15"/>
  <c r="B1406" i="15"/>
  <c r="A1406" i="15"/>
  <c r="AA1405" i="15"/>
  <c r="B1405" i="15"/>
  <c r="A1405" i="15"/>
  <c r="AA1404" i="15"/>
  <c r="B1404" i="15"/>
  <c r="A1404" i="15"/>
  <c r="V1403" i="15"/>
  <c r="A1403" i="15"/>
  <c r="AA1402" i="15"/>
  <c r="B1402" i="15"/>
  <c r="A1402" i="15"/>
  <c r="V1401" i="15"/>
  <c r="A1401" i="15"/>
  <c r="V1400" i="15"/>
  <c r="A1400" i="15"/>
  <c r="AA1399" i="15"/>
  <c r="B1399" i="15"/>
  <c r="A1399" i="15"/>
  <c r="AA1398" i="15"/>
  <c r="B1398" i="15"/>
  <c r="A1398" i="15"/>
  <c r="AA1397" i="15"/>
  <c r="B1397" i="15"/>
  <c r="A1397" i="15"/>
  <c r="AA1396" i="15"/>
  <c r="B1396" i="15"/>
  <c r="A1396" i="15"/>
  <c r="AA1395" i="15"/>
  <c r="B1395" i="15"/>
  <c r="A1395" i="15"/>
  <c r="AA1394" i="15"/>
  <c r="B1394" i="15"/>
  <c r="A1394" i="15"/>
  <c r="V1393" i="15"/>
  <c r="A1393" i="15"/>
  <c r="AA1392" i="15"/>
  <c r="B1392" i="15"/>
  <c r="A1392" i="15"/>
  <c r="AA1391" i="15"/>
  <c r="B1391" i="15"/>
  <c r="A1391" i="15"/>
  <c r="AA1390" i="15"/>
  <c r="B1390" i="15"/>
  <c r="A1390" i="15"/>
  <c r="AA1389" i="15"/>
  <c r="B1389" i="15"/>
  <c r="A1389" i="15"/>
  <c r="AA1563" i="15"/>
  <c r="B1563" i="15"/>
  <c r="A1563" i="15"/>
  <c r="V1387" i="15"/>
  <c r="A1387" i="15"/>
  <c r="AA1386" i="15"/>
  <c r="B1386" i="15"/>
  <c r="A1386" i="15"/>
  <c r="AA1385" i="15"/>
  <c r="B1385" i="15"/>
  <c r="A1385" i="15"/>
  <c r="AA1384" i="15"/>
  <c r="B1384" i="15"/>
  <c r="A1384" i="15"/>
  <c r="AA1383" i="15"/>
  <c r="B1383" i="15"/>
  <c r="A1383" i="15"/>
  <c r="AA1382" i="15"/>
  <c r="B1382" i="15"/>
  <c r="A1382" i="15"/>
  <c r="AA1381" i="15"/>
  <c r="B1381" i="15"/>
  <c r="A1381" i="15"/>
  <c r="V1380" i="15"/>
  <c r="A1380" i="15"/>
  <c r="AA1379" i="15"/>
  <c r="B1379" i="15"/>
  <c r="A1379" i="15"/>
  <c r="AA1378" i="15"/>
  <c r="B1378" i="15"/>
  <c r="A1378" i="15"/>
  <c r="AA1377" i="15"/>
  <c r="B1377" i="15"/>
  <c r="A1377" i="15"/>
  <c r="AA1376" i="15"/>
  <c r="B1376" i="15"/>
  <c r="A1376" i="15"/>
  <c r="AA1375" i="15"/>
  <c r="B1375" i="15"/>
  <c r="A1375" i="15"/>
  <c r="AA1374" i="15"/>
  <c r="B1374" i="15"/>
  <c r="A1374" i="15"/>
  <c r="AA1373" i="15"/>
  <c r="B1373" i="15"/>
  <c r="A1373" i="15"/>
  <c r="AA1372" i="15"/>
  <c r="B1372" i="15"/>
  <c r="A1372" i="15"/>
  <c r="AA1371" i="15"/>
  <c r="B1371" i="15"/>
  <c r="A1371" i="15"/>
  <c r="AA1370" i="15"/>
  <c r="B1370" i="15"/>
  <c r="A1370" i="15"/>
  <c r="V1369" i="15"/>
  <c r="A1369" i="15"/>
  <c r="AA1368" i="15"/>
  <c r="B1368" i="15"/>
  <c r="A1368" i="15"/>
  <c r="AA1367" i="15"/>
  <c r="B1367" i="15"/>
  <c r="A1367" i="15"/>
  <c r="V1366" i="15"/>
  <c r="A1366" i="15"/>
  <c r="AA1365" i="15"/>
  <c r="B1365" i="15"/>
  <c r="A1365" i="15"/>
  <c r="AA1364" i="15"/>
  <c r="B1364" i="15"/>
  <c r="A1364" i="15"/>
  <c r="V1363" i="15"/>
  <c r="A1363" i="15"/>
  <c r="AA1362" i="15"/>
  <c r="B1362" i="15"/>
  <c r="A1362" i="15"/>
  <c r="AA1361" i="15"/>
  <c r="B1361" i="15"/>
  <c r="A1361" i="15"/>
  <c r="AA1360" i="15"/>
  <c r="B1360" i="15"/>
  <c r="A1360" i="15"/>
  <c r="AA1359" i="15"/>
  <c r="B1359" i="15"/>
  <c r="A1359" i="15"/>
  <c r="AA1358" i="15"/>
  <c r="B1358" i="15"/>
  <c r="A1358" i="15"/>
  <c r="AA1357" i="15"/>
  <c r="B1357" i="15"/>
  <c r="A1357" i="15"/>
  <c r="AA1356" i="15"/>
  <c r="B1356" i="15"/>
  <c r="A1356" i="15"/>
  <c r="AA1355" i="15"/>
  <c r="B1355" i="15"/>
  <c r="A1355" i="15"/>
  <c r="AA1354" i="15"/>
  <c r="B1354" i="15"/>
  <c r="A1354" i="15"/>
  <c r="B1353" i="15"/>
  <c r="A1353" i="15"/>
  <c r="V1352" i="15"/>
  <c r="A1352" i="15"/>
  <c r="V1351" i="15"/>
  <c r="A1351" i="15"/>
  <c r="AA1350" i="15"/>
  <c r="B1350" i="15"/>
  <c r="A1350" i="15"/>
  <c r="V1349" i="15"/>
  <c r="A1349" i="15"/>
  <c r="AA1348" i="15"/>
  <c r="B1348" i="15"/>
  <c r="A1348" i="15"/>
  <c r="AA1347" i="15"/>
  <c r="B1347" i="15"/>
  <c r="A1347" i="15"/>
  <c r="AA1346" i="15"/>
  <c r="B1346" i="15"/>
  <c r="A1346" i="15"/>
  <c r="AA1345" i="15"/>
  <c r="B1345" i="15"/>
  <c r="A1345" i="15"/>
  <c r="AA1344" i="15"/>
  <c r="B1344" i="15"/>
  <c r="A1344" i="15"/>
  <c r="AA1343" i="15"/>
  <c r="B1343" i="15"/>
  <c r="A1343" i="15"/>
  <c r="AA1342" i="15"/>
  <c r="B1342" i="15"/>
  <c r="A1342" i="15"/>
  <c r="AA1341" i="15"/>
  <c r="B1341" i="15"/>
  <c r="A1341" i="15"/>
  <c r="V1340" i="15"/>
  <c r="A1340" i="15"/>
  <c r="AA1339" i="15"/>
  <c r="B1339" i="15"/>
  <c r="A1339" i="15"/>
  <c r="V1338" i="15"/>
  <c r="A1338" i="15"/>
  <c r="V1337" i="15"/>
  <c r="A1337" i="15"/>
  <c r="AA1336" i="15"/>
  <c r="B1336" i="15"/>
  <c r="A1336" i="15"/>
  <c r="AA1335" i="15"/>
  <c r="B1335" i="15"/>
  <c r="A1335" i="15"/>
  <c r="AA1334" i="15"/>
  <c r="B1334" i="15"/>
  <c r="A1334" i="15"/>
  <c r="AA1333" i="15"/>
  <c r="B1333" i="15"/>
  <c r="A1333" i="15"/>
  <c r="AA1332" i="15"/>
  <c r="B1332" i="15"/>
  <c r="A1332" i="15"/>
  <c r="AA1331" i="15"/>
  <c r="B1331" i="15"/>
  <c r="A1331" i="15"/>
  <c r="V1330" i="15"/>
  <c r="A1330" i="15"/>
  <c r="AA1329" i="15"/>
  <c r="B1329" i="15"/>
  <c r="A1329" i="15"/>
  <c r="AA1328" i="15"/>
  <c r="B1328" i="15"/>
  <c r="A1328" i="15"/>
  <c r="AA1327" i="15"/>
  <c r="B1327" i="15"/>
  <c r="A1327" i="15"/>
  <c r="AA1326" i="15"/>
  <c r="B1326" i="15"/>
  <c r="A1326" i="15"/>
  <c r="AA1325" i="15"/>
  <c r="B1325" i="15"/>
  <c r="A1325" i="15"/>
  <c r="AA1324" i="15"/>
  <c r="B1324" i="15"/>
  <c r="A1324" i="15"/>
  <c r="V1323" i="15"/>
  <c r="A1323" i="15"/>
  <c r="AA1322" i="15"/>
  <c r="B1322" i="15"/>
  <c r="A1322" i="15"/>
  <c r="V1321" i="15"/>
  <c r="A1321" i="15"/>
  <c r="V1320" i="15"/>
  <c r="A1320" i="15"/>
  <c r="AA1319" i="15"/>
  <c r="B1319" i="15"/>
  <c r="A1319" i="15"/>
  <c r="AA1318" i="15"/>
  <c r="B1318" i="15"/>
  <c r="A1318" i="15"/>
  <c r="AA1317" i="15"/>
  <c r="B1317" i="15"/>
  <c r="A1317" i="15"/>
  <c r="AA1316" i="15"/>
  <c r="B1316" i="15"/>
  <c r="A1316" i="15"/>
  <c r="AA1315" i="15"/>
  <c r="B1315" i="15"/>
  <c r="A1315" i="15"/>
  <c r="AA1314" i="15"/>
  <c r="B1314" i="15"/>
  <c r="A1314" i="15"/>
  <c r="AA1313" i="15"/>
  <c r="B1313" i="15"/>
  <c r="A1313" i="15"/>
  <c r="AA1312" i="15"/>
  <c r="B1312" i="15"/>
  <c r="A1312" i="15"/>
  <c r="AA1311" i="15"/>
  <c r="B1311" i="15"/>
  <c r="A1311" i="15"/>
  <c r="AA1310" i="15"/>
  <c r="B1310" i="15"/>
  <c r="A1310" i="15"/>
  <c r="AA1309" i="15"/>
  <c r="B1309" i="15"/>
  <c r="A1309" i="15"/>
  <c r="AA1308" i="15"/>
  <c r="B1308" i="15"/>
  <c r="A1308" i="15"/>
  <c r="AA1307" i="15"/>
  <c r="B1307" i="15"/>
  <c r="A1307" i="15"/>
  <c r="AA1306" i="15"/>
  <c r="B1306" i="15"/>
  <c r="A1306" i="15"/>
  <c r="AA1305" i="15"/>
  <c r="B1305" i="15"/>
  <c r="A1305" i="15"/>
  <c r="AA1304" i="15"/>
  <c r="B1304" i="15"/>
  <c r="A1304" i="15"/>
  <c r="AA1303" i="15"/>
  <c r="B1303" i="15"/>
  <c r="A1303" i="15"/>
  <c r="V1302" i="15"/>
  <c r="A1302" i="15"/>
  <c r="AA1301" i="15"/>
  <c r="B1301" i="15"/>
  <c r="A1301" i="15"/>
  <c r="V1300" i="15"/>
  <c r="A1300" i="15"/>
  <c r="V1299" i="15"/>
  <c r="A1299" i="15"/>
  <c r="V1298" i="15"/>
  <c r="A1298" i="15"/>
  <c r="AA1297" i="15"/>
  <c r="B1297" i="15"/>
  <c r="A1297" i="15"/>
  <c r="AA1296" i="15"/>
  <c r="B1296" i="15"/>
  <c r="A1296" i="15"/>
  <c r="AA1295" i="15"/>
  <c r="B1295" i="15"/>
  <c r="A1295" i="15"/>
  <c r="V1294" i="15"/>
  <c r="A1294" i="15"/>
  <c r="AA1293" i="15"/>
  <c r="B1293" i="15"/>
  <c r="A1293" i="15"/>
  <c r="B1292" i="15"/>
  <c r="A1292" i="15"/>
  <c r="AA4649" i="15"/>
  <c r="B4649" i="15"/>
  <c r="AA3469" i="15"/>
  <c r="B3469" i="15"/>
  <c r="AA1289" i="15"/>
  <c r="B1289" i="15"/>
  <c r="A1289" i="15"/>
  <c r="AA1288" i="15"/>
  <c r="B1288" i="15"/>
  <c r="A1288" i="15"/>
  <c r="V1287" i="15"/>
  <c r="A1287" i="15"/>
  <c r="AA1286" i="15"/>
  <c r="B1286" i="15"/>
  <c r="A1286" i="15"/>
  <c r="AA1285" i="15"/>
  <c r="B1285" i="15"/>
  <c r="A1285" i="15"/>
  <c r="AA1284" i="15"/>
  <c r="B1284" i="15"/>
  <c r="A1284" i="15"/>
  <c r="V1283" i="15"/>
  <c r="A1283" i="15"/>
  <c r="AA1282" i="15"/>
  <c r="B1282" i="15"/>
  <c r="A1282" i="15"/>
  <c r="AA1281" i="15"/>
  <c r="B1281" i="15"/>
  <c r="A1281" i="15"/>
  <c r="AA1280" i="15"/>
  <c r="B1280" i="15"/>
  <c r="A1280" i="15"/>
  <c r="AA1279" i="15"/>
  <c r="B1279" i="15"/>
  <c r="A1279" i="15"/>
  <c r="AA1278" i="15"/>
  <c r="B1278" i="15"/>
  <c r="A1278" i="15"/>
  <c r="AA1277" i="15"/>
  <c r="B1277" i="15"/>
  <c r="A1277" i="15"/>
  <c r="AA1276" i="15"/>
  <c r="B1276" i="15"/>
  <c r="A1276" i="15"/>
  <c r="AA1275" i="15"/>
  <c r="B1275" i="15"/>
  <c r="A1275" i="15"/>
  <c r="AA1274" i="15"/>
  <c r="B1274" i="15"/>
  <c r="A1274" i="15"/>
  <c r="AA1273" i="15"/>
  <c r="B1273" i="15"/>
  <c r="A1273" i="15"/>
  <c r="AA1272" i="15"/>
  <c r="B1272" i="15"/>
  <c r="A1272" i="15"/>
  <c r="AA1271" i="15"/>
  <c r="B1271" i="15"/>
  <c r="A1271" i="15"/>
  <c r="AA1270" i="15"/>
  <c r="B1270" i="15"/>
  <c r="A1270" i="15"/>
  <c r="AA1269" i="15"/>
  <c r="B1269" i="15"/>
  <c r="A1269" i="15"/>
  <c r="AA1268" i="15"/>
  <c r="B1268" i="15"/>
  <c r="A1268" i="15"/>
  <c r="AA1267" i="15"/>
  <c r="B1267" i="15"/>
  <c r="A1267" i="15"/>
  <c r="AA1266" i="15"/>
  <c r="B1266" i="15"/>
  <c r="A1266" i="15"/>
  <c r="AA1265" i="15"/>
  <c r="B1265" i="15"/>
  <c r="A1265" i="15"/>
  <c r="AA1264" i="15"/>
  <c r="B1264" i="15"/>
  <c r="A1264" i="15"/>
  <c r="AA1263" i="15"/>
  <c r="B1263" i="15"/>
  <c r="A1263" i="15"/>
  <c r="V1262" i="15"/>
  <c r="A1262" i="15"/>
  <c r="AA1261" i="15"/>
  <c r="B1261" i="15"/>
  <c r="A1261" i="15"/>
  <c r="AA1051" i="15"/>
  <c r="B1051" i="15"/>
  <c r="A1051" i="15"/>
  <c r="AA1259" i="15"/>
  <c r="B1259" i="15"/>
  <c r="A1259" i="15"/>
  <c r="AA1258" i="15"/>
  <c r="B1258" i="15"/>
  <c r="A1258" i="15"/>
  <c r="AA1257" i="15"/>
  <c r="B1257" i="15"/>
  <c r="A1257" i="15"/>
  <c r="AA1256" i="15"/>
  <c r="B1256" i="15"/>
  <c r="A1256" i="15"/>
  <c r="AA1255" i="15"/>
  <c r="B1255" i="15"/>
  <c r="A1255" i="15"/>
  <c r="AA1254" i="15"/>
  <c r="B1254" i="15"/>
  <c r="A1254" i="15"/>
  <c r="AA1253" i="15"/>
  <c r="B1253" i="15"/>
  <c r="A1253" i="15"/>
  <c r="AA1252" i="15"/>
  <c r="B1252" i="15"/>
  <c r="A1252" i="15"/>
  <c r="AA1251" i="15"/>
  <c r="B1251" i="15"/>
  <c r="A1251" i="15"/>
  <c r="AA4650" i="15"/>
  <c r="B4650" i="15"/>
  <c r="A4650" i="15"/>
  <c r="AA1249" i="15"/>
  <c r="B1249" i="15"/>
  <c r="A1249" i="15"/>
  <c r="V1248" i="15"/>
  <c r="A1248" i="15"/>
  <c r="AA1247" i="15"/>
  <c r="B1247" i="15"/>
  <c r="A1247" i="15"/>
  <c r="V1246" i="15"/>
  <c r="A1246" i="15"/>
  <c r="AA1245" i="15"/>
  <c r="B1245" i="15"/>
  <c r="A1245" i="15"/>
  <c r="AA1244" i="15"/>
  <c r="B1244" i="15"/>
  <c r="A1244" i="15"/>
  <c r="AA1243" i="15"/>
  <c r="B1243" i="15"/>
  <c r="A1243" i="15"/>
  <c r="AA1242" i="15"/>
  <c r="B1242" i="15"/>
  <c r="A1242" i="15"/>
  <c r="AA1241" i="15"/>
  <c r="B1241" i="15"/>
  <c r="A1241" i="15"/>
  <c r="AA1240" i="15"/>
  <c r="B1240" i="15"/>
  <c r="A1240" i="15"/>
  <c r="AA1239" i="15"/>
  <c r="B1239" i="15"/>
  <c r="A1239" i="15"/>
  <c r="AA1238" i="15"/>
  <c r="B1238" i="15"/>
  <c r="A1238" i="15"/>
  <c r="AA1237" i="15"/>
  <c r="B1237" i="15"/>
  <c r="A1237" i="15"/>
  <c r="AA1236" i="15"/>
  <c r="B1236" i="15"/>
  <c r="A1236" i="15"/>
  <c r="V1235" i="15"/>
  <c r="A1235" i="15"/>
  <c r="AA1234" i="15"/>
  <c r="B1234" i="15"/>
  <c r="A1234" i="15"/>
  <c r="AA1233" i="15"/>
  <c r="B1233" i="15"/>
  <c r="A1233" i="15"/>
  <c r="V1232" i="15"/>
  <c r="A1232" i="15"/>
  <c r="AA1231" i="15"/>
  <c r="B1231" i="15"/>
  <c r="A1231" i="15"/>
  <c r="AA1230" i="15"/>
  <c r="B1230" i="15"/>
  <c r="A1230" i="15"/>
  <c r="V1229" i="15"/>
  <c r="A1229" i="15"/>
  <c r="V1228" i="15"/>
  <c r="A1228" i="15"/>
  <c r="B1227" i="15"/>
  <c r="A1227" i="15"/>
  <c r="AA1226" i="15"/>
  <c r="B1226" i="15"/>
  <c r="A1226" i="15"/>
  <c r="AA1225" i="15"/>
  <c r="B1225" i="15"/>
  <c r="A1225" i="15"/>
  <c r="AA1224" i="15"/>
  <c r="B1224" i="15"/>
  <c r="A1224" i="15"/>
  <c r="AA1223" i="15"/>
  <c r="B1223" i="15"/>
  <c r="A1223" i="15"/>
  <c r="AA1222" i="15"/>
  <c r="B1222" i="15"/>
  <c r="A1222" i="15"/>
  <c r="AA1221" i="15"/>
  <c r="B1221" i="15"/>
  <c r="A1221" i="15"/>
  <c r="AA1220" i="15"/>
  <c r="B1220" i="15"/>
  <c r="A1220" i="15"/>
  <c r="AA1388" i="15"/>
  <c r="B1388" i="15"/>
  <c r="A1388" i="15"/>
  <c r="AA1218" i="15"/>
  <c r="B1218" i="15"/>
  <c r="A1218" i="15"/>
  <c r="AA1217" i="15"/>
  <c r="B1217" i="15"/>
  <c r="A1217" i="15"/>
  <c r="AA1216" i="15"/>
  <c r="B1216" i="15"/>
  <c r="A1216" i="15"/>
  <c r="AA1215" i="15"/>
  <c r="B1215" i="15"/>
  <c r="A1215" i="15"/>
  <c r="AA1214" i="15"/>
  <c r="B1214" i="15"/>
  <c r="A1214" i="15"/>
  <c r="AA1213" i="15"/>
  <c r="B1213" i="15"/>
  <c r="A1213" i="15"/>
  <c r="AA2811" i="15"/>
  <c r="B2811" i="15"/>
  <c r="A2811" i="15"/>
  <c r="AA1211" i="15"/>
  <c r="B1211" i="15"/>
  <c r="A1211" i="15"/>
  <c r="AA1210" i="15"/>
  <c r="B1210" i="15"/>
  <c r="A1210" i="15"/>
  <c r="AA1209" i="15"/>
  <c r="B1209" i="15"/>
  <c r="A1209" i="15"/>
  <c r="AA1208" i="15"/>
  <c r="B1208" i="15"/>
  <c r="A1208" i="15"/>
  <c r="AA1207" i="15"/>
  <c r="B1207" i="15"/>
  <c r="A1207" i="15"/>
  <c r="AA1206" i="15"/>
  <c r="B1206" i="15"/>
  <c r="A1206" i="15"/>
  <c r="AA1205" i="15"/>
  <c r="B1205" i="15"/>
  <c r="A1205" i="15"/>
  <c r="AA1204" i="15"/>
  <c r="B1204" i="15"/>
  <c r="A1204" i="15"/>
  <c r="V1203" i="15"/>
  <c r="A1203" i="15"/>
  <c r="AA1202" i="15"/>
  <c r="B1202" i="15"/>
  <c r="A1202" i="15"/>
  <c r="AA1201" i="15"/>
  <c r="B1201" i="15"/>
  <c r="A1201" i="15"/>
  <c r="AA1200" i="15"/>
  <c r="B1200" i="15"/>
  <c r="A1200" i="15"/>
  <c r="AA1199" i="15"/>
  <c r="B1199" i="15"/>
  <c r="A1199" i="15"/>
  <c r="AA1198" i="15"/>
  <c r="B1198" i="15"/>
  <c r="A1198" i="15"/>
  <c r="AA1197" i="15"/>
  <c r="B1197" i="15"/>
  <c r="A1197" i="15"/>
  <c r="AA1196" i="15"/>
  <c r="B1196" i="15"/>
  <c r="A1196" i="15"/>
  <c r="AA1195" i="15"/>
  <c r="B1195" i="15"/>
  <c r="A1195" i="15"/>
  <c r="AA1194" i="15"/>
  <c r="B1194" i="15"/>
  <c r="A1194" i="15"/>
  <c r="B1193" i="15"/>
  <c r="A1193" i="15"/>
  <c r="AA1192" i="15"/>
  <c r="B1192" i="15"/>
  <c r="A1192" i="15"/>
  <c r="AA1191" i="15"/>
  <c r="B1191" i="15"/>
  <c r="A1191" i="15"/>
  <c r="AA1190" i="15"/>
  <c r="B1190" i="15"/>
  <c r="A1190" i="15"/>
  <c r="AA1189" i="15"/>
  <c r="B1189" i="15"/>
  <c r="A1189" i="15"/>
  <c r="AA1188" i="15"/>
  <c r="B1188" i="15"/>
  <c r="A1188" i="15"/>
  <c r="AA1187" i="15"/>
  <c r="B1187" i="15"/>
  <c r="A1187" i="15"/>
  <c r="AA1186" i="15"/>
  <c r="B1186" i="15"/>
  <c r="A1186" i="15"/>
  <c r="V1185" i="15"/>
  <c r="A1185" i="15"/>
  <c r="AA1184" i="15"/>
  <c r="B1184" i="15"/>
  <c r="A1184" i="15"/>
  <c r="AA222" i="15"/>
  <c r="B222" i="15"/>
  <c r="A222" i="15"/>
  <c r="AA1182" i="15"/>
  <c r="B1182" i="15"/>
  <c r="A1182" i="15"/>
  <c r="AA1181" i="15"/>
  <c r="B1181" i="15"/>
  <c r="A1181" i="15"/>
  <c r="AA1180" i="15"/>
  <c r="B1180" i="15"/>
  <c r="A1180" i="15"/>
  <c r="AA1179" i="15"/>
  <c r="B1179" i="15"/>
  <c r="A1179" i="15"/>
  <c r="AA1178" i="15"/>
  <c r="B1178" i="15"/>
  <c r="A1178" i="15"/>
  <c r="AA1177" i="15"/>
  <c r="B1177" i="15"/>
  <c r="A1177" i="15"/>
  <c r="AA1176" i="15"/>
  <c r="B1176" i="15"/>
  <c r="A1176" i="15"/>
  <c r="AA1175" i="15"/>
  <c r="B1175" i="15"/>
  <c r="A1175" i="15"/>
  <c r="AA1174" i="15"/>
  <c r="B1174" i="15"/>
  <c r="A1174" i="15"/>
  <c r="AA1173" i="15"/>
  <c r="B1173" i="15"/>
  <c r="A1173" i="15"/>
  <c r="AA1172" i="15"/>
  <c r="B1172" i="15"/>
  <c r="A1172" i="15"/>
  <c r="AA1171" i="15"/>
  <c r="B1171" i="15"/>
  <c r="A1171" i="15"/>
  <c r="AA1170" i="15"/>
  <c r="B1170" i="15"/>
  <c r="A1170" i="15"/>
  <c r="AA1169" i="15"/>
  <c r="B1169" i="15"/>
  <c r="A1169" i="15"/>
  <c r="V1168" i="15"/>
  <c r="A1168" i="15"/>
  <c r="AA1167" i="15"/>
  <c r="B1167" i="15"/>
  <c r="A1167" i="15"/>
  <c r="AA1166" i="15"/>
  <c r="B1166" i="15"/>
  <c r="A1166" i="15"/>
  <c r="AA1165" i="15"/>
  <c r="B1165" i="15"/>
  <c r="A1165" i="15"/>
  <c r="AA1164" i="15"/>
  <c r="B1164" i="15"/>
  <c r="A1164" i="15"/>
  <c r="V1163" i="15"/>
  <c r="A1163" i="15"/>
  <c r="AA1162" i="15"/>
  <c r="B1162" i="15"/>
  <c r="A1162" i="15"/>
  <c r="AA1161" i="15"/>
  <c r="B1161" i="15"/>
  <c r="A1161" i="15"/>
  <c r="AA1160" i="15"/>
  <c r="B1160" i="15"/>
  <c r="A1160" i="15"/>
  <c r="AA1159" i="15"/>
  <c r="B1159" i="15"/>
  <c r="A1159" i="15"/>
  <c r="AA1158" i="15"/>
  <c r="B1158" i="15"/>
  <c r="A1158" i="15"/>
  <c r="V1157" i="15"/>
  <c r="A1157" i="15"/>
  <c r="AA1156" i="15"/>
  <c r="B1156" i="15"/>
  <c r="A1156" i="15"/>
  <c r="AA1155" i="15"/>
  <c r="B1155" i="15"/>
  <c r="A1155" i="15"/>
  <c r="AA1154" i="15"/>
  <c r="B1154" i="15"/>
  <c r="A1154" i="15"/>
  <c r="V1153" i="15"/>
  <c r="A1153" i="15"/>
  <c r="AA1152" i="15"/>
  <c r="B1152" i="15"/>
  <c r="A1152" i="15"/>
  <c r="AA1151" i="15"/>
  <c r="B1151" i="15"/>
  <c r="A1151" i="15"/>
  <c r="AA1150" i="15"/>
  <c r="B1150" i="15"/>
  <c r="A1150" i="15"/>
  <c r="AA1149" i="15"/>
  <c r="B1149" i="15"/>
  <c r="A1149" i="15"/>
  <c r="AA1148" i="15"/>
  <c r="B1148" i="15"/>
  <c r="A1148" i="15"/>
  <c r="AA1147" i="15"/>
  <c r="B1147" i="15"/>
  <c r="A1147" i="15"/>
  <c r="AA1146" i="15"/>
  <c r="B1146" i="15"/>
  <c r="A1146" i="15"/>
  <c r="AA1145" i="15"/>
  <c r="B1145" i="15"/>
  <c r="A1145" i="15"/>
  <c r="V1144" i="15"/>
  <c r="A1144" i="15"/>
  <c r="AA1143" i="15"/>
  <c r="B1143" i="15"/>
  <c r="A1143" i="15"/>
  <c r="AA1142" i="15"/>
  <c r="B1142" i="15"/>
  <c r="A1142" i="15"/>
  <c r="AA1141" i="15"/>
  <c r="B1141" i="15"/>
  <c r="A1141" i="15"/>
  <c r="AA1140" i="15"/>
  <c r="B1140" i="15"/>
  <c r="A1140" i="15"/>
  <c r="AA1139" i="15"/>
  <c r="B1139" i="15"/>
  <c r="A1139" i="15"/>
  <c r="AA1138" i="15"/>
  <c r="B1138" i="15"/>
  <c r="A1138" i="15"/>
  <c r="AA2001" i="15"/>
  <c r="B2001" i="15"/>
  <c r="A2001" i="15"/>
  <c r="V1136" i="15"/>
  <c r="A1136" i="15"/>
  <c r="V1135" i="15"/>
  <c r="A1135" i="15"/>
  <c r="AA1134" i="15"/>
  <c r="B1134" i="15"/>
  <c r="A1134" i="15"/>
  <c r="AA1133" i="15"/>
  <c r="B1133" i="15"/>
  <c r="A1133" i="15"/>
  <c r="AA1132" i="15"/>
  <c r="B1132" i="15"/>
  <c r="A1132" i="15"/>
  <c r="AA1131" i="15"/>
  <c r="B1131" i="15"/>
  <c r="A1131" i="15"/>
  <c r="AA1130" i="15"/>
  <c r="B1130" i="15"/>
  <c r="A1130" i="15"/>
  <c r="AA1129" i="15"/>
  <c r="B1129" i="15"/>
  <c r="A1129" i="15"/>
  <c r="AA1128" i="15"/>
  <c r="B1128" i="15"/>
  <c r="A1128" i="15"/>
  <c r="AA1127" i="15"/>
  <c r="B1127" i="15"/>
  <c r="A1127" i="15"/>
  <c r="AA4843" i="15"/>
  <c r="B4843" i="15"/>
  <c r="A4843" i="15"/>
  <c r="V1125" i="15"/>
  <c r="A1125" i="15"/>
  <c r="AA1124" i="15"/>
  <c r="B1124" i="15"/>
  <c r="A1124" i="15"/>
  <c r="AA1123" i="15"/>
  <c r="B1123" i="15"/>
  <c r="A1123" i="15"/>
  <c r="AA1122" i="15"/>
  <c r="B1122" i="15"/>
  <c r="A1122" i="15"/>
  <c r="AA1121" i="15"/>
  <c r="B1121" i="15"/>
  <c r="A1121" i="15"/>
  <c r="V1120" i="15"/>
  <c r="A1120" i="15"/>
  <c r="AA1119" i="15"/>
  <c r="B1119" i="15"/>
  <c r="A1119" i="15"/>
  <c r="V1118" i="15"/>
  <c r="A1118" i="15"/>
  <c r="AA1117" i="15"/>
  <c r="B1117" i="15"/>
  <c r="A1117" i="15"/>
  <c r="AA1116" i="15"/>
  <c r="B1116" i="15"/>
  <c r="A1116" i="15"/>
  <c r="V1115" i="15"/>
  <c r="A1115" i="15"/>
  <c r="V1114" i="15"/>
  <c r="A1114" i="15"/>
  <c r="AA1113" i="15"/>
  <c r="B1113" i="15"/>
  <c r="A1113" i="15"/>
  <c r="AA1112" i="15"/>
  <c r="B1112" i="15"/>
  <c r="A1112" i="15"/>
  <c r="AA1111" i="15"/>
  <c r="B1111" i="15"/>
  <c r="A1111" i="15"/>
  <c r="V1110" i="15"/>
  <c r="A1110" i="15"/>
  <c r="AA1109" i="15"/>
  <c r="B1109" i="15"/>
  <c r="A1109" i="15"/>
  <c r="AA1108" i="15"/>
  <c r="B1108" i="15"/>
  <c r="A1108" i="15"/>
  <c r="AA1107" i="15"/>
  <c r="B1107" i="15"/>
  <c r="A1107" i="15"/>
  <c r="AA1106" i="15"/>
  <c r="B1106" i="15"/>
  <c r="A1106" i="15"/>
  <c r="AA1105" i="15"/>
  <c r="B1105" i="15"/>
  <c r="A1105" i="15"/>
  <c r="AA1104" i="15"/>
  <c r="B1104" i="15"/>
  <c r="A1104" i="15"/>
  <c r="AA1103" i="15"/>
  <c r="B1103" i="15"/>
  <c r="A1103" i="15"/>
  <c r="AA1102" i="15"/>
  <c r="B1102" i="15"/>
  <c r="A1102" i="15"/>
  <c r="AA1101" i="15"/>
  <c r="B1101" i="15"/>
  <c r="A1101" i="15"/>
  <c r="AA1100" i="15"/>
  <c r="B1100" i="15"/>
  <c r="A1100" i="15"/>
  <c r="AA1099" i="15"/>
  <c r="B1099" i="15"/>
  <c r="A1099" i="15"/>
  <c r="AA1098" i="15"/>
  <c r="B1098" i="15"/>
  <c r="A1098" i="15"/>
  <c r="V1097" i="15"/>
  <c r="A1097" i="15"/>
  <c r="V1096" i="15"/>
  <c r="A1096" i="15"/>
  <c r="V1095" i="15"/>
  <c r="A1095" i="15"/>
  <c r="V1094" i="15"/>
  <c r="A1094" i="15"/>
  <c r="V1093" i="15"/>
  <c r="A1093" i="15"/>
  <c r="AA1092" i="15"/>
  <c r="B1092" i="15"/>
  <c r="A1092" i="15"/>
  <c r="V1091" i="15"/>
  <c r="A1091" i="15"/>
  <c r="AA1090" i="15"/>
  <c r="B1090" i="15"/>
  <c r="A1090" i="15"/>
  <c r="AA1089" i="15"/>
  <c r="B1089" i="15"/>
  <c r="A1089" i="15"/>
  <c r="AA1088" i="15"/>
  <c r="B1088" i="15"/>
  <c r="A1088" i="15"/>
  <c r="AA1087" i="15"/>
  <c r="B1087" i="15"/>
  <c r="A1087" i="15"/>
  <c r="AA1086" i="15"/>
  <c r="B1086" i="15"/>
  <c r="A1086" i="15"/>
  <c r="AA1085" i="15"/>
  <c r="B1085" i="15"/>
  <c r="A1085" i="15"/>
  <c r="AA1084" i="15"/>
  <c r="B1084" i="15"/>
  <c r="A1084" i="15"/>
  <c r="V1083" i="15"/>
  <c r="A1083" i="15"/>
  <c r="V1082" i="15"/>
  <c r="A1082" i="15"/>
  <c r="AA1081" i="15"/>
  <c r="B1081" i="15"/>
  <c r="A1081" i="15"/>
  <c r="AA1080" i="15"/>
  <c r="B1080" i="15"/>
  <c r="A1080" i="15"/>
  <c r="AA1079" i="15"/>
  <c r="B1079" i="15"/>
  <c r="A1079" i="15"/>
  <c r="AA1078" i="15"/>
  <c r="B1078" i="15"/>
  <c r="A1078" i="15"/>
  <c r="AA1077" i="15"/>
  <c r="B1077" i="15"/>
  <c r="A1077" i="15"/>
  <c r="AA1076" i="15"/>
  <c r="B1076" i="15"/>
  <c r="A1076" i="15"/>
  <c r="AA1075" i="15"/>
  <c r="B1075" i="15"/>
  <c r="A1075" i="15"/>
  <c r="AA1074" i="15"/>
  <c r="B1074" i="15"/>
  <c r="A1074" i="15"/>
  <c r="AA1073" i="15"/>
  <c r="B1073" i="15"/>
  <c r="A1073" i="15"/>
  <c r="AA1072" i="15"/>
  <c r="B1072" i="15"/>
  <c r="A1072" i="15"/>
  <c r="AA1071" i="15"/>
  <c r="B1071" i="15"/>
  <c r="A1071" i="15"/>
  <c r="AA1070" i="15"/>
  <c r="B1070" i="15"/>
  <c r="A1070" i="15"/>
  <c r="AA1069" i="15"/>
  <c r="B1069" i="15"/>
  <c r="A1069" i="15"/>
  <c r="AA1068" i="15"/>
  <c r="B1068" i="15"/>
  <c r="A1068" i="15"/>
  <c r="AA1067" i="15"/>
  <c r="B1067" i="15"/>
  <c r="A1067" i="15"/>
  <c r="AA1066" i="15"/>
  <c r="B1066" i="15"/>
  <c r="A1066" i="15"/>
  <c r="V1065" i="15"/>
  <c r="A1065" i="15"/>
  <c r="AA1064" i="15"/>
  <c r="B1064" i="15"/>
  <c r="A1064" i="15"/>
  <c r="AA1063" i="15"/>
  <c r="B1063" i="15"/>
  <c r="A1063" i="15"/>
  <c r="V1062" i="15"/>
  <c r="A1062" i="15"/>
  <c r="V1061" i="15"/>
  <c r="A1061" i="15"/>
  <c r="AA1060" i="15"/>
  <c r="B1060" i="15"/>
  <c r="A1060" i="15"/>
  <c r="AA1059" i="15"/>
  <c r="B1059" i="15"/>
  <c r="A1059" i="15"/>
  <c r="AA1058" i="15"/>
  <c r="B1058" i="15"/>
  <c r="A1058" i="15"/>
  <c r="AA1057" i="15"/>
  <c r="B1057" i="15"/>
  <c r="A1057" i="15"/>
  <c r="AA1056" i="15"/>
  <c r="B1056" i="15"/>
  <c r="A1056" i="15"/>
  <c r="AA1055" i="15"/>
  <c r="B1055" i="15"/>
  <c r="A1055" i="15"/>
  <c r="AA1054" i="15"/>
  <c r="B1054" i="15"/>
  <c r="A1054" i="15"/>
  <c r="AA1053" i="15"/>
  <c r="B1053" i="15"/>
  <c r="A1053" i="15"/>
  <c r="AA1052" i="15"/>
  <c r="B1052" i="15"/>
  <c r="A1052" i="15"/>
  <c r="AA2021" i="15"/>
  <c r="B2021" i="15"/>
  <c r="A2021" i="15"/>
  <c r="AA1050" i="15"/>
  <c r="B1050" i="15"/>
  <c r="A1050" i="15"/>
  <c r="AA1049" i="15"/>
  <c r="B1049" i="15"/>
  <c r="A1049" i="15"/>
  <c r="AA1048" i="15"/>
  <c r="B1048" i="15"/>
  <c r="A1048" i="15"/>
  <c r="AA1047" i="15"/>
  <c r="B1047" i="15"/>
  <c r="A1047" i="15"/>
  <c r="AA1046" i="15"/>
  <c r="B1046" i="15"/>
  <c r="A1046" i="15"/>
  <c r="AA1045" i="15"/>
  <c r="B1045" i="15"/>
  <c r="A1045" i="15"/>
  <c r="AA1044" i="15"/>
  <c r="B1044" i="15"/>
  <c r="A1044" i="15"/>
  <c r="AA1043" i="15"/>
  <c r="B1043" i="15"/>
  <c r="A1043" i="15"/>
  <c r="AA1042" i="15"/>
  <c r="B1042" i="15"/>
  <c r="A1042" i="15"/>
  <c r="AA1041" i="15"/>
  <c r="B1041" i="15"/>
  <c r="A1041" i="15"/>
  <c r="AA1040" i="15"/>
  <c r="B1040" i="15"/>
  <c r="A1040" i="15"/>
  <c r="AA1039" i="15"/>
  <c r="B1039" i="15"/>
  <c r="A1039" i="15"/>
  <c r="AA1038" i="15"/>
  <c r="B1038" i="15"/>
  <c r="A1038" i="15"/>
  <c r="V1037" i="15"/>
  <c r="A1037" i="15"/>
  <c r="AA1036" i="15"/>
  <c r="B1036" i="15"/>
  <c r="A1036" i="15"/>
  <c r="AA1035" i="15"/>
  <c r="B1035" i="15"/>
  <c r="A1035" i="15"/>
  <c r="AA1034" i="15"/>
  <c r="B1034" i="15"/>
  <c r="A1034" i="15"/>
  <c r="AA1033" i="15"/>
  <c r="B1033" i="15"/>
  <c r="A1033" i="15"/>
  <c r="AA1032" i="15"/>
  <c r="B1032" i="15"/>
  <c r="A1032" i="15"/>
  <c r="AA1031" i="15"/>
  <c r="B1031" i="15"/>
  <c r="A1031" i="15"/>
  <c r="AA1030" i="15"/>
  <c r="B1030" i="15"/>
  <c r="A1030" i="15"/>
  <c r="AA1029" i="15"/>
  <c r="B1029" i="15"/>
  <c r="A1029" i="15"/>
  <c r="V1028" i="15"/>
  <c r="A1028" i="15"/>
  <c r="AA1027" i="15"/>
  <c r="B1027" i="15"/>
  <c r="A1027" i="15"/>
  <c r="V1026" i="15"/>
  <c r="A1026" i="15"/>
  <c r="AA1025" i="15"/>
  <c r="B1025" i="15"/>
  <c r="A1025" i="15"/>
  <c r="AA1183" i="15"/>
  <c r="B1183" i="15"/>
  <c r="A1183" i="15"/>
  <c r="AA1023" i="15"/>
  <c r="B1023" i="15"/>
  <c r="A1023" i="15"/>
  <c r="AA1022" i="15"/>
  <c r="B1022" i="15"/>
  <c r="A1022" i="15"/>
  <c r="V1021" i="15"/>
  <c r="A1021" i="15"/>
  <c r="V1020" i="15"/>
  <c r="A1020" i="15"/>
  <c r="AA1019" i="15"/>
  <c r="B1019" i="15"/>
  <c r="A1019" i="15"/>
  <c r="AA1018" i="15"/>
  <c r="B1018" i="15"/>
  <c r="A1018" i="15"/>
  <c r="AA1017" i="15"/>
  <c r="B1017" i="15"/>
  <c r="A1017" i="15"/>
  <c r="AA1016" i="15"/>
  <c r="B1016" i="15"/>
  <c r="A1016" i="15"/>
  <c r="AA1015" i="15"/>
  <c r="B1015" i="15"/>
  <c r="A1015" i="15"/>
  <c r="AA1014" i="15"/>
  <c r="B1014" i="15"/>
  <c r="A1014" i="15"/>
  <c r="AA1013" i="15"/>
  <c r="B1013" i="15"/>
  <c r="A1013" i="15"/>
  <c r="V1012" i="15"/>
  <c r="A1012" i="15"/>
  <c r="AA1011" i="15"/>
  <c r="B1011" i="15"/>
  <c r="A1011" i="15"/>
  <c r="AA1010" i="15"/>
  <c r="B1010" i="15"/>
  <c r="A1010" i="15"/>
  <c r="AA1009" i="15"/>
  <c r="B1009" i="15"/>
  <c r="A1009" i="15"/>
  <c r="AA1008" i="15"/>
  <c r="B1008" i="15"/>
  <c r="A1008" i="15"/>
  <c r="AA1007" i="15"/>
  <c r="B1007" i="15"/>
  <c r="A1007" i="15"/>
  <c r="AA1006" i="15"/>
  <c r="B1006" i="15"/>
  <c r="A1006" i="15"/>
  <c r="AA1005" i="15"/>
  <c r="B1005" i="15"/>
  <c r="A1005" i="15"/>
  <c r="AA1004" i="15"/>
  <c r="B1004" i="15"/>
  <c r="A1004" i="15"/>
  <c r="AA1003" i="15"/>
  <c r="B1003" i="15"/>
  <c r="A1003" i="15"/>
  <c r="AA1002" i="15"/>
  <c r="B1002" i="15"/>
  <c r="A1002" i="15"/>
  <c r="AA1001" i="15"/>
  <c r="B1001" i="15"/>
  <c r="A1001" i="15"/>
  <c r="AA1000" i="15"/>
  <c r="B1000" i="15"/>
  <c r="A1000" i="15"/>
  <c r="AA655" i="15"/>
  <c r="B655" i="15"/>
  <c r="A655" i="15"/>
  <c r="AA345" i="15"/>
  <c r="B345" i="15"/>
  <c r="A345" i="15"/>
  <c r="AA997" i="15"/>
  <c r="B997" i="15"/>
  <c r="A997" i="15"/>
  <c r="AA996" i="15"/>
  <c r="B996" i="15"/>
  <c r="A996" i="15"/>
  <c r="V995" i="15"/>
  <c r="A995" i="15"/>
  <c r="AA994" i="15"/>
  <c r="B994" i="15"/>
  <c r="A994" i="15"/>
  <c r="AA993" i="15"/>
  <c r="B993" i="15"/>
  <c r="A993" i="15"/>
  <c r="AA992" i="15"/>
  <c r="B992" i="15"/>
  <c r="A992" i="15"/>
  <c r="V991" i="15"/>
  <c r="A991" i="15"/>
  <c r="AA990" i="15"/>
  <c r="B990" i="15"/>
  <c r="A990" i="15"/>
  <c r="AA989" i="15"/>
  <c r="B989" i="15"/>
  <c r="A989" i="15"/>
  <c r="AA988" i="15"/>
  <c r="B988" i="15"/>
  <c r="A988" i="15"/>
  <c r="AA987" i="15"/>
  <c r="B987" i="15"/>
  <c r="A987" i="15"/>
  <c r="AA986" i="15"/>
  <c r="B986" i="15"/>
  <c r="A986" i="15"/>
  <c r="AA985" i="15"/>
  <c r="B985" i="15"/>
  <c r="A985" i="15"/>
  <c r="AA984" i="15"/>
  <c r="B984" i="15"/>
  <c r="A984" i="15"/>
  <c r="AA983" i="15"/>
  <c r="B983" i="15"/>
  <c r="A983" i="15"/>
  <c r="AA982" i="15"/>
  <c r="B982" i="15"/>
  <c r="A982" i="15"/>
  <c r="AA981" i="15"/>
  <c r="B981" i="15"/>
  <c r="A981" i="15"/>
  <c r="AA980" i="15"/>
  <c r="B980" i="15"/>
  <c r="A980" i="15"/>
  <c r="AA979" i="15"/>
  <c r="B979" i="15"/>
  <c r="A979" i="15"/>
  <c r="AA978" i="15"/>
  <c r="B978" i="15"/>
  <c r="A978" i="15"/>
  <c r="AA977" i="15"/>
  <c r="B977" i="15"/>
  <c r="A977" i="15"/>
  <c r="V976" i="15"/>
  <c r="A976" i="15"/>
  <c r="AA975" i="15"/>
  <c r="B975" i="15"/>
  <c r="A975" i="15"/>
  <c r="V974" i="15"/>
  <c r="A974" i="15"/>
  <c r="AA973" i="15"/>
  <c r="B973" i="15"/>
  <c r="A973" i="15"/>
  <c r="V972" i="15"/>
  <c r="A972" i="15"/>
  <c r="AA971" i="15"/>
  <c r="B971" i="15"/>
  <c r="A971" i="15"/>
  <c r="V970" i="15"/>
  <c r="A970" i="15"/>
  <c r="AA969" i="15"/>
  <c r="B969" i="15"/>
  <c r="A969" i="15"/>
  <c r="AA968" i="15"/>
  <c r="B968" i="15"/>
  <c r="A968" i="15"/>
  <c r="AA967" i="15"/>
  <c r="B967" i="15"/>
  <c r="A967" i="15"/>
  <c r="AA966" i="15"/>
  <c r="B966" i="15"/>
  <c r="A966" i="15"/>
  <c r="AA965" i="15"/>
  <c r="B965" i="15"/>
  <c r="A965" i="15"/>
  <c r="AA964" i="15"/>
  <c r="B964" i="15"/>
  <c r="A964" i="15"/>
  <c r="V963" i="15"/>
  <c r="A963" i="15"/>
  <c r="V962" i="15"/>
  <c r="A962" i="15"/>
  <c r="V961" i="15"/>
  <c r="A961" i="15"/>
  <c r="AA960" i="15"/>
  <c r="B960" i="15"/>
  <c r="A960" i="15"/>
  <c r="V959" i="15"/>
  <c r="A959" i="15"/>
  <c r="V958" i="15"/>
  <c r="A958" i="15"/>
  <c r="AA957" i="15"/>
  <c r="B957" i="15"/>
  <c r="A957" i="15"/>
  <c r="V956" i="15"/>
  <c r="A956" i="15"/>
  <c r="AA955" i="15"/>
  <c r="B955" i="15"/>
  <c r="A955" i="15"/>
  <c r="AA954" i="15"/>
  <c r="B954" i="15"/>
  <c r="A954" i="15"/>
  <c r="AA953" i="15"/>
  <c r="B953" i="15"/>
  <c r="A953" i="15"/>
  <c r="AA952" i="15"/>
  <c r="B952" i="15"/>
  <c r="A952" i="15"/>
  <c r="AA951" i="15"/>
  <c r="B951" i="15"/>
  <c r="A951" i="15"/>
  <c r="AA950" i="15"/>
  <c r="B950" i="15"/>
  <c r="A950" i="15"/>
  <c r="AA949" i="15"/>
  <c r="B949" i="15"/>
  <c r="A949" i="15"/>
  <c r="V948" i="15"/>
  <c r="A948" i="15"/>
  <c r="V947" i="15"/>
  <c r="A947" i="15"/>
  <c r="V946" i="15"/>
  <c r="A946" i="15"/>
  <c r="Q945" i="15"/>
  <c r="AA944" i="15"/>
  <c r="B944" i="15"/>
  <c r="A944" i="15"/>
  <c r="AA943" i="15"/>
  <c r="B943" i="15"/>
  <c r="A943" i="15"/>
  <c r="V942" i="15"/>
  <c r="A942" i="15"/>
  <c r="V941" i="15"/>
  <c r="A941" i="15"/>
  <c r="AA940" i="15"/>
  <c r="B940" i="15"/>
  <c r="A940" i="15"/>
  <c r="V939" i="15"/>
  <c r="A939" i="15"/>
  <c r="AA938" i="15"/>
  <c r="B938" i="15"/>
  <c r="A938" i="15"/>
  <c r="V937" i="15"/>
  <c r="A937" i="15"/>
  <c r="AA936" i="15"/>
  <c r="B936" i="15"/>
  <c r="A936" i="15"/>
  <c r="AA935" i="15"/>
  <c r="B935" i="15"/>
  <c r="A935" i="15"/>
  <c r="V934" i="15"/>
  <c r="A934" i="15"/>
  <c r="AA933" i="15"/>
  <c r="B933" i="15"/>
  <c r="A933" i="15"/>
  <c r="AA932" i="15"/>
  <c r="B932" i="15"/>
  <c r="A932" i="15"/>
  <c r="AA931" i="15"/>
  <c r="B931" i="15"/>
  <c r="A931" i="15"/>
  <c r="AA930" i="15"/>
  <c r="B930" i="15"/>
  <c r="A930" i="15"/>
  <c r="AA929" i="15"/>
  <c r="B929" i="15"/>
  <c r="A929" i="15"/>
  <c r="V928" i="15"/>
  <c r="A928" i="15"/>
  <c r="AA927" i="15"/>
  <c r="B927" i="15"/>
  <c r="A927" i="15"/>
  <c r="AA926" i="15"/>
  <c r="B926" i="15"/>
  <c r="A926" i="15"/>
  <c r="AA925" i="15"/>
  <c r="B925" i="15"/>
  <c r="A925" i="15"/>
  <c r="AA924" i="15"/>
  <c r="B924" i="15"/>
  <c r="A924" i="15"/>
  <c r="AA923" i="15"/>
  <c r="B923" i="15"/>
  <c r="A923" i="15"/>
  <c r="AA922" i="15"/>
  <c r="B922" i="15"/>
  <c r="A922" i="15"/>
  <c r="AA921" i="15"/>
  <c r="B921" i="15"/>
  <c r="A921" i="15"/>
  <c r="AA920" i="15"/>
  <c r="B920" i="15"/>
  <c r="A920" i="15"/>
  <c r="V919" i="15"/>
  <c r="A919" i="15"/>
  <c r="AA918" i="15"/>
  <c r="B918" i="15"/>
  <c r="A918" i="15"/>
  <c r="AA917" i="15"/>
  <c r="B917" i="15"/>
  <c r="A917" i="15"/>
  <c r="AA916" i="15"/>
  <c r="B916" i="15"/>
  <c r="A916" i="15"/>
  <c r="AA915" i="15"/>
  <c r="B915" i="15"/>
  <c r="A915" i="15"/>
  <c r="AA914" i="15"/>
  <c r="B914" i="15"/>
  <c r="A914" i="15"/>
  <c r="AA913" i="15"/>
  <c r="B913" i="15"/>
  <c r="A913" i="15"/>
  <c r="AA912" i="15"/>
  <c r="B912" i="15"/>
  <c r="A912" i="15"/>
  <c r="AA911" i="15"/>
  <c r="B911" i="15"/>
  <c r="A911" i="15"/>
  <c r="AA910" i="15"/>
  <c r="B910" i="15"/>
  <c r="A910" i="15"/>
  <c r="AA909" i="15"/>
  <c r="B909" i="15"/>
  <c r="A909" i="15"/>
  <c r="AA908" i="15"/>
  <c r="B908" i="15"/>
  <c r="A908" i="15"/>
  <c r="AA907" i="15"/>
  <c r="B907" i="15"/>
  <c r="A907" i="15"/>
  <c r="AA906" i="15"/>
  <c r="B906" i="15"/>
  <c r="A906" i="15"/>
  <c r="AA905" i="15"/>
  <c r="B905" i="15"/>
  <c r="A905" i="15"/>
  <c r="AA904" i="15"/>
  <c r="B904" i="15"/>
  <c r="A904" i="15"/>
  <c r="AA903" i="15"/>
  <c r="B903" i="15"/>
  <c r="A903" i="15"/>
  <c r="AA902" i="15"/>
  <c r="B902" i="15"/>
  <c r="A902" i="15"/>
  <c r="AA901" i="15"/>
  <c r="B901" i="15"/>
  <c r="A901" i="15"/>
  <c r="AA900" i="15"/>
  <c r="B900" i="15"/>
  <c r="A900" i="15"/>
  <c r="V899" i="15"/>
  <c r="A899" i="15"/>
  <c r="AA898" i="15"/>
  <c r="B898" i="15"/>
  <c r="A898" i="15"/>
  <c r="AA897" i="15"/>
  <c r="B897" i="15"/>
  <c r="A897" i="15"/>
  <c r="AA896" i="15"/>
  <c r="B896" i="15"/>
  <c r="A896" i="15"/>
  <c r="V895" i="15"/>
  <c r="A895" i="15"/>
  <c r="AA894" i="15"/>
  <c r="B894" i="15"/>
  <c r="A894" i="15"/>
  <c r="AA893" i="15"/>
  <c r="B893" i="15"/>
  <c r="A893" i="15"/>
  <c r="AA892" i="15"/>
  <c r="B892" i="15"/>
  <c r="A892" i="15"/>
  <c r="AA891" i="15"/>
  <c r="B891" i="15"/>
  <c r="A891" i="15"/>
  <c r="AA890" i="15"/>
  <c r="B890" i="15"/>
  <c r="A890" i="15"/>
  <c r="AA889" i="15"/>
  <c r="B889" i="15"/>
  <c r="A889" i="15"/>
  <c r="AA888" i="15"/>
  <c r="B888" i="15"/>
  <c r="A888" i="15"/>
  <c r="V887" i="15"/>
  <c r="A887" i="15"/>
  <c r="AA886" i="15"/>
  <c r="B886" i="15"/>
  <c r="A886" i="15"/>
  <c r="AA885" i="15"/>
  <c r="B885" i="15"/>
  <c r="A885" i="15"/>
  <c r="AA884" i="15"/>
  <c r="B884" i="15"/>
  <c r="A884" i="15"/>
  <c r="V883" i="15"/>
  <c r="A883" i="15"/>
  <c r="AA882" i="15"/>
  <c r="B882" i="15"/>
  <c r="A882" i="15"/>
  <c r="AA881" i="15"/>
  <c r="B881" i="15"/>
  <c r="A881" i="15"/>
  <c r="AA880" i="15"/>
  <c r="B880" i="15"/>
  <c r="A880" i="15"/>
  <c r="AA879" i="15"/>
  <c r="B879" i="15"/>
  <c r="A879" i="15"/>
  <c r="AA878" i="15"/>
  <c r="B878" i="15"/>
  <c r="A878" i="15"/>
  <c r="AA877" i="15"/>
  <c r="B877" i="15"/>
  <c r="A877" i="15"/>
  <c r="AA876" i="15"/>
  <c r="B876" i="15"/>
  <c r="A876" i="15"/>
  <c r="AA875" i="15"/>
  <c r="B875" i="15"/>
  <c r="A875" i="15"/>
  <c r="AA874" i="15"/>
  <c r="B874" i="15"/>
  <c r="A874" i="15"/>
  <c r="AA873" i="15"/>
  <c r="B873" i="15"/>
  <c r="A873" i="15"/>
  <c r="AA872" i="15"/>
  <c r="B872" i="15"/>
  <c r="A872" i="15"/>
  <c r="AA871" i="15"/>
  <c r="B871" i="15"/>
  <c r="A871" i="15"/>
  <c r="AA867" i="15"/>
  <c r="B867" i="15"/>
  <c r="A867" i="15"/>
  <c r="AA866" i="15"/>
  <c r="B866" i="15"/>
  <c r="A866" i="15"/>
  <c r="AA865" i="15"/>
  <c r="B865" i="15"/>
  <c r="A865" i="15"/>
  <c r="AA864" i="15"/>
  <c r="B864" i="15"/>
  <c r="A864" i="15"/>
  <c r="AA863" i="15"/>
  <c r="B863" i="15"/>
  <c r="A863" i="15"/>
  <c r="AA862" i="15"/>
  <c r="B862" i="15"/>
  <c r="A862" i="15"/>
  <c r="AA861" i="15"/>
  <c r="B861" i="15"/>
  <c r="A861" i="15"/>
  <c r="AA860" i="15"/>
  <c r="B860" i="15"/>
  <c r="A860" i="15"/>
  <c r="V859" i="15"/>
  <c r="A859" i="15"/>
  <c r="AA858" i="15"/>
  <c r="B858" i="15"/>
  <c r="A858" i="15"/>
  <c r="AA857" i="15"/>
  <c r="B857" i="15"/>
  <c r="A857" i="15"/>
  <c r="V856" i="15"/>
  <c r="A856" i="15"/>
  <c r="AA855" i="15"/>
  <c r="B855" i="15"/>
  <c r="A855" i="15"/>
  <c r="AA854" i="15"/>
  <c r="B854" i="15"/>
  <c r="A854" i="15"/>
  <c r="AA853" i="15"/>
  <c r="B853" i="15"/>
  <c r="A853" i="15"/>
  <c r="AA852" i="15"/>
  <c r="B852" i="15"/>
  <c r="A852" i="15"/>
  <c r="AA851" i="15"/>
  <c r="B851" i="15"/>
  <c r="A851" i="15"/>
  <c r="AA850" i="15"/>
  <c r="B850" i="15"/>
  <c r="A850" i="15"/>
  <c r="AA849" i="15"/>
  <c r="B849" i="15"/>
  <c r="A849" i="15"/>
  <c r="AA848" i="15"/>
  <c r="B848" i="15"/>
  <c r="A848" i="15"/>
  <c r="AA847" i="15"/>
  <c r="B847" i="15"/>
  <c r="A847" i="15"/>
  <c r="AA846" i="15"/>
  <c r="B846" i="15"/>
  <c r="A846" i="15"/>
  <c r="AA845" i="15"/>
  <c r="B845" i="15"/>
  <c r="A845" i="15"/>
  <c r="AA844" i="15"/>
  <c r="B844" i="15"/>
  <c r="A844" i="15"/>
  <c r="AA843" i="15"/>
  <c r="B843" i="15"/>
  <c r="A843" i="15"/>
  <c r="AA842" i="15"/>
  <c r="B842" i="15"/>
  <c r="A842" i="15"/>
  <c r="AA841" i="15"/>
  <c r="B841" i="15"/>
  <c r="A841" i="15"/>
  <c r="AA840" i="15"/>
  <c r="B840" i="15"/>
  <c r="A840" i="15"/>
  <c r="AA839" i="15"/>
  <c r="B839" i="15"/>
  <c r="A839" i="15"/>
  <c r="AA838" i="15"/>
  <c r="B838" i="15"/>
  <c r="A838" i="15"/>
  <c r="AA837" i="15"/>
  <c r="B837" i="15"/>
  <c r="A837" i="15"/>
  <c r="AA3279" i="15"/>
  <c r="B3279" i="15"/>
  <c r="A3279" i="15"/>
  <c r="AA835" i="15"/>
  <c r="B835" i="15"/>
  <c r="A835" i="15"/>
  <c r="B834" i="15"/>
  <c r="A834" i="15"/>
  <c r="AA833" i="15"/>
  <c r="B833" i="15"/>
  <c r="A833" i="15"/>
  <c r="AA832" i="15"/>
  <c r="B832" i="15"/>
  <c r="A832" i="15"/>
  <c r="V831" i="15"/>
  <c r="A831" i="15"/>
  <c r="AA830" i="15"/>
  <c r="B830" i="15"/>
  <c r="A830" i="15"/>
  <c r="AA829" i="15"/>
  <c r="B829" i="15"/>
  <c r="A829" i="15"/>
  <c r="AA828" i="15"/>
  <c r="B828" i="15"/>
  <c r="A828" i="15"/>
  <c r="V827" i="15"/>
  <c r="A827" i="15"/>
  <c r="AA826" i="15"/>
  <c r="B826" i="15"/>
  <c r="A826" i="15"/>
  <c r="AA825" i="15"/>
  <c r="B825" i="15"/>
  <c r="A825" i="15"/>
  <c r="V824" i="15"/>
  <c r="A824" i="15"/>
  <c r="V823" i="15"/>
  <c r="A823" i="15"/>
  <c r="AA822" i="15"/>
  <c r="B822" i="15"/>
  <c r="A822" i="15"/>
  <c r="AA821" i="15"/>
  <c r="B821" i="15"/>
  <c r="A821" i="15"/>
  <c r="AA820" i="15"/>
  <c r="B820" i="15"/>
  <c r="A820" i="15"/>
  <c r="AA819" i="15"/>
  <c r="B819" i="15"/>
  <c r="A819" i="15"/>
  <c r="AA818" i="15"/>
  <c r="B818" i="15"/>
  <c r="A818" i="15"/>
  <c r="AA817" i="15"/>
  <c r="B817" i="15"/>
  <c r="A817" i="15"/>
  <c r="AA816" i="15"/>
  <c r="B816" i="15"/>
  <c r="A816" i="15"/>
  <c r="V815" i="15"/>
  <c r="A815" i="15"/>
  <c r="AA814" i="15"/>
  <c r="B814" i="15"/>
  <c r="A814" i="15"/>
  <c r="V813" i="15"/>
  <c r="A813" i="15"/>
  <c r="V812" i="15"/>
  <c r="A812" i="15"/>
  <c r="V811" i="15"/>
  <c r="A811" i="15"/>
  <c r="AA810" i="15"/>
  <c r="B810" i="15"/>
  <c r="A810" i="15"/>
  <c r="AA809" i="15"/>
  <c r="B809" i="15"/>
  <c r="A809" i="15"/>
  <c r="AA808" i="15"/>
  <c r="B808" i="15"/>
  <c r="A808" i="15"/>
  <c r="V807" i="15"/>
  <c r="A807" i="15"/>
  <c r="V806" i="15"/>
  <c r="A806" i="15"/>
  <c r="AA805" i="15"/>
  <c r="B805" i="15"/>
  <c r="A805" i="15"/>
  <c r="AA804" i="15"/>
  <c r="B804" i="15"/>
  <c r="A804" i="15"/>
  <c r="AA803" i="15"/>
  <c r="B803" i="15"/>
  <c r="A803" i="15"/>
  <c r="AA802" i="15"/>
  <c r="B802" i="15"/>
  <c r="A802" i="15"/>
  <c r="AA801" i="15"/>
  <c r="B801" i="15"/>
  <c r="A801" i="15"/>
  <c r="AA800" i="15"/>
  <c r="B800" i="15"/>
  <c r="A800" i="15"/>
  <c r="AA799" i="15"/>
  <c r="B799" i="15"/>
  <c r="A799" i="15"/>
  <c r="AA798" i="15"/>
  <c r="B798" i="15"/>
  <c r="A798" i="15"/>
  <c r="AA797" i="15"/>
  <c r="B797" i="15"/>
  <c r="A797" i="15"/>
  <c r="V796" i="15"/>
  <c r="A796" i="15"/>
  <c r="V795" i="15"/>
  <c r="A795" i="15"/>
  <c r="V794" i="15"/>
  <c r="A794" i="15"/>
  <c r="AA793" i="15"/>
  <c r="B793" i="15"/>
  <c r="A793" i="15"/>
  <c r="V792" i="15"/>
  <c r="A792" i="15"/>
  <c r="V791" i="15"/>
  <c r="A791" i="15"/>
  <c r="AA790" i="15"/>
  <c r="B790" i="15"/>
  <c r="A790" i="15"/>
  <c r="AA789" i="15"/>
  <c r="B789" i="15"/>
  <c r="A789" i="15"/>
  <c r="AA788" i="15"/>
  <c r="B788" i="15"/>
  <c r="A788" i="15"/>
  <c r="AA787" i="15"/>
  <c r="B787" i="15"/>
  <c r="A787" i="15"/>
  <c r="AA786" i="15"/>
  <c r="B786" i="15"/>
  <c r="A786" i="15"/>
  <c r="V785" i="15"/>
  <c r="A785" i="15"/>
  <c r="AA784" i="15"/>
  <c r="B784" i="15"/>
  <c r="A784" i="15"/>
  <c r="AA783" i="15"/>
  <c r="B783" i="15"/>
  <c r="A783" i="15"/>
  <c r="AA782" i="15"/>
  <c r="B782" i="15"/>
  <c r="A782" i="15"/>
  <c r="AA781" i="15"/>
  <c r="B781" i="15"/>
  <c r="A781" i="15"/>
  <c r="AA780" i="15"/>
  <c r="B780" i="15"/>
  <c r="A780" i="15"/>
  <c r="AA779" i="15"/>
  <c r="B779" i="15"/>
  <c r="A779" i="15"/>
  <c r="AA778" i="15"/>
  <c r="B778" i="15"/>
  <c r="A778" i="15"/>
  <c r="AA777" i="15"/>
  <c r="B777" i="15"/>
  <c r="A777" i="15"/>
  <c r="AA776" i="15"/>
  <c r="B776" i="15"/>
  <c r="A776" i="15"/>
  <c r="AA775" i="15"/>
  <c r="B775" i="15"/>
  <c r="A775" i="15"/>
  <c r="AA774" i="15"/>
  <c r="B774" i="15"/>
  <c r="A774" i="15"/>
  <c r="V773" i="15"/>
  <c r="A773" i="15"/>
  <c r="AA772" i="15"/>
  <c r="B772" i="15"/>
  <c r="A772" i="15"/>
  <c r="AA771" i="15"/>
  <c r="B771" i="15"/>
  <c r="A771" i="15"/>
  <c r="AA770" i="15"/>
  <c r="B770" i="15"/>
  <c r="A770" i="15"/>
  <c r="AA769" i="15"/>
  <c r="B769" i="15"/>
  <c r="A769" i="15"/>
  <c r="AA768" i="15"/>
  <c r="B768" i="15"/>
  <c r="A768" i="15"/>
  <c r="AA767" i="15"/>
  <c r="B767" i="15"/>
  <c r="A767" i="15"/>
  <c r="AA766" i="15"/>
  <c r="B766" i="15"/>
  <c r="A766" i="15"/>
  <c r="AA765" i="15"/>
  <c r="B765" i="15"/>
  <c r="A765" i="15"/>
  <c r="V764" i="15"/>
  <c r="A764" i="15"/>
  <c r="AA763" i="15"/>
  <c r="B763" i="15"/>
  <c r="A763" i="15"/>
  <c r="AA762" i="15"/>
  <c r="B762" i="15"/>
  <c r="A762" i="15"/>
  <c r="AA761" i="15"/>
  <c r="B761" i="15"/>
  <c r="A761" i="15"/>
  <c r="AA760" i="15"/>
  <c r="B760" i="15"/>
  <c r="A760" i="15"/>
  <c r="AA759" i="15"/>
  <c r="B759" i="15"/>
  <c r="A759" i="15"/>
  <c r="AA758" i="15"/>
  <c r="B758" i="15"/>
  <c r="A758" i="15"/>
  <c r="AA757" i="15"/>
  <c r="B757" i="15"/>
  <c r="A757" i="15"/>
  <c r="AA756" i="15"/>
  <c r="B756" i="15"/>
  <c r="A756" i="15"/>
  <c r="AA755" i="15"/>
  <c r="B755" i="15"/>
  <c r="A755" i="15"/>
  <c r="AA754" i="15"/>
  <c r="B754" i="15"/>
  <c r="A754" i="15"/>
  <c r="AA753" i="15"/>
  <c r="B753" i="15"/>
  <c r="A753" i="15"/>
  <c r="AA752" i="15"/>
  <c r="B752" i="15"/>
  <c r="A752" i="15"/>
  <c r="AA751" i="15"/>
  <c r="B751" i="15"/>
  <c r="A751" i="15"/>
  <c r="AA750" i="15"/>
  <c r="B750" i="15"/>
  <c r="A750" i="15"/>
  <c r="AA749" i="15"/>
  <c r="B749" i="15"/>
  <c r="A749" i="15"/>
  <c r="AA748" i="15"/>
  <c r="B748" i="15"/>
  <c r="A748" i="15"/>
  <c r="AA747" i="15"/>
  <c r="B747" i="15"/>
  <c r="A747" i="15"/>
  <c r="AA746" i="15"/>
  <c r="B746" i="15"/>
  <c r="A746" i="15"/>
  <c r="AA745" i="15"/>
  <c r="B745" i="15"/>
  <c r="A745" i="15"/>
  <c r="AA744" i="15"/>
  <c r="B744" i="15"/>
  <c r="A744" i="15"/>
  <c r="AA743" i="15"/>
  <c r="B743" i="15"/>
  <c r="A743" i="15"/>
  <c r="AA740" i="15"/>
  <c r="B740" i="15"/>
  <c r="A740" i="15"/>
  <c r="AA741" i="15"/>
  <c r="B741" i="15"/>
  <c r="A741" i="15"/>
  <c r="AA742" i="15"/>
  <c r="B742" i="15"/>
  <c r="A742" i="15"/>
  <c r="B739" i="15"/>
  <c r="A739" i="15"/>
  <c r="AA738" i="15"/>
  <c r="B738" i="15"/>
  <c r="A738" i="15"/>
  <c r="V737" i="15"/>
  <c r="A737" i="15"/>
  <c r="AA736" i="15"/>
  <c r="B736" i="15"/>
  <c r="A736" i="15"/>
  <c r="AA735" i="15"/>
  <c r="B735" i="15"/>
  <c r="A735" i="15"/>
  <c r="V734" i="15"/>
  <c r="A734" i="15"/>
  <c r="AA733" i="15"/>
  <c r="B733" i="15"/>
  <c r="A733" i="15"/>
  <c r="AA732" i="15"/>
  <c r="B732" i="15"/>
  <c r="A732" i="15"/>
  <c r="AA731" i="15"/>
  <c r="B731" i="15"/>
  <c r="A731" i="15"/>
  <c r="AA730" i="15"/>
  <c r="B730" i="15"/>
  <c r="A730" i="15"/>
  <c r="AA729" i="15"/>
  <c r="B729" i="15"/>
  <c r="A729" i="15"/>
  <c r="AA728" i="15"/>
  <c r="B728" i="15"/>
  <c r="A728" i="15"/>
  <c r="AA727" i="15"/>
  <c r="B727" i="15"/>
  <c r="A727" i="15"/>
  <c r="AA726" i="15"/>
  <c r="B726" i="15"/>
  <c r="A726" i="15"/>
  <c r="V725" i="15"/>
  <c r="A725" i="15"/>
  <c r="V724" i="15"/>
  <c r="A724" i="15"/>
  <c r="AA723" i="15"/>
  <c r="B723" i="15"/>
  <c r="A723" i="15"/>
  <c r="AA722" i="15"/>
  <c r="B722" i="15"/>
  <c r="A722" i="15"/>
  <c r="AA721" i="15"/>
  <c r="B721" i="15"/>
  <c r="A721" i="15"/>
  <c r="AA720" i="15"/>
  <c r="B720" i="15"/>
  <c r="A720" i="15"/>
  <c r="AA719" i="15"/>
  <c r="B719" i="15"/>
  <c r="A719" i="15"/>
  <c r="AA718" i="15"/>
  <c r="B718" i="15"/>
  <c r="A718" i="15"/>
  <c r="AA717" i="15"/>
  <c r="B717" i="15"/>
  <c r="A717" i="15"/>
  <c r="AA716" i="15"/>
  <c r="B716" i="15"/>
  <c r="A716" i="15"/>
  <c r="AA715" i="15"/>
  <c r="B715" i="15"/>
  <c r="A715" i="15"/>
  <c r="AA714" i="15"/>
  <c r="B714" i="15"/>
  <c r="A714" i="15"/>
  <c r="AA713" i="15"/>
  <c r="B713" i="15"/>
  <c r="A713" i="15"/>
  <c r="V712" i="15"/>
  <c r="A712" i="15"/>
  <c r="AA711" i="15"/>
  <c r="B711" i="15"/>
  <c r="A711" i="15"/>
  <c r="AA710" i="15"/>
  <c r="B710" i="15"/>
  <c r="A710" i="15"/>
  <c r="AA709" i="15"/>
  <c r="B709" i="15"/>
  <c r="A709" i="15"/>
  <c r="AA708" i="15"/>
  <c r="B708" i="15"/>
  <c r="A708" i="15"/>
  <c r="AA707" i="15"/>
  <c r="B707" i="15"/>
  <c r="A707" i="15"/>
  <c r="AA706" i="15"/>
  <c r="B706" i="15"/>
  <c r="A706" i="15"/>
  <c r="AA705" i="15"/>
  <c r="B705" i="15"/>
  <c r="A705" i="15"/>
  <c r="AA704" i="15"/>
  <c r="B704" i="15"/>
  <c r="A704" i="15"/>
  <c r="AA703" i="15"/>
  <c r="B703" i="15"/>
  <c r="A703" i="15"/>
  <c r="AA702" i="15"/>
  <c r="B702" i="15"/>
  <c r="A702" i="15"/>
  <c r="AA701" i="15"/>
  <c r="B701" i="15"/>
  <c r="A701" i="15"/>
  <c r="AA700" i="15"/>
  <c r="B700" i="15"/>
  <c r="A700" i="15"/>
  <c r="AA699" i="15"/>
  <c r="B699" i="15"/>
  <c r="A699" i="15"/>
  <c r="AA698" i="15"/>
  <c r="B698" i="15"/>
  <c r="A698" i="15"/>
  <c r="V697" i="15"/>
  <c r="A697" i="15"/>
  <c r="AA696" i="15"/>
  <c r="B696" i="15"/>
  <c r="A696" i="15"/>
  <c r="AA695" i="15"/>
  <c r="B695" i="15"/>
  <c r="A695" i="15"/>
  <c r="AA694" i="15"/>
  <c r="B694" i="15"/>
  <c r="A694" i="15"/>
  <c r="AA693" i="15"/>
  <c r="B693" i="15"/>
  <c r="A693" i="15"/>
  <c r="AA692" i="15"/>
  <c r="B692" i="15"/>
  <c r="A692" i="15"/>
  <c r="AA691" i="15"/>
  <c r="B691" i="15"/>
  <c r="A691" i="15"/>
  <c r="AA690" i="15"/>
  <c r="B690" i="15"/>
  <c r="A690" i="15"/>
  <c r="AA689" i="15"/>
  <c r="B689" i="15"/>
  <c r="A689" i="15"/>
  <c r="V688" i="15"/>
  <c r="A688" i="15"/>
  <c r="AA687" i="15"/>
  <c r="B687" i="15"/>
  <c r="A687" i="15"/>
  <c r="V686" i="15"/>
  <c r="A686" i="15"/>
  <c r="AA685" i="15"/>
  <c r="B685" i="15"/>
  <c r="A685" i="15"/>
  <c r="V684" i="15"/>
  <c r="A684" i="15"/>
  <c r="AA683" i="15"/>
  <c r="B683" i="15"/>
  <c r="A683" i="15"/>
  <c r="AA682" i="15"/>
  <c r="B682" i="15"/>
  <c r="A682" i="15"/>
  <c r="AA681" i="15"/>
  <c r="B681" i="15"/>
  <c r="A681" i="15"/>
  <c r="AA680" i="15"/>
  <c r="B680" i="15"/>
  <c r="A680" i="15"/>
  <c r="AA679" i="15"/>
  <c r="B679" i="15"/>
  <c r="A679" i="15"/>
  <c r="AA678" i="15"/>
  <c r="B678" i="15"/>
  <c r="A678" i="15"/>
  <c r="AA677" i="15"/>
  <c r="B677" i="15"/>
  <c r="A677" i="15"/>
  <c r="AA676" i="15"/>
  <c r="B676" i="15"/>
  <c r="A676" i="15"/>
  <c r="AA675" i="15"/>
  <c r="B675" i="15"/>
  <c r="A675" i="15"/>
  <c r="AA674" i="15"/>
  <c r="B674" i="15"/>
  <c r="A674" i="15"/>
  <c r="AA673" i="15"/>
  <c r="B673" i="15"/>
  <c r="A673" i="15"/>
  <c r="AA672" i="15"/>
  <c r="B672" i="15"/>
  <c r="A672" i="15"/>
  <c r="AA671" i="15"/>
  <c r="B671" i="15"/>
  <c r="A671" i="15"/>
  <c r="AA670" i="15"/>
  <c r="B670" i="15"/>
  <c r="A670" i="15"/>
  <c r="AA669" i="15"/>
  <c r="B669" i="15"/>
  <c r="A669" i="15"/>
  <c r="AA668" i="15"/>
  <c r="B668" i="15"/>
  <c r="A668" i="15"/>
  <c r="V667" i="15"/>
  <c r="A667" i="15"/>
  <c r="AA666" i="15"/>
  <c r="B666" i="15"/>
  <c r="A666" i="15"/>
  <c r="AA665" i="15"/>
  <c r="B665" i="15"/>
  <c r="A665" i="15"/>
  <c r="AA664" i="15"/>
  <c r="B664" i="15"/>
  <c r="A664" i="15"/>
  <c r="AA663" i="15"/>
  <c r="B663" i="15"/>
  <c r="A663" i="15"/>
  <c r="AA662" i="15"/>
  <c r="B662" i="15"/>
  <c r="A662" i="15"/>
  <c r="V661" i="15"/>
  <c r="A661" i="15"/>
  <c r="AA660" i="15"/>
  <c r="B660" i="15"/>
  <c r="A660" i="15"/>
  <c r="AA659" i="15"/>
  <c r="B659" i="15"/>
  <c r="A659" i="15"/>
  <c r="AA658" i="15"/>
  <c r="B658" i="15"/>
  <c r="A658" i="15"/>
  <c r="AA657" i="15"/>
  <c r="B657" i="15"/>
  <c r="A657" i="15"/>
  <c r="AA656" i="15"/>
  <c r="B656" i="15"/>
  <c r="A656" i="15"/>
  <c r="AA2159" i="15"/>
  <c r="B2159" i="15"/>
  <c r="A2159" i="15"/>
  <c r="AA654" i="15"/>
  <c r="B654" i="15"/>
  <c r="A654" i="15"/>
  <c r="AA653" i="15"/>
  <c r="B653" i="15"/>
  <c r="A653" i="15"/>
  <c r="AA652" i="15"/>
  <c r="B652" i="15"/>
  <c r="A652" i="15"/>
  <c r="AA651" i="15"/>
  <c r="B651" i="15"/>
  <c r="A651" i="15"/>
  <c r="AA650" i="15"/>
  <c r="B650" i="15"/>
  <c r="A650" i="15"/>
  <c r="AA649" i="15"/>
  <c r="B649" i="15"/>
  <c r="A649" i="15"/>
  <c r="AA648" i="15"/>
  <c r="B648" i="15"/>
  <c r="A648" i="15"/>
  <c r="AA647" i="15"/>
  <c r="B647" i="15"/>
  <c r="A647" i="15"/>
  <c r="AA646" i="15"/>
  <c r="B646" i="15"/>
  <c r="A646" i="15"/>
  <c r="AA645" i="15"/>
  <c r="B645" i="15"/>
  <c r="A645" i="15"/>
  <c r="AA644" i="15"/>
  <c r="B644" i="15"/>
  <c r="A644" i="15"/>
  <c r="AA643" i="15"/>
  <c r="B643" i="15"/>
  <c r="A643" i="15"/>
  <c r="AA642" i="15"/>
  <c r="B642" i="15"/>
  <c r="A642" i="15"/>
  <c r="AA641" i="15"/>
  <c r="B641" i="15"/>
  <c r="A641" i="15"/>
  <c r="AA640" i="15"/>
  <c r="B640" i="15"/>
  <c r="A640" i="15"/>
  <c r="AA639" i="15"/>
  <c r="B639" i="15"/>
  <c r="A639" i="15"/>
  <c r="AA638" i="15"/>
  <c r="B638" i="15"/>
  <c r="A638" i="15"/>
  <c r="AA637" i="15"/>
  <c r="B637" i="15"/>
  <c r="A637" i="15"/>
  <c r="AA636" i="15"/>
  <c r="B636" i="15"/>
  <c r="A636" i="15"/>
  <c r="AA635" i="15"/>
  <c r="B635" i="15"/>
  <c r="A635" i="15"/>
  <c r="AA634" i="15"/>
  <c r="B634" i="15"/>
  <c r="A634" i="15"/>
  <c r="AA633" i="15"/>
  <c r="B633" i="15"/>
  <c r="A633" i="15"/>
  <c r="AA632" i="15"/>
  <c r="B632" i="15"/>
  <c r="A632" i="15"/>
  <c r="AA631" i="15"/>
  <c r="B631" i="15"/>
  <c r="A631" i="15"/>
  <c r="AA630" i="15"/>
  <c r="B630" i="15"/>
  <c r="A630" i="15"/>
  <c r="AA629" i="15"/>
  <c r="B629" i="15"/>
  <c r="A629" i="15"/>
  <c r="AA628" i="15"/>
  <c r="B628" i="15"/>
  <c r="A628" i="15"/>
  <c r="AA627" i="15"/>
  <c r="B627" i="15"/>
  <c r="A627" i="15"/>
  <c r="AA626" i="15"/>
  <c r="B626" i="15"/>
  <c r="A626" i="15"/>
  <c r="AA625" i="15"/>
  <c r="B625" i="15"/>
  <c r="A625" i="15"/>
  <c r="AA624" i="15"/>
  <c r="B624" i="15"/>
  <c r="A624" i="15"/>
  <c r="AA623" i="15"/>
  <c r="B623" i="15"/>
  <c r="A623" i="15"/>
  <c r="AA622" i="15"/>
  <c r="B622" i="15"/>
  <c r="A622" i="15"/>
  <c r="AA621" i="15"/>
  <c r="B621" i="15"/>
  <c r="A621" i="15"/>
  <c r="AA620" i="15"/>
  <c r="B620" i="15"/>
  <c r="A620" i="15"/>
  <c r="AA619" i="15"/>
  <c r="B619" i="15"/>
  <c r="A619" i="15"/>
  <c r="AA618" i="15"/>
  <c r="B618" i="15"/>
  <c r="A618" i="15"/>
  <c r="V617" i="15"/>
  <c r="A617" i="15"/>
  <c r="AA616" i="15"/>
  <c r="B616" i="15"/>
  <c r="A616" i="15"/>
  <c r="AA615" i="15"/>
  <c r="B615" i="15"/>
  <c r="A615" i="15"/>
  <c r="AA614" i="15"/>
  <c r="B614" i="15"/>
  <c r="A614" i="15"/>
  <c r="AA613" i="15"/>
  <c r="B613" i="15"/>
  <c r="A613" i="15"/>
  <c r="AA612" i="15"/>
  <c r="B612" i="15"/>
  <c r="A612" i="15"/>
  <c r="AA611" i="15"/>
  <c r="B611" i="15"/>
  <c r="A611" i="15"/>
  <c r="AA610" i="15"/>
  <c r="B610" i="15"/>
  <c r="A610" i="15"/>
  <c r="AA609" i="15"/>
  <c r="B609" i="15"/>
  <c r="A609" i="15"/>
  <c r="AA608" i="15"/>
  <c r="B608" i="15"/>
  <c r="A608" i="15"/>
  <c r="AA607" i="15"/>
  <c r="B607" i="15"/>
  <c r="A607" i="15"/>
  <c r="AA606" i="15"/>
  <c r="B606" i="15"/>
  <c r="A606" i="15"/>
  <c r="AA605" i="15"/>
  <c r="B605" i="15"/>
  <c r="A605" i="15"/>
  <c r="AA604" i="15"/>
  <c r="B604" i="15"/>
  <c r="A604" i="15"/>
  <c r="AA603" i="15"/>
  <c r="B603" i="15"/>
  <c r="A603" i="15"/>
  <c r="V602" i="15"/>
  <c r="A602" i="15"/>
  <c r="AA601" i="15"/>
  <c r="B601" i="15"/>
  <c r="A601" i="15"/>
  <c r="AA600" i="15"/>
  <c r="B600" i="15"/>
  <c r="A600" i="15"/>
  <c r="AA599" i="15"/>
  <c r="B599" i="15"/>
  <c r="A599" i="15"/>
  <c r="V598" i="15"/>
  <c r="A598" i="15"/>
  <c r="AA597" i="15"/>
  <c r="B597" i="15"/>
  <c r="A597" i="15"/>
  <c r="V596" i="15"/>
  <c r="A596" i="15"/>
  <c r="AA595" i="15"/>
  <c r="B595" i="15"/>
  <c r="A595" i="15"/>
  <c r="AA594" i="15"/>
  <c r="B594" i="15"/>
  <c r="A594" i="15"/>
  <c r="AA593" i="15"/>
  <c r="B593" i="15"/>
  <c r="A593" i="15"/>
  <c r="AA592" i="15"/>
  <c r="B592" i="15"/>
  <c r="A592" i="15"/>
  <c r="AA591" i="15"/>
  <c r="B591" i="15"/>
  <c r="A591" i="15"/>
  <c r="V590" i="15"/>
  <c r="A590" i="15"/>
  <c r="AA589" i="15"/>
  <c r="B589" i="15"/>
  <c r="A589" i="15"/>
  <c r="AA588" i="15"/>
  <c r="B588" i="15"/>
  <c r="A588" i="15"/>
  <c r="AA587" i="15"/>
  <c r="B587" i="15"/>
  <c r="A587" i="15"/>
  <c r="AA586" i="15"/>
  <c r="B586" i="15"/>
  <c r="A586" i="15"/>
  <c r="V585" i="15"/>
  <c r="A585" i="15"/>
  <c r="AA584" i="15"/>
  <c r="B584" i="15"/>
  <c r="A584" i="15"/>
  <c r="AA583" i="15"/>
  <c r="B583" i="15"/>
  <c r="A583" i="15"/>
  <c r="V582" i="15"/>
  <c r="A582" i="15"/>
  <c r="AA203" i="15"/>
  <c r="B203" i="15"/>
  <c r="A203" i="15"/>
  <c r="AA580" i="15"/>
  <c r="B580" i="15"/>
  <c r="A580" i="15"/>
  <c r="AA579" i="15"/>
  <c r="B579" i="15"/>
  <c r="A579" i="15"/>
  <c r="V578" i="15"/>
  <c r="A578" i="15"/>
  <c r="AA577" i="15"/>
  <c r="B577" i="15"/>
  <c r="A577" i="15"/>
  <c r="AA576" i="15"/>
  <c r="B576" i="15"/>
  <c r="A576" i="15"/>
  <c r="AA575" i="15"/>
  <c r="B575" i="15"/>
  <c r="A575" i="15"/>
  <c r="AA574" i="15"/>
  <c r="B574" i="15"/>
  <c r="A574" i="15"/>
  <c r="AA573" i="15"/>
  <c r="B573" i="15"/>
  <c r="A573" i="15"/>
  <c r="V572" i="15"/>
  <c r="A572" i="15"/>
  <c r="AA571" i="15"/>
  <c r="B571" i="15"/>
  <c r="A571" i="15"/>
  <c r="AA570" i="15"/>
  <c r="B570" i="15"/>
  <c r="A570" i="15"/>
  <c r="AA569" i="15"/>
  <c r="B569" i="15"/>
  <c r="A569" i="15"/>
  <c r="V568" i="15"/>
  <c r="A568" i="15"/>
  <c r="AA567" i="15"/>
  <c r="B567" i="15"/>
  <c r="A567" i="15"/>
  <c r="AA566" i="15"/>
  <c r="B566" i="15"/>
  <c r="A566" i="15"/>
  <c r="AA565" i="15"/>
  <c r="B565" i="15"/>
  <c r="A565" i="15"/>
  <c r="AA564" i="15"/>
  <c r="B564" i="15"/>
  <c r="A564" i="15"/>
  <c r="AA563" i="15"/>
  <c r="B563" i="15"/>
  <c r="A563" i="15"/>
  <c r="V562" i="15"/>
  <c r="A562" i="15"/>
  <c r="B561" i="15"/>
  <c r="A561" i="15"/>
  <c r="AA560" i="15"/>
  <c r="B560" i="15"/>
  <c r="A560" i="15"/>
  <c r="AA1527" i="15"/>
  <c r="B1527" i="15"/>
  <c r="A1527" i="15"/>
  <c r="AA558" i="15"/>
  <c r="B558" i="15"/>
  <c r="A558" i="15"/>
  <c r="AA2023" i="15"/>
  <c r="B2023" i="15"/>
  <c r="A2023" i="15"/>
  <c r="AA556" i="15"/>
  <c r="B556" i="15"/>
  <c r="A556" i="15"/>
  <c r="AA555" i="15"/>
  <c r="B555" i="15"/>
  <c r="A555" i="15"/>
  <c r="AA554" i="15"/>
  <c r="B554" i="15"/>
  <c r="A554" i="15"/>
  <c r="AA553" i="15"/>
  <c r="B553" i="15"/>
  <c r="A553" i="15"/>
  <c r="AA552" i="15"/>
  <c r="B552" i="15"/>
  <c r="A552" i="15"/>
  <c r="AA551" i="15"/>
  <c r="B551" i="15"/>
  <c r="A551" i="15"/>
  <c r="AA550" i="15"/>
  <c r="B550" i="15"/>
  <c r="A550" i="15"/>
  <c r="AA549" i="15"/>
  <c r="B549" i="15"/>
  <c r="A549" i="15"/>
  <c r="AA548" i="15"/>
  <c r="B548" i="15"/>
  <c r="A548" i="15"/>
  <c r="AA547" i="15"/>
  <c r="B547" i="15"/>
  <c r="A547" i="15"/>
  <c r="AA546" i="15"/>
  <c r="B546" i="15"/>
  <c r="A546" i="15"/>
  <c r="AA545" i="15"/>
  <c r="B545" i="15"/>
  <c r="A545" i="15"/>
  <c r="AA544" i="15"/>
  <c r="B544" i="15"/>
  <c r="A544" i="15"/>
  <c r="V543" i="15"/>
  <c r="A543" i="15"/>
  <c r="AA542" i="15"/>
  <c r="B542" i="15"/>
  <c r="A542" i="15"/>
  <c r="AA541" i="15"/>
  <c r="B541" i="15"/>
  <c r="A541" i="15"/>
  <c r="AA540" i="15"/>
  <c r="B540" i="15"/>
  <c r="A540" i="15"/>
  <c r="V539" i="15"/>
  <c r="A539" i="15"/>
  <c r="AA538" i="15"/>
  <c r="B538" i="15"/>
  <c r="A538" i="15"/>
  <c r="AA537" i="15"/>
  <c r="B537" i="15"/>
  <c r="A537" i="15"/>
  <c r="AA536" i="15"/>
  <c r="B536" i="15"/>
  <c r="A536" i="15"/>
  <c r="AA535" i="15"/>
  <c r="B535" i="15"/>
  <c r="A535" i="15"/>
  <c r="AA534" i="15"/>
  <c r="B534" i="15"/>
  <c r="A534" i="15"/>
  <c r="AA533" i="15"/>
  <c r="B533" i="15"/>
  <c r="A533" i="15"/>
  <c r="V532" i="15"/>
  <c r="A532" i="15"/>
  <c r="AA531" i="15"/>
  <c r="B531" i="15"/>
  <c r="A531" i="15"/>
  <c r="AA530" i="15"/>
  <c r="B530" i="15"/>
  <c r="A530" i="15"/>
  <c r="AA529" i="15"/>
  <c r="B529" i="15"/>
  <c r="A529" i="15"/>
  <c r="AA528" i="15"/>
  <c r="B528" i="15"/>
  <c r="A528" i="15"/>
  <c r="AA527" i="15"/>
  <c r="B527" i="15"/>
  <c r="A527" i="15"/>
  <c r="AA4664" i="15"/>
  <c r="B4664" i="15"/>
  <c r="A4664" i="15"/>
  <c r="AA525" i="15"/>
  <c r="B525" i="15"/>
  <c r="A525" i="15"/>
  <c r="AA524" i="15"/>
  <c r="B524" i="15"/>
  <c r="A524" i="15"/>
  <c r="AA523" i="15"/>
  <c r="B523" i="15"/>
  <c r="A523" i="15"/>
  <c r="AA522" i="15"/>
  <c r="B522" i="15"/>
  <c r="A522" i="15"/>
  <c r="AA521" i="15"/>
  <c r="B521" i="15"/>
  <c r="A521" i="15"/>
  <c r="AA520" i="15"/>
  <c r="B520" i="15"/>
  <c r="A520" i="15"/>
  <c r="AA519" i="15"/>
  <c r="B519" i="15"/>
  <c r="A519" i="15"/>
  <c r="Q518" i="15"/>
  <c r="Q517" i="15"/>
  <c r="Q516" i="15"/>
  <c r="Q515" i="15"/>
  <c r="Q514" i="15"/>
  <c r="Q513" i="15"/>
  <c r="Q512" i="15"/>
  <c r="Q511" i="15"/>
  <c r="Q510" i="15"/>
  <c r="Q509" i="15"/>
  <c r="Q508" i="15"/>
  <c r="Q507" i="15"/>
  <c r="Q506" i="15"/>
  <c r="Q505" i="15"/>
  <c r="Q504" i="15"/>
  <c r="Q503" i="15"/>
  <c r="Q502" i="15"/>
  <c r="Q501" i="15"/>
  <c r="Q500" i="15"/>
  <c r="Q499" i="15"/>
  <c r="Q498" i="15"/>
  <c r="Q497" i="15"/>
  <c r="Q496" i="15"/>
  <c r="Q495" i="15"/>
  <c r="Q494" i="15"/>
  <c r="Q493" i="15"/>
  <c r="Q492" i="15"/>
  <c r="Q491" i="15"/>
  <c r="Q490" i="15"/>
  <c r="Q489" i="15"/>
  <c r="Q488" i="15"/>
  <c r="Q487" i="15"/>
  <c r="Q486" i="15"/>
  <c r="Q485" i="15"/>
  <c r="Q484" i="15"/>
  <c r="Q483" i="15"/>
  <c r="Q482" i="15"/>
  <c r="AA481" i="15"/>
  <c r="B481" i="15"/>
  <c r="A481" i="15"/>
  <c r="V480" i="15"/>
  <c r="A480" i="15"/>
  <c r="V479" i="15"/>
  <c r="A479" i="15"/>
  <c r="AA478" i="15"/>
  <c r="B478" i="15"/>
  <c r="A478" i="15"/>
  <c r="AA477" i="15"/>
  <c r="B477" i="15"/>
  <c r="A477" i="15"/>
  <c r="AA476" i="15"/>
  <c r="B476" i="15"/>
  <c r="A476" i="15"/>
  <c r="AA475" i="15"/>
  <c r="B475" i="15"/>
  <c r="A475" i="15"/>
  <c r="AA474" i="15"/>
  <c r="B474" i="15"/>
  <c r="A474" i="15"/>
  <c r="AA473" i="15"/>
  <c r="B473" i="15"/>
  <c r="A473" i="15"/>
  <c r="AA472" i="15"/>
  <c r="B472" i="15"/>
  <c r="A472" i="15"/>
  <c r="AA471" i="15"/>
  <c r="B471" i="15"/>
  <c r="A471" i="15"/>
  <c r="AA470" i="15"/>
  <c r="B470" i="15"/>
  <c r="A470" i="15"/>
  <c r="AA469" i="15"/>
  <c r="B469" i="15"/>
  <c r="A469" i="15"/>
  <c r="AA468" i="15"/>
  <c r="B468" i="15"/>
  <c r="A468" i="15"/>
  <c r="AA467" i="15"/>
  <c r="B467" i="15"/>
  <c r="A467" i="15"/>
  <c r="AA466" i="15"/>
  <c r="B466" i="15"/>
  <c r="A466" i="15"/>
  <c r="AA465" i="15"/>
  <c r="B465" i="15"/>
  <c r="A465" i="15"/>
  <c r="AA464" i="15"/>
  <c r="B464" i="15"/>
  <c r="A464" i="15"/>
  <c r="AA463" i="15"/>
  <c r="B463" i="15"/>
  <c r="A463" i="15"/>
  <c r="AA462" i="15"/>
  <c r="B462" i="15"/>
  <c r="A462" i="15"/>
  <c r="AA461" i="15"/>
  <c r="B461" i="15"/>
  <c r="A461" i="15"/>
  <c r="AA460" i="15"/>
  <c r="B460" i="15"/>
  <c r="A460" i="15"/>
  <c r="V459" i="15"/>
  <c r="A459" i="15"/>
  <c r="AA458" i="15"/>
  <c r="B458" i="15"/>
  <c r="A458" i="15"/>
  <c r="V457" i="15"/>
  <c r="A457" i="15"/>
  <c r="AA456" i="15"/>
  <c r="B456" i="15"/>
  <c r="A456" i="15"/>
  <c r="AA455" i="15"/>
  <c r="B455" i="15"/>
  <c r="A455" i="15"/>
  <c r="AA454" i="15"/>
  <c r="B454" i="15"/>
  <c r="A454" i="15"/>
  <c r="AA453" i="15"/>
  <c r="B453" i="15"/>
  <c r="A453" i="15"/>
  <c r="AA452" i="15"/>
  <c r="B452" i="15"/>
  <c r="A452" i="15"/>
  <c r="AA451" i="15"/>
  <c r="B451" i="15"/>
  <c r="A451" i="15"/>
  <c r="AA450" i="15"/>
  <c r="B450" i="15"/>
  <c r="A450" i="15"/>
  <c r="AA449" i="15"/>
  <c r="B449" i="15"/>
  <c r="A449" i="15"/>
  <c r="AA448" i="15"/>
  <c r="B448" i="15"/>
  <c r="A448" i="15"/>
  <c r="AA447" i="15"/>
  <c r="B447" i="15"/>
  <c r="A447" i="15"/>
  <c r="AA446" i="15"/>
  <c r="B446" i="15"/>
  <c r="A446" i="15"/>
  <c r="AA445" i="15"/>
  <c r="B445" i="15"/>
  <c r="A445" i="15"/>
  <c r="AA444" i="15"/>
  <c r="B444" i="15"/>
  <c r="A444" i="15"/>
  <c r="AA443" i="15"/>
  <c r="B443" i="15"/>
  <c r="A443" i="15"/>
  <c r="AA442" i="15"/>
  <c r="B442" i="15"/>
  <c r="A442" i="15"/>
  <c r="AA441" i="15"/>
  <c r="B441" i="15"/>
  <c r="A441" i="15"/>
  <c r="AA440" i="15"/>
  <c r="B440" i="15"/>
  <c r="A440" i="15"/>
  <c r="AA439" i="15"/>
  <c r="B439" i="15"/>
  <c r="A439" i="15"/>
  <c r="AA438" i="15"/>
  <c r="B438" i="15"/>
  <c r="A438" i="15"/>
  <c r="AA437" i="15"/>
  <c r="B437" i="15"/>
  <c r="A437" i="15"/>
  <c r="V436" i="15"/>
  <c r="A436" i="15"/>
  <c r="AA435" i="15"/>
  <c r="B435" i="15"/>
  <c r="A435" i="15"/>
  <c r="AA434" i="15"/>
  <c r="B434" i="15"/>
  <c r="A434" i="15"/>
  <c r="V433" i="15"/>
  <c r="A433" i="15"/>
  <c r="AA432" i="15"/>
  <c r="B432" i="15"/>
  <c r="A432" i="15"/>
  <c r="AA218" i="15"/>
  <c r="B218" i="15"/>
  <c r="A218" i="15"/>
  <c r="AA430" i="15"/>
  <c r="B430" i="15"/>
  <c r="A430" i="15"/>
  <c r="AA429" i="15"/>
  <c r="B429" i="15"/>
  <c r="A429" i="15"/>
  <c r="AA428" i="15"/>
  <c r="B428" i="15"/>
  <c r="A428" i="15"/>
  <c r="AA427" i="15"/>
  <c r="B427" i="15"/>
  <c r="A427" i="15"/>
  <c r="AA426" i="15"/>
  <c r="B426" i="15"/>
  <c r="A426" i="15"/>
  <c r="AA425" i="15"/>
  <c r="B425" i="15"/>
  <c r="A425" i="15"/>
  <c r="AA424" i="15"/>
  <c r="B424" i="15"/>
  <c r="A424" i="15"/>
  <c r="AA423" i="15"/>
  <c r="B423" i="15"/>
  <c r="A423" i="15"/>
  <c r="AA422" i="15"/>
  <c r="B422" i="15"/>
  <c r="A422" i="15"/>
  <c r="AA421" i="15"/>
  <c r="B421" i="15"/>
  <c r="A421" i="15"/>
  <c r="AA420" i="15"/>
  <c r="B420" i="15"/>
  <c r="A420" i="15"/>
  <c r="AA419" i="15"/>
  <c r="B419" i="15"/>
  <c r="A419" i="15"/>
  <c r="AA418" i="15"/>
  <c r="B418" i="15"/>
  <c r="A418" i="15"/>
  <c r="AA417" i="15"/>
  <c r="B417" i="15"/>
  <c r="A417" i="15"/>
  <c r="AA416" i="15"/>
  <c r="B416" i="15"/>
  <c r="A416" i="15"/>
  <c r="AA415" i="15"/>
  <c r="B415" i="15"/>
  <c r="A415" i="15"/>
  <c r="AA414" i="15"/>
  <c r="B414" i="15"/>
  <c r="A414" i="15"/>
  <c r="AA413" i="15"/>
  <c r="B413" i="15"/>
  <c r="A413" i="15"/>
  <c r="AA412" i="15"/>
  <c r="B412" i="15"/>
  <c r="A412" i="15"/>
  <c r="AA411" i="15"/>
  <c r="B411" i="15"/>
  <c r="A411" i="15"/>
  <c r="AA410" i="15"/>
  <c r="B410" i="15"/>
  <c r="A410" i="15"/>
  <c r="AA409" i="15"/>
  <c r="B409" i="15"/>
  <c r="A409" i="15"/>
  <c r="AA408" i="15"/>
  <c r="B408" i="15"/>
  <c r="A408" i="15"/>
  <c r="AA407" i="15"/>
  <c r="B407" i="15"/>
  <c r="A407" i="15"/>
  <c r="AA406" i="15"/>
  <c r="B406" i="15"/>
  <c r="A406" i="15"/>
  <c r="AA405" i="15"/>
  <c r="B405" i="15"/>
  <c r="A405" i="15"/>
  <c r="AA404" i="15"/>
  <c r="B404" i="15"/>
  <c r="A404" i="15"/>
  <c r="AA2028" i="15"/>
  <c r="B2028" i="15"/>
  <c r="A2028" i="15"/>
  <c r="V402" i="15"/>
  <c r="A402" i="15"/>
  <c r="AA401" i="15"/>
  <c r="B401" i="15"/>
  <c r="A401" i="15"/>
  <c r="AA400" i="15"/>
  <c r="B400" i="15"/>
  <c r="A400" i="15"/>
  <c r="AA399" i="15"/>
  <c r="B399" i="15"/>
  <c r="A399" i="15"/>
  <c r="AA398" i="15"/>
  <c r="B398" i="15"/>
  <c r="A398" i="15"/>
  <c r="AA397" i="15"/>
  <c r="B397" i="15"/>
  <c r="A397" i="15"/>
  <c r="AA396" i="15"/>
  <c r="B396" i="15"/>
  <c r="A396" i="15"/>
  <c r="AA395" i="15"/>
  <c r="B395" i="15"/>
  <c r="A395" i="15"/>
  <c r="AA394" i="15"/>
  <c r="B394" i="15"/>
  <c r="A394" i="15"/>
  <c r="AA393" i="15"/>
  <c r="B393" i="15"/>
  <c r="A393" i="15"/>
  <c r="AA392" i="15"/>
  <c r="B392" i="15"/>
  <c r="A392" i="15"/>
  <c r="AA391" i="15"/>
  <c r="B391" i="15"/>
  <c r="A391" i="15"/>
  <c r="AA390" i="15"/>
  <c r="B390" i="15"/>
  <c r="A390" i="15"/>
  <c r="AA389" i="15"/>
  <c r="B389" i="15"/>
  <c r="A389" i="15"/>
  <c r="AA388" i="15"/>
  <c r="B388" i="15"/>
  <c r="A388" i="15"/>
  <c r="AA387" i="15"/>
  <c r="B387" i="15"/>
  <c r="A387" i="15"/>
  <c r="AA386" i="15"/>
  <c r="B386" i="15"/>
  <c r="A386" i="15"/>
  <c r="AA385" i="15"/>
  <c r="B385" i="15"/>
  <c r="A385" i="15"/>
  <c r="AA384" i="15"/>
  <c r="B384" i="15"/>
  <c r="A384" i="15"/>
  <c r="V383" i="15"/>
  <c r="A383" i="15"/>
  <c r="V382" i="15"/>
  <c r="A382" i="15"/>
  <c r="V381" i="15"/>
  <c r="A381" i="15"/>
  <c r="AA380" i="15"/>
  <c r="B380" i="15"/>
  <c r="A380" i="15"/>
  <c r="AA379" i="15"/>
  <c r="B379" i="15"/>
  <c r="A379" i="15"/>
  <c r="AA378" i="15"/>
  <c r="B378" i="15"/>
  <c r="A378" i="15"/>
  <c r="V377" i="15"/>
  <c r="A377" i="15"/>
  <c r="AA376" i="15"/>
  <c r="B376" i="15"/>
  <c r="A376" i="15"/>
  <c r="AA375" i="15"/>
  <c r="B375" i="15"/>
  <c r="A375" i="15"/>
  <c r="V374" i="15"/>
  <c r="A374" i="15"/>
  <c r="AA373" i="15"/>
  <c r="B373" i="15"/>
  <c r="A373" i="15"/>
  <c r="AA372" i="15"/>
  <c r="B372" i="15"/>
  <c r="A372" i="15"/>
  <c r="AA371" i="15"/>
  <c r="B371" i="15"/>
  <c r="A371" i="15"/>
  <c r="AA370" i="15"/>
  <c r="B370" i="15"/>
  <c r="A370" i="15"/>
  <c r="AA369" i="15"/>
  <c r="B369" i="15"/>
  <c r="A369" i="15"/>
  <c r="AA368" i="15"/>
  <c r="B368" i="15"/>
  <c r="A368" i="15"/>
  <c r="V367" i="15"/>
  <c r="A367" i="15"/>
  <c r="AA366" i="15"/>
  <c r="B366" i="15"/>
  <c r="A366" i="15"/>
  <c r="AA365" i="15"/>
  <c r="B365" i="15"/>
  <c r="A365" i="15"/>
  <c r="AA364" i="15"/>
  <c r="B364" i="15"/>
  <c r="A364" i="15"/>
  <c r="V363" i="15"/>
  <c r="A363" i="15"/>
  <c r="AA362" i="15"/>
  <c r="B362" i="15"/>
  <c r="A362" i="15"/>
  <c r="AA361" i="15"/>
  <c r="B361" i="15"/>
  <c r="A361" i="15"/>
  <c r="AA360" i="15"/>
  <c r="B360" i="15"/>
  <c r="A360" i="15"/>
  <c r="AA359" i="15"/>
  <c r="B359" i="15"/>
  <c r="A359" i="15"/>
  <c r="AA358" i="15"/>
  <c r="B358" i="15"/>
  <c r="A358" i="15"/>
  <c r="AA357" i="15"/>
  <c r="B357" i="15"/>
  <c r="A357" i="15"/>
  <c r="AA356" i="15"/>
  <c r="B356" i="15"/>
  <c r="A356" i="15"/>
  <c r="AA355" i="15"/>
  <c r="B355" i="15"/>
  <c r="A355" i="15"/>
  <c r="AA354" i="15"/>
  <c r="B354" i="15"/>
  <c r="A354" i="15"/>
  <c r="AA353" i="15"/>
  <c r="B353" i="15"/>
  <c r="A353" i="15"/>
  <c r="AA352" i="15"/>
  <c r="B352" i="15"/>
  <c r="A352" i="15"/>
  <c r="AA351" i="15"/>
  <c r="B351" i="15"/>
  <c r="A351" i="15"/>
  <c r="AA350" i="15"/>
  <c r="B350" i="15"/>
  <c r="A350" i="15"/>
  <c r="V349" i="15"/>
  <c r="A349" i="15"/>
  <c r="AA348" i="15"/>
  <c r="B348" i="15"/>
  <c r="A348" i="15"/>
  <c r="AA347" i="15"/>
  <c r="B347" i="15"/>
  <c r="A347" i="15"/>
  <c r="AA346" i="15"/>
  <c r="B346" i="15"/>
  <c r="A346" i="15"/>
  <c r="AA2427" i="15"/>
  <c r="B2427" i="15"/>
  <c r="A2427" i="15"/>
  <c r="AA344" i="15"/>
  <c r="B344" i="15"/>
  <c r="A344" i="15"/>
  <c r="AA343" i="15"/>
  <c r="B343" i="15"/>
  <c r="A343" i="15"/>
  <c r="AA342" i="15"/>
  <c r="B342" i="15"/>
  <c r="A342" i="15"/>
  <c r="AA341" i="15"/>
  <c r="B341" i="15"/>
  <c r="A341" i="15"/>
  <c r="AA340" i="15"/>
  <c r="B340" i="15"/>
  <c r="A340" i="15"/>
  <c r="AA339" i="15"/>
  <c r="B339" i="15"/>
  <c r="A339" i="15"/>
  <c r="AA338" i="15"/>
  <c r="B338" i="15"/>
  <c r="A338" i="15"/>
  <c r="AA337" i="15"/>
  <c r="B337" i="15"/>
  <c r="A337" i="15"/>
  <c r="AA336" i="15"/>
  <c r="B336" i="15"/>
  <c r="A336" i="15"/>
  <c r="AA335" i="15"/>
  <c r="B335" i="15"/>
  <c r="A335" i="15"/>
  <c r="AA334" i="15"/>
  <c r="B334" i="15"/>
  <c r="A334" i="15"/>
  <c r="AA333" i="15"/>
  <c r="B333" i="15"/>
  <c r="A333" i="15"/>
  <c r="AA332" i="15"/>
  <c r="B332" i="15"/>
  <c r="A332" i="15"/>
  <c r="AA331" i="15"/>
  <c r="B331" i="15"/>
  <c r="A331" i="15"/>
  <c r="AA330" i="15"/>
  <c r="B330" i="15"/>
  <c r="A330" i="15"/>
  <c r="AA329" i="15"/>
  <c r="B329" i="15"/>
  <c r="A329" i="15"/>
  <c r="AA3184" i="15"/>
  <c r="B3184" i="15"/>
  <c r="AA327" i="15"/>
  <c r="B327" i="15"/>
  <c r="A327" i="15"/>
  <c r="AA326" i="15"/>
  <c r="B326" i="15"/>
  <c r="A326" i="15"/>
  <c r="AA325" i="15"/>
  <c r="B325" i="15"/>
  <c r="A325" i="15"/>
  <c r="AA324" i="15"/>
  <c r="B324" i="15"/>
  <c r="A324" i="15"/>
  <c r="V323" i="15"/>
  <c r="A323" i="15"/>
  <c r="V322" i="15"/>
  <c r="A322" i="15"/>
  <c r="AA321" i="15"/>
  <c r="B321" i="15"/>
  <c r="A321" i="15"/>
  <c r="AA320" i="15"/>
  <c r="B320" i="15"/>
  <c r="A320" i="15"/>
  <c r="AA319" i="15"/>
  <c r="B319" i="15"/>
  <c r="A319" i="15"/>
  <c r="AA318" i="15"/>
  <c r="B318" i="15"/>
  <c r="A318" i="15"/>
  <c r="AA317" i="15"/>
  <c r="B317" i="15"/>
  <c r="A317" i="15"/>
  <c r="AA316" i="15"/>
  <c r="B316" i="15"/>
  <c r="A316" i="15"/>
  <c r="V315" i="15"/>
  <c r="A315" i="15"/>
  <c r="AA314" i="15"/>
  <c r="B314" i="15"/>
  <c r="A314" i="15"/>
  <c r="AA313" i="15"/>
  <c r="B313" i="15"/>
  <c r="A313" i="15"/>
  <c r="AA312" i="15"/>
  <c r="B312" i="15"/>
  <c r="A312" i="15"/>
  <c r="V311" i="15"/>
  <c r="A311" i="15"/>
  <c r="AA310" i="15"/>
  <c r="B310" i="15"/>
  <c r="A310" i="15"/>
  <c r="AA309" i="15"/>
  <c r="B309" i="15"/>
  <c r="A309" i="15"/>
  <c r="AA308" i="15"/>
  <c r="B308" i="15"/>
  <c r="A308" i="15"/>
  <c r="V307" i="15"/>
  <c r="A307" i="15"/>
  <c r="AA306" i="15"/>
  <c r="B306" i="15"/>
  <c r="A306" i="15"/>
  <c r="AA305" i="15"/>
  <c r="B305" i="15"/>
  <c r="A305" i="15"/>
  <c r="AA1212" i="15"/>
  <c r="B1212" i="15"/>
  <c r="A1212" i="15"/>
  <c r="AA303" i="15"/>
  <c r="B303" i="15"/>
  <c r="A303" i="15"/>
  <c r="V302" i="15"/>
  <c r="A302" i="15"/>
  <c r="AA301" i="15"/>
  <c r="B301" i="15"/>
  <c r="A301" i="15"/>
  <c r="AA300" i="15"/>
  <c r="B300" i="15"/>
  <c r="A300" i="15"/>
  <c r="AA299" i="15"/>
  <c r="B299" i="15"/>
  <c r="A299" i="15"/>
  <c r="AA298" i="15"/>
  <c r="B298" i="15"/>
  <c r="A298" i="15"/>
  <c r="AA297" i="15"/>
  <c r="B297" i="15"/>
  <c r="A297" i="15"/>
  <c r="V296" i="15"/>
  <c r="A296" i="15"/>
  <c r="AA295" i="15"/>
  <c r="B295" i="15"/>
  <c r="A295" i="15"/>
  <c r="AA294" i="15"/>
  <c r="B294" i="15"/>
  <c r="A294" i="15"/>
  <c r="AA293" i="15"/>
  <c r="B293" i="15"/>
  <c r="A293" i="15"/>
  <c r="AA292" i="15"/>
  <c r="B292" i="15"/>
  <c r="A292" i="15"/>
  <c r="V291" i="15"/>
  <c r="A291" i="15"/>
  <c r="V290" i="15"/>
  <c r="A290" i="15"/>
  <c r="AA289" i="15"/>
  <c r="B289" i="15"/>
  <c r="A289" i="15"/>
  <c r="AA288" i="15"/>
  <c r="B288" i="15"/>
  <c r="A288" i="15"/>
  <c r="B287" i="15"/>
  <c r="A287" i="15"/>
  <c r="AA286" i="15"/>
  <c r="B286" i="15"/>
  <c r="A286" i="15"/>
  <c r="AA285" i="15"/>
  <c r="B285" i="15"/>
  <c r="A285" i="15"/>
  <c r="AA284" i="15"/>
  <c r="B284" i="15"/>
  <c r="A284" i="15"/>
  <c r="AA283" i="15"/>
  <c r="B283" i="15"/>
  <c r="A283" i="15"/>
  <c r="AA282" i="15"/>
  <c r="B282" i="15"/>
  <c r="A282" i="15"/>
  <c r="AA281" i="15"/>
  <c r="B281" i="15"/>
  <c r="A281" i="15"/>
  <c r="V280" i="15"/>
  <c r="A280" i="15"/>
  <c r="AA279" i="15"/>
  <c r="B279" i="15"/>
  <c r="A279" i="15"/>
  <c r="AA278" i="15"/>
  <c r="B278" i="15"/>
  <c r="A278" i="15"/>
  <c r="AA277" i="15"/>
  <c r="B277" i="15"/>
  <c r="A277" i="15"/>
  <c r="AA276" i="15"/>
  <c r="B276" i="15"/>
  <c r="A276" i="15"/>
  <c r="AA275" i="15"/>
  <c r="B275" i="15"/>
  <c r="A275" i="15"/>
  <c r="AA274" i="15"/>
  <c r="B274" i="15"/>
  <c r="A274" i="15"/>
  <c r="AA273" i="15"/>
  <c r="B273" i="15"/>
  <c r="A273" i="15"/>
  <c r="AA272" i="15"/>
  <c r="B272" i="15"/>
  <c r="A272" i="15"/>
  <c r="AA271" i="15"/>
  <c r="B271" i="15"/>
  <c r="A271" i="15"/>
  <c r="AA270" i="15"/>
  <c r="B270" i="15"/>
  <c r="A270" i="15"/>
  <c r="V269" i="15"/>
  <c r="A269" i="15"/>
  <c r="AA2367" i="15"/>
  <c r="B2367" i="15"/>
  <c r="AA267" i="15"/>
  <c r="B267" i="15"/>
  <c r="A267" i="15"/>
  <c r="V266" i="15"/>
  <c r="A266" i="15"/>
  <c r="V265" i="15"/>
  <c r="A265" i="15"/>
  <c r="AA264" i="15"/>
  <c r="B264" i="15"/>
  <c r="A264" i="15"/>
  <c r="V263" i="15"/>
  <c r="A263" i="15"/>
  <c r="AA262" i="15"/>
  <c r="B262" i="15"/>
  <c r="A262" i="15"/>
  <c r="AA261" i="15"/>
  <c r="B261" i="15"/>
  <c r="A261" i="15"/>
  <c r="AA260" i="15"/>
  <c r="B260" i="15"/>
  <c r="A260" i="15"/>
  <c r="AA2780" i="15"/>
  <c r="B2780" i="15"/>
  <c r="A2780" i="15"/>
  <c r="AA258" i="15"/>
  <c r="B258" i="15"/>
  <c r="A258" i="15"/>
  <c r="V257" i="15"/>
  <c r="A257" i="15"/>
  <c r="AA256" i="15"/>
  <c r="B256" i="15"/>
  <c r="A256" i="15"/>
  <c r="AA255" i="15"/>
  <c r="B255" i="15"/>
  <c r="A255" i="15"/>
  <c r="AA254" i="15"/>
  <c r="B254" i="15"/>
  <c r="A254" i="15"/>
  <c r="AA253" i="15"/>
  <c r="B253" i="15"/>
  <c r="A253" i="15"/>
  <c r="AA252" i="15"/>
  <c r="B252" i="15"/>
  <c r="A252" i="15"/>
  <c r="AA251" i="15"/>
  <c r="B251" i="15"/>
  <c r="A251" i="15"/>
  <c r="AA250" i="15"/>
  <c r="B250" i="15"/>
  <c r="A250" i="15"/>
  <c r="AA249" i="15"/>
  <c r="B249" i="15"/>
  <c r="A249" i="15"/>
  <c r="AA248" i="15"/>
  <c r="B248" i="15"/>
  <c r="A248" i="15"/>
  <c r="AA247" i="15"/>
  <c r="B247" i="15"/>
  <c r="A247" i="15"/>
  <c r="AA246" i="15"/>
  <c r="B246" i="15"/>
  <c r="A246" i="15"/>
  <c r="AA245" i="15"/>
  <c r="B245" i="15"/>
  <c r="A245" i="15"/>
  <c r="AA244" i="15"/>
  <c r="B244" i="15"/>
  <c r="A244" i="15"/>
  <c r="AA243" i="15"/>
  <c r="B243" i="15"/>
  <c r="A243" i="15"/>
  <c r="AA242" i="15"/>
  <c r="B242" i="15"/>
  <c r="A242" i="15"/>
  <c r="AA241" i="15"/>
  <c r="B241" i="15"/>
  <c r="A241" i="15"/>
  <c r="AA240" i="15"/>
  <c r="B240" i="15"/>
  <c r="A240" i="15"/>
  <c r="AA3281" i="15"/>
  <c r="B3281" i="15"/>
  <c r="AA3179" i="15"/>
  <c r="B3179" i="15"/>
  <c r="AA4658" i="15"/>
  <c r="B4658" i="15"/>
  <c r="AA2731" i="15"/>
  <c r="B2731" i="15"/>
  <c r="AA328" i="15"/>
  <c r="B328" i="15"/>
  <c r="AA4000" i="15"/>
  <c r="B4000" i="15"/>
  <c r="AA4653" i="15"/>
  <c r="B4653" i="15"/>
  <c r="AA3177" i="15"/>
  <c r="B3177" i="15"/>
  <c r="AA3948" i="15"/>
  <c r="B3948" i="15"/>
  <c r="AA2316" i="15"/>
  <c r="B2316" i="15"/>
  <c r="AA3243" i="15"/>
  <c r="B3243" i="15"/>
  <c r="AA4729" i="15"/>
  <c r="B4729" i="15"/>
  <c r="AA223" i="15"/>
  <c r="B223" i="15"/>
  <c r="AA3284" i="15"/>
  <c r="B3284" i="15"/>
  <c r="AA3134" i="15"/>
  <c r="B3134" i="15"/>
  <c r="AA3277" i="15"/>
  <c r="B3277" i="15"/>
  <c r="AA3182" i="15"/>
  <c r="B3182" i="15"/>
  <c r="AA3276" i="15"/>
  <c r="B3276" i="15"/>
  <c r="AA3266" i="15"/>
  <c r="B3266" i="15"/>
  <c r="AA3264" i="15"/>
  <c r="B3264" i="15"/>
  <c r="AA1219" i="15"/>
  <c r="B1219" i="15"/>
  <c r="AA557" i="15"/>
  <c r="B557" i="15"/>
  <c r="V217" i="15"/>
  <c r="A217" i="15"/>
  <c r="V216" i="15"/>
  <c r="A216" i="15"/>
  <c r="AA215" i="15"/>
  <c r="B215" i="15"/>
  <c r="A215" i="15"/>
  <c r="AA2000" i="15"/>
  <c r="B2000" i="15"/>
  <c r="A2000" i="15"/>
  <c r="AA213" i="15"/>
  <c r="B213" i="15"/>
  <c r="A213" i="15"/>
  <c r="AA212" i="15"/>
  <c r="B212" i="15"/>
  <c r="A212" i="15"/>
  <c r="V211" i="15"/>
  <c r="A211" i="15"/>
  <c r="V210" i="15"/>
  <c r="A210" i="15"/>
  <c r="AA209" i="15"/>
  <c r="B209" i="15"/>
  <c r="A209" i="15"/>
  <c r="AA208" i="15"/>
  <c r="B208" i="15"/>
  <c r="A208" i="15"/>
  <c r="AA207" i="15"/>
  <c r="B207" i="15"/>
  <c r="A207" i="15"/>
  <c r="AA206" i="15"/>
  <c r="B206" i="15"/>
  <c r="A206" i="15"/>
  <c r="AA221" i="15"/>
  <c r="B221" i="15"/>
  <c r="A221" i="15"/>
  <c r="AA204" i="15"/>
  <c r="B204" i="15"/>
  <c r="A204" i="15"/>
  <c r="AA559" i="15"/>
  <c r="B559" i="15"/>
  <c r="A559" i="15"/>
  <c r="AA202" i="15"/>
  <c r="B202" i="15"/>
  <c r="A202" i="15"/>
  <c r="V201" i="15"/>
  <c r="A201" i="15"/>
  <c r="AA200" i="15"/>
  <c r="B200" i="15"/>
  <c r="A200" i="15"/>
  <c r="V199" i="15"/>
  <c r="A199" i="15"/>
  <c r="AA198" i="15"/>
  <c r="B198" i="15"/>
  <c r="A198" i="15"/>
  <c r="AA197" i="15"/>
  <c r="B197" i="15"/>
  <c r="A197" i="15"/>
  <c r="AA196" i="15"/>
  <c r="B196" i="15"/>
  <c r="A196" i="15"/>
  <c r="AA195" i="15"/>
  <c r="B195" i="15"/>
  <c r="A195" i="15"/>
  <c r="AA194" i="15"/>
  <c r="B194" i="15"/>
  <c r="A194" i="15"/>
  <c r="AA193" i="15"/>
  <c r="B193" i="15"/>
  <c r="A193" i="15"/>
  <c r="AA192" i="15"/>
  <c r="B192" i="15"/>
  <c r="A192" i="15"/>
  <c r="AA191" i="15"/>
  <c r="B191" i="15"/>
  <c r="A191" i="15"/>
  <c r="AA190" i="15"/>
  <c r="B190" i="15"/>
  <c r="A190" i="15"/>
  <c r="AA189" i="15"/>
  <c r="B189" i="15"/>
  <c r="A189" i="15"/>
  <c r="AA188" i="15"/>
  <c r="B188" i="15"/>
  <c r="A188" i="15"/>
  <c r="AA187" i="15"/>
  <c r="B187" i="15"/>
  <c r="A187" i="15"/>
  <c r="AA186" i="15"/>
  <c r="B186" i="15"/>
  <c r="A186" i="15"/>
  <c r="AA185" i="15"/>
  <c r="B185" i="15"/>
  <c r="A185" i="15"/>
  <c r="AA184" i="15"/>
  <c r="B184" i="15"/>
  <c r="A184" i="15"/>
  <c r="AA183" i="15"/>
  <c r="B183" i="15"/>
  <c r="A183" i="15"/>
  <c r="AA182" i="15"/>
  <c r="B182" i="15"/>
  <c r="A182" i="15"/>
  <c r="AA181" i="15"/>
  <c r="B181" i="15"/>
  <c r="A181" i="15"/>
  <c r="AA180" i="15"/>
  <c r="B180" i="15"/>
  <c r="A180" i="15"/>
  <c r="AA179" i="15"/>
  <c r="B179" i="15"/>
  <c r="A179" i="15"/>
  <c r="V178" i="15"/>
  <c r="A178" i="15"/>
  <c r="V177" i="15"/>
  <c r="A177" i="15"/>
  <c r="AA176" i="15"/>
  <c r="B176" i="15"/>
  <c r="A176" i="15"/>
  <c r="AA175" i="15"/>
  <c r="B175" i="15"/>
  <c r="A175" i="15"/>
  <c r="V174" i="15"/>
  <c r="A174" i="15"/>
  <c r="AA173" i="15"/>
  <c r="B173" i="15"/>
  <c r="A173" i="15"/>
  <c r="AA172" i="15"/>
  <c r="B172" i="15"/>
  <c r="A172" i="15"/>
  <c r="AA171" i="15"/>
  <c r="B171" i="15"/>
  <c r="A171" i="15"/>
  <c r="AA170" i="15"/>
  <c r="B170" i="15"/>
  <c r="A170" i="15"/>
  <c r="AA169" i="15"/>
  <c r="B169" i="15"/>
  <c r="A169" i="15"/>
  <c r="AA168" i="15"/>
  <c r="B168" i="15"/>
  <c r="A168" i="15"/>
  <c r="V167" i="15"/>
  <c r="A167" i="15"/>
  <c r="AA166" i="15"/>
  <c r="B166" i="15"/>
  <c r="A166" i="15"/>
  <c r="AA165" i="15"/>
  <c r="B165" i="15"/>
  <c r="A165" i="15"/>
  <c r="AA164" i="15"/>
  <c r="B164" i="15"/>
  <c r="A164" i="15"/>
  <c r="AA163" i="15"/>
  <c r="B163" i="15"/>
  <c r="A163" i="15"/>
  <c r="AA162" i="15"/>
  <c r="B162" i="15"/>
  <c r="A162" i="15"/>
  <c r="AA161" i="15"/>
  <c r="B161" i="15"/>
  <c r="A161" i="15"/>
  <c r="AA160" i="15"/>
  <c r="B160" i="15"/>
  <c r="A160" i="15"/>
  <c r="AA159" i="15"/>
  <c r="B159" i="15"/>
  <c r="A159" i="15"/>
  <c r="AA158" i="15"/>
  <c r="B158" i="15"/>
  <c r="A158" i="15"/>
  <c r="V157" i="15"/>
  <c r="A157" i="15"/>
  <c r="V156" i="15"/>
  <c r="A156" i="15"/>
  <c r="V155" i="15"/>
  <c r="A155" i="15"/>
  <c r="AA154" i="15"/>
  <c r="B154" i="15"/>
  <c r="A154" i="15"/>
  <c r="AA2729" i="15"/>
  <c r="B2729" i="15"/>
  <c r="A2729" i="15"/>
  <c r="AA152" i="15"/>
  <c r="B152" i="15"/>
  <c r="A152" i="15"/>
  <c r="V151" i="15"/>
  <c r="A151" i="15"/>
  <c r="V150" i="15"/>
  <c r="A150" i="15"/>
  <c r="AA149" i="15"/>
  <c r="B149" i="15"/>
  <c r="A149" i="15"/>
  <c r="AA148" i="15"/>
  <c r="B148" i="15"/>
  <c r="A148" i="15"/>
  <c r="AA147" i="15"/>
  <c r="B147" i="15"/>
  <c r="A147" i="15"/>
  <c r="V146" i="15"/>
  <c r="A146" i="15"/>
  <c r="AA145" i="15"/>
  <c r="B145" i="15"/>
  <c r="A145" i="15"/>
  <c r="AA2505" i="15"/>
  <c r="B2505" i="15"/>
  <c r="A2505" i="15"/>
  <c r="AA143" i="15"/>
  <c r="B143" i="15"/>
  <c r="A143" i="15"/>
  <c r="AA142" i="15"/>
  <c r="B142" i="15"/>
  <c r="A142" i="15"/>
  <c r="AA141" i="15"/>
  <c r="B141" i="15"/>
  <c r="A141" i="15"/>
  <c r="AA140" i="15"/>
  <c r="B140" i="15"/>
  <c r="A140" i="15"/>
  <c r="V139" i="15"/>
  <c r="A139" i="15"/>
  <c r="AA138" i="15"/>
  <c r="B138" i="15"/>
  <c r="A138" i="15"/>
  <c r="AA137" i="15"/>
  <c r="B137" i="15"/>
  <c r="A137" i="15"/>
  <c r="AA136" i="15"/>
  <c r="B136" i="15"/>
  <c r="A136" i="15"/>
  <c r="AA135" i="15"/>
  <c r="B135" i="15"/>
  <c r="A135" i="15"/>
  <c r="AA134" i="15"/>
  <c r="B134" i="15"/>
  <c r="A134" i="15"/>
  <c r="AA133" i="15"/>
  <c r="B133" i="15"/>
  <c r="A133" i="15"/>
  <c r="AA132" i="15"/>
  <c r="B132" i="15"/>
  <c r="A132" i="15"/>
  <c r="AA131" i="15"/>
  <c r="B131" i="15"/>
  <c r="A131" i="15"/>
  <c r="AA130" i="15"/>
  <c r="B130" i="15"/>
  <c r="A130" i="15"/>
  <c r="AA129" i="15"/>
  <c r="B129" i="15"/>
  <c r="A129" i="15"/>
  <c r="AA2593" i="15"/>
  <c r="B2593" i="15"/>
  <c r="A2593" i="15"/>
  <c r="V127" i="15"/>
  <c r="A127" i="15"/>
  <c r="AA126" i="15"/>
  <c r="B126" i="15"/>
  <c r="A126" i="15"/>
  <c r="AA125" i="15"/>
  <c r="B125" i="15"/>
  <c r="A125" i="15"/>
  <c r="AA124" i="15"/>
  <c r="B124" i="15"/>
  <c r="A124" i="15"/>
  <c r="AA123" i="15"/>
  <c r="B123" i="15"/>
  <c r="A123" i="15"/>
  <c r="AA122" i="15"/>
  <c r="B122" i="15"/>
  <c r="A122" i="15"/>
  <c r="V121" i="15"/>
  <c r="A121" i="15"/>
  <c r="AA120" i="15"/>
  <c r="B120" i="15"/>
  <c r="A120" i="15"/>
  <c r="AA119" i="15"/>
  <c r="B119" i="15"/>
  <c r="A119" i="15"/>
  <c r="AA118" i="15"/>
  <c r="B118" i="15"/>
  <c r="A118" i="15"/>
  <c r="AA117" i="15"/>
  <c r="B117" i="15"/>
  <c r="A117" i="15"/>
  <c r="AA116" i="15"/>
  <c r="B116" i="15"/>
  <c r="A116" i="15"/>
  <c r="AA115" i="15"/>
  <c r="B115" i="15"/>
  <c r="A115" i="15"/>
  <c r="AA114" i="15"/>
  <c r="B114" i="15"/>
  <c r="A114" i="15"/>
  <c r="AA113" i="15"/>
  <c r="B113" i="15"/>
  <c r="A113" i="15"/>
  <c r="AA112" i="15"/>
  <c r="B112" i="15"/>
  <c r="A112" i="15"/>
  <c r="AA111" i="15"/>
  <c r="B111" i="15"/>
  <c r="A111" i="15"/>
  <c r="AA110" i="15"/>
  <c r="B110" i="15"/>
  <c r="A110" i="15"/>
  <c r="V109" i="15"/>
  <c r="A109" i="15"/>
  <c r="V108" i="15"/>
  <c r="A108" i="15"/>
  <c r="AA107" i="15"/>
  <c r="B107" i="15"/>
  <c r="A107" i="15"/>
  <c r="AA106" i="15"/>
  <c r="B106" i="15"/>
  <c r="A106" i="15"/>
  <c r="V105" i="15"/>
  <c r="A105" i="15"/>
  <c r="AA104" i="15"/>
  <c r="B104" i="15"/>
  <c r="A104" i="15"/>
  <c r="AA103" i="15"/>
  <c r="B103" i="15"/>
  <c r="A103" i="15"/>
  <c r="AA102" i="15"/>
  <c r="B102" i="15"/>
  <c r="A102" i="15"/>
  <c r="AA101" i="15"/>
  <c r="B101" i="15"/>
  <c r="A101" i="15"/>
  <c r="AA100" i="15"/>
  <c r="B100" i="15"/>
  <c r="A100" i="15"/>
  <c r="AA99" i="15"/>
  <c r="B99" i="15"/>
  <c r="A99" i="15"/>
  <c r="AA98" i="15"/>
  <c r="B98" i="15"/>
  <c r="A98" i="15"/>
  <c r="AA97" i="15"/>
  <c r="B97" i="15"/>
  <c r="A97" i="15"/>
  <c r="AA96" i="15"/>
  <c r="B96" i="15"/>
  <c r="A96" i="15"/>
  <c r="AA95" i="15"/>
  <c r="B95" i="15"/>
  <c r="A95" i="15"/>
  <c r="AA94" i="15"/>
  <c r="B94" i="15"/>
  <c r="A94" i="15"/>
  <c r="AA93" i="15"/>
  <c r="B93" i="15"/>
  <c r="A93" i="15"/>
  <c r="AA92" i="15"/>
  <c r="B92" i="15"/>
  <c r="A92" i="15"/>
  <c r="AA91" i="15"/>
  <c r="B91" i="15"/>
  <c r="A91" i="15"/>
  <c r="AA90" i="15"/>
  <c r="B90" i="15"/>
  <c r="A90" i="15"/>
  <c r="AA89" i="15"/>
  <c r="B89" i="15"/>
  <c r="A89" i="15"/>
  <c r="AA2015" i="15"/>
  <c r="B2015" i="15"/>
  <c r="A2015" i="15"/>
  <c r="AA87" i="15"/>
  <c r="B87" i="15"/>
  <c r="A87" i="15"/>
  <c r="AA86" i="15"/>
  <c r="B86" i="15"/>
  <c r="A86" i="15"/>
  <c r="AA85" i="15"/>
  <c r="B85" i="15"/>
  <c r="A85" i="15"/>
  <c r="AA84" i="15"/>
  <c r="B84" i="15"/>
  <c r="A84" i="15"/>
  <c r="AA83" i="15"/>
  <c r="B83" i="15"/>
  <c r="A83" i="15"/>
  <c r="AA82" i="15"/>
  <c r="B82" i="15"/>
  <c r="A82" i="15"/>
  <c r="AA81" i="15"/>
  <c r="B81" i="15"/>
  <c r="A81" i="15"/>
  <c r="AA80" i="15"/>
  <c r="B80" i="15"/>
  <c r="A80" i="15"/>
  <c r="AA79" i="15"/>
  <c r="B79" i="15"/>
  <c r="A79" i="15"/>
  <c r="V78" i="15"/>
  <c r="A78" i="15"/>
  <c r="AA77" i="15"/>
  <c r="B77" i="15"/>
  <c r="A77" i="15"/>
  <c r="V76" i="15"/>
  <c r="A76" i="15"/>
  <c r="AA75" i="15"/>
  <c r="B75" i="15"/>
  <c r="A75" i="15"/>
  <c r="V74" i="15"/>
  <c r="A74" i="15"/>
  <c r="AA73" i="15"/>
  <c r="B73" i="15"/>
  <c r="A73" i="15"/>
  <c r="AA72" i="15"/>
  <c r="B72" i="15"/>
  <c r="A72" i="15"/>
  <c r="V71" i="15"/>
  <c r="A71" i="15"/>
  <c r="V70" i="15"/>
  <c r="A70" i="15"/>
  <c r="V69" i="15"/>
  <c r="A69" i="15"/>
  <c r="AA68" i="15"/>
  <c r="B68" i="15"/>
  <c r="A68" i="15"/>
  <c r="AA67" i="15"/>
  <c r="B67" i="15"/>
  <c r="A67" i="15"/>
  <c r="AA66" i="15"/>
  <c r="B66" i="15"/>
  <c r="A66" i="15"/>
  <c r="AA65" i="15"/>
  <c r="B65" i="15"/>
  <c r="A65" i="15"/>
  <c r="AA64" i="15"/>
  <c r="B64" i="15"/>
  <c r="A64" i="15"/>
  <c r="AA63" i="15"/>
  <c r="B63" i="15"/>
  <c r="A63" i="15"/>
  <c r="AA62" i="15"/>
  <c r="B62" i="15"/>
  <c r="A62" i="15"/>
  <c r="AA61" i="15"/>
  <c r="B61" i="15"/>
  <c r="A61" i="15"/>
  <c r="AA60" i="15"/>
  <c r="B60" i="15"/>
  <c r="A60" i="15"/>
  <c r="AA59" i="15"/>
  <c r="B59" i="15"/>
  <c r="A59" i="15"/>
  <c r="AA58" i="15"/>
  <c r="B58" i="15"/>
  <c r="A58" i="15"/>
  <c r="AA57" i="15"/>
  <c r="B57" i="15"/>
  <c r="A57" i="15"/>
  <c r="AA56" i="15"/>
  <c r="B56" i="15"/>
  <c r="A56" i="15"/>
  <c r="AA55" i="15"/>
  <c r="B55" i="15"/>
  <c r="A55" i="15"/>
  <c r="AA54" i="15"/>
  <c r="B54" i="15"/>
  <c r="A54" i="15"/>
  <c r="V53" i="15"/>
  <c r="A53" i="15"/>
  <c r="AA52" i="15"/>
  <c r="B52" i="15"/>
  <c r="A52" i="15"/>
  <c r="V51" i="15"/>
  <c r="A51" i="15"/>
  <c r="AA50" i="15"/>
  <c r="B50" i="15"/>
  <c r="A50" i="15"/>
  <c r="AA49" i="15"/>
  <c r="B49" i="15"/>
  <c r="A49" i="15"/>
  <c r="AA48" i="15"/>
  <c r="B48" i="15"/>
  <c r="A48" i="15"/>
  <c r="V47" i="15"/>
  <c r="A47" i="15"/>
  <c r="V46" i="15"/>
  <c r="A46" i="15"/>
  <c r="AA45" i="15"/>
  <c r="B45" i="15"/>
  <c r="A45" i="15"/>
  <c r="AA44" i="15"/>
  <c r="B44" i="15"/>
  <c r="A44" i="15"/>
  <c r="AA43" i="15"/>
  <c r="B43" i="15"/>
  <c r="A43" i="15"/>
  <c r="AA42" i="15"/>
  <c r="B42" i="15"/>
  <c r="A42" i="15"/>
  <c r="V41" i="15"/>
  <c r="A41" i="15"/>
  <c r="V40" i="15"/>
  <c r="A40" i="15"/>
  <c r="AA39" i="15"/>
  <c r="B39" i="15"/>
  <c r="A39" i="15"/>
  <c r="AA38" i="15"/>
  <c r="B38" i="15"/>
  <c r="A38" i="15"/>
  <c r="AA37" i="15"/>
  <c r="B37" i="15"/>
  <c r="A37" i="15"/>
  <c r="AA36" i="15"/>
  <c r="B36" i="15"/>
  <c r="A36" i="15"/>
  <c r="AA35" i="15"/>
  <c r="B35" i="15"/>
  <c r="A35" i="15"/>
  <c r="AA34" i="15"/>
  <c r="B34" i="15"/>
  <c r="A34" i="15"/>
  <c r="V33" i="15"/>
  <c r="A33" i="15"/>
  <c r="AA32" i="15"/>
  <c r="B32" i="15"/>
  <c r="A32" i="15"/>
  <c r="AA31" i="15"/>
  <c r="B31" i="15"/>
  <c r="A31" i="15"/>
  <c r="AA30" i="15"/>
  <c r="B30" i="15"/>
  <c r="A30" i="15"/>
  <c r="AA29" i="15"/>
  <c r="B29" i="15"/>
  <c r="A29" i="15"/>
  <c r="V28" i="15"/>
  <c r="A28" i="15"/>
  <c r="AA27" i="15"/>
  <c r="B27" i="15"/>
  <c r="A27" i="15"/>
  <c r="V26" i="15"/>
  <c r="A26" i="15"/>
  <c r="AA25" i="15"/>
  <c r="B25" i="15"/>
  <c r="A25" i="15"/>
  <c r="AA2727" i="15"/>
  <c r="B2727" i="15"/>
  <c r="A2727" i="15"/>
  <c r="AA4856" i="15"/>
  <c r="B4856" i="15"/>
  <c r="A4856" i="15"/>
  <c r="AA22" i="15"/>
  <c r="B22" i="15"/>
  <c r="A22" i="15"/>
  <c r="AA21" i="15"/>
  <c r="B21" i="15"/>
  <c r="A21" i="15"/>
  <c r="AA20" i="15"/>
  <c r="B20" i="15"/>
  <c r="A20" i="15"/>
  <c r="AA19" i="15"/>
  <c r="B19" i="15"/>
  <c r="A19" i="15"/>
  <c r="AA18" i="15"/>
  <c r="B18" i="15"/>
  <c r="A18" i="15"/>
  <c r="AA17" i="15"/>
  <c r="B17" i="15"/>
  <c r="A17" i="15"/>
  <c r="AA16" i="15"/>
  <c r="B16" i="15"/>
  <c r="A16" i="15"/>
  <c r="AA15" i="15"/>
  <c r="B15" i="15"/>
  <c r="A15" i="15"/>
  <c r="AA14" i="15"/>
  <c r="B14" i="15"/>
  <c r="A14" i="15"/>
  <c r="AA13" i="15"/>
  <c r="B13" i="15"/>
  <c r="A13" i="15"/>
  <c r="AA12" i="15"/>
  <c r="B12" i="15"/>
  <c r="A12" i="15"/>
  <c r="AA11" i="15"/>
  <c r="B11" i="15"/>
  <c r="A11" i="15"/>
  <c r="AA10" i="15"/>
  <c r="B10" i="15"/>
  <c r="A10" i="15"/>
  <c r="AA9" i="15"/>
  <c r="B9" i="15"/>
  <c r="A9" i="15"/>
  <c r="AA8" i="15"/>
  <c r="B8" i="15"/>
  <c r="A8" i="15"/>
  <c r="AA7" i="15"/>
  <c r="B7" i="15"/>
  <c r="A7" i="15"/>
  <c r="AA6" i="15"/>
  <c r="B6" i="15"/>
  <c r="A6" i="15"/>
  <c r="AA5" i="15"/>
  <c r="B5" i="15"/>
  <c r="A5" i="15"/>
  <c r="AA4" i="15"/>
  <c r="B4" i="15"/>
  <c r="A4" i="15"/>
  <c r="AA3" i="15"/>
  <c r="B3" i="15"/>
  <c r="A3" i="15"/>
  <c r="AA2" i="15"/>
  <c r="B2" i="15"/>
  <c r="A2" i="15"/>
  <c r="E19" i="1"/>
  <c r="H19" i="1"/>
  <c r="J71" i="2" l="1"/>
  <c r="E21" i="1"/>
  <c r="H16" i="1"/>
  <c r="E16" i="1"/>
  <c r="I16" i="1" s="1"/>
  <c r="C22" i="1"/>
  <c r="G22" i="1" s="1"/>
  <c r="C23" i="1"/>
  <c r="G23" i="1" s="1"/>
  <c r="D5" i="1"/>
  <c r="H5" i="1" s="1"/>
  <c r="J180" i="2"/>
  <c r="E11" i="1"/>
  <c r="I11" i="1" s="1"/>
  <c r="J157" i="2"/>
  <c r="E12" i="1"/>
  <c r="I12" i="1" s="1"/>
  <c r="H12" i="1"/>
  <c r="E8" i="1"/>
  <c r="H8" i="1"/>
  <c r="E13" i="1"/>
  <c r="I13" i="1" s="1"/>
  <c r="G13" i="1"/>
  <c r="H20" i="1"/>
  <c r="E20" i="1"/>
  <c r="I20" i="1" s="1"/>
  <c r="E15" i="1"/>
  <c r="H15" i="1"/>
  <c r="E9" i="1"/>
  <c r="I9" i="1" s="1"/>
  <c r="H9" i="1"/>
  <c r="E7" i="1"/>
  <c r="H7" i="1"/>
  <c r="J143" i="2"/>
  <c r="J162" i="2"/>
  <c r="J170" i="2"/>
  <c r="J148" i="2"/>
  <c r="J175" i="2"/>
  <c r="H6" i="1"/>
  <c r="H22" i="1"/>
  <c r="E17" i="1"/>
  <c r="I17" i="1" s="1"/>
  <c r="G17" i="1"/>
  <c r="H23" i="1"/>
  <c r="E18" i="1"/>
  <c r="E14" i="1"/>
  <c r="E10" i="1"/>
  <c r="G6" i="1"/>
  <c r="E6" i="1"/>
  <c r="I6" i="1" s="1"/>
  <c r="H21" i="1"/>
  <c r="J38" i="2"/>
  <c r="J52" i="2"/>
  <c r="J76" i="2"/>
  <c r="J86" i="2"/>
  <c r="J138" i="2"/>
  <c r="J23" i="2"/>
  <c r="J29" i="2"/>
  <c r="J47" i="2"/>
  <c r="J81" i="2"/>
  <c r="J96" i="2"/>
  <c r="E5" i="1" l="1"/>
  <c r="E23" i="1"/>
  <c r="I23" i="1" s="1"/>
  <c r="D24" i="1"/>
  <c r="E22" i="1"/>
  <c r="I22" i="1" s="1"/>
  <c r="C24" i="1"/>
  <c r="G21" i="1" s="1"/>
  <c r="H24" i="1"/>
  <c r="G14" i="1" l="1"/>
  <c r="G18" i="1"/>
  <c r="G8" i="1"/>
  <c r="G10" i="1"/>
  <c r="G5" i="1"/>
  <c r="G7" i="1"/>
  <c r="G15" i="1"/>
  <c r="G19" i="1"/>
  <c r="E24" i="1"/>
  <c r="I21" i="1" s="1"/>
  <c r="I14" i="1" l="1"/>
  <c r="I18" i="1"/>
  <c r="I8" i="1"/>
  <c r="I10" i="1"/>
  <c r="I5" i="1"/>
  <c r="I7" i="1"/>
  <c r="G24" i="1"/>
  <c r="I15" i="1"/>
  <c r="I19" i="1"/>
  <c r="I24" i="1" l="1"/>
</calcChain>
</file>

<file path=xl/sharedStrings.xml><?xml version="1.0" encoding="utf-8"?>
<sst xmlns="http://schemas.openxmlformats.org/spreadsheetml/2006/main" count="83451" uniqueCount="25300">
  <si>
    <t>PPS Funds Flow Summary by Partner Type - DY2, Q4 (IPP Module 1.4 and Module 1.10)</t>
  </si>
  <si>
    <t>Partner Category</t>
  </si>
  <si>
    <t>Quarterly Funds Flow Update - DY2, Q4</t>
  </si>
  <si>
    <t>Funds Flow - Waiver Dollars</t>
  </si>
  <si>
    <t>Funds Flow - Non-Waiver Dollars</t>
  </si>
  <si>
    <t>Funds Flow - All Dollars</t>
  </si>
  <si>
    <t>% of Funds Flow - Waiver Dollars</t>
  </si>
  <si>
    <t>% of Funds Flow - Non-Waiver Dollars</t>
  </si>
  <si>
    <t>% of Funds Flow - All Dollars</t>
  </si>
  <si>
    <t>Practitioner - Primary Care</t>
  </si>
  <si>
    <t>Practitioner - Non-Primary Care</t>
  </si>
  <si>
    <t>Hospital - Inpatient/ED</t>
  </si>
  <si>
    <t>Hospital - Ambulatory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</si>
  <si>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</si>
  <si>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</si>
  <si>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</si>
  <si>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</si>
  <si>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</si>
  <si>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</si>
  <si>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</si>
  <si>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</si>
  <si>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</si>
  <si>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</si>
  <si>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PPS PMO</t>
  </si>
  <si>
    <t>Non-PPS Network</t>
  </si>
  <si>
    <t>Other (Define)</t>
  </si>
  <si>
    <t>Total</t>
  </si>
  <si>
    <t>PPS Funds Flow - Partner Level Detail</t>
  </si>
  <si>
    <t>Partner Information</t>
  </si>
  <si>
    <t>Quarterly Funds Flow Updates - DY2, Q4</t>
  </si>
  <si>
    <t>NPI</t>
  </si>
  <si>
    <t>MMIS ID</t>
  </si>
  <si>
    <t>Partner Name</t>
  </si>
  <si>
    <t>Safety Net</t>
  </si>
  <si>
    <t>State Assigned Category</t>
  </si>
  <si>
    <t>INSERT ROWS ABOVE FOR ADDITIONAL PARTNERS IN THIS CATEGORY - DO NOT ENTER DATA IN THIS ROW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</si>
  <si>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</si>
  <si>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</si>
  <si>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</si>
  <si>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</si>
  <si>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</si>
  <si>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</si>
  <si>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DY2, Q4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</si>
  <si>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</si>
  <si>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</si>
  <si>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</si>
  <si>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</si>
  <si>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</si>
  <si>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</si>
  <si>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</si>
  <si>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</si>
  <si>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</si>
  <si>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</si>
  <si>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PPS Partner Engagement by Project</t>
  </si>
  <si>
    <t>Partner Type</t>
  </si>
  <si>
    <t>2.a.i.</t>
  </si>
  <si>
    <t>2.b.iii.</t>
  </si>
  <si>
    <t>2.b.vii.</t>
  </si>
  <si>
    <t>2.b.viii.</t>
  </si>
  <si>
    <t>2.d.i.</t>
  </si>
  <si>
    <t>3.a.i.</t>
  </si>
  <si>
    <t>3.a.ii.</t>
  </si>
  <si>
    <t>3.b.i.</t>
  </si>
  <si>
    <t>3.f.i.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</si>
  <si>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</si>
  <si>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</si>
  <si>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</si>
  <si>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</si>
  <si>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</si>
  <si>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</si>
  <si>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Emergency Departments with Care Triage</t>
  </si>
  <si>
    <t>PAM(R) Providers</t>
  </si>
  <si>
    <t>Expected Number of Crisis Intervention Programs Established</t>
  </si>
  <si>
    <t>NPI ID</t>
  </si>
  <si>
    <t>DSRIP Provider Name</t>
  </si>
  <si>
    <t>Entity ID</t>
  </si>
  <si>
    <t>Entity Name</t>
  </si>
  <si>
    <t>OPWDD Tax ID</t>
  </si>
  <si>
    <t>DSRIP Contact Name</t>
  </si>
  <si>
    <t>DSRIP Contact Phone</t>
  </si>
  <si>
    <t>Phone Extension</t>
  </si>
  <si>
    <t>DSRIP Contact Email</t>
  </si>
  <si>
    <t>DSRIP Provider Type</t>
  </si>
  <si>
    <t>Provider Category</t>
  </si>
  <si>
    <t>DSRIP Street</t>
  </si>
  <si>
    <t>DSRIP City</t>
  </si>
  <si>
    <t>DSRIP State</t>
  </si>
  <si>
    <t>DSRIP Postal Code</t>
  </si>
  <si>
    <t>NPI Name</t>
  </si>
  <si>
    <t>NPI Street</t>
  </si>
  <si>
    <t>NPI City</t>
  </si>
  <si>
    <t>NPI State</t>
  </si>
  <si>
    <t>NPI Postal Code</t>
  </si>
  <si>
    <t>MMIS Name</t>
  </si>
  <si>
    <t>MMIS Street</t>
  </si>
  <si>
    <t>MMIS City</t>
  </si>
  <si>
    <t>MMIS State</t>
  </si>
  <si>
    <t>MMIS Postal Code</t>
  </si>
  <si>
    <t>MMIS Provider Type</t>
  </si>
  <si>
    <t>DSRIP Partner Type</t>
  </si>
  <si>
    <t>Public Hospital</t>
  </si>
  <si>
    <t>Provider Status</t>
  </si>
  <si>
    <t>Hub(Short Name)</t>
  </si>
  <si>
    <t>Network Type</t>
  </si>
  <si>
    <t>Errors</t>
  </si>
  <si>
    <t>Warnings</t>
  </si>
  <si>
    <t>ALBERT, AMY, RPAC</t>
  </si>
  <si>
    <t>E0041899</t>
  </si>
  <si>
    <t>MOJON AMY RPA</t>
  </si>
  <si>
    <t>ALBERT, AMY, PA</t>
  </si>
  <si>
    <t>(716) 883-6800</t>
  </si>
  <si>
    <t>AALBERT@KALEIDAHEALTH.ORG</t>
  </si>
  <si>
    <t>Practitioner - Non-Primary Care Provider (PCP)</t>
  </si>
  <si>
    <t>No</t>
  </si>
  <si>
    <t>ALBERT AMY</t>
  </si>
  <si>
    <t>897 DELAWARE AVE</t>
  </si>
  <si>
    <t>BUFFALO</t>
  </si>
  <si>
    <t>NY</t>
  </si>
  <si>
    <t>PHYSICIAN</t>
  </si>
  <si>
    <t>M</t>
  </si>
  <si>
    <t>MMIS</t>
  </si>
  <si>
    <t>P</t>
  </si>
  <si>
    <t>ARMENIA, DONALD, MD</t>
  </si>
  <si>
    <t>E0221860</t>
  </si>
  <si>
    <t>ARMENIA DONALD J           MD</t>
  </si>
  <si>
    <t>(716) 675-5000</t>
  </si>
  <si>
    <t>DARMENIA@KALEIDAHEALTH.ORG</t>
  </si>
  <si>
    <t>ARMENIA DONALD</t>
  </si>
  <si>
    <t>3723 SENECA ST</t>
  </si>
  <si>
    <t>WEST SENECA</t>
  </si>
  <si>
    <t>TAKITA, HIROSHI, MD</t>
  </si>
  <si>
    <t>E0181464</t>
  </si>
  <si>
    <t>TAKITA HIROSHI MD</t>
  </si>
  <si>
    <t>(716) 885-0602</t>
  </si>
  <si>
    <t>HTAKITA@KALEIDAHEALTH.ORG</t>
  </si>
  <si>
    <t>TAKITA HIROSHI MR.</t>
  </si>
  <si>
    <t>3 GATES CIR</t>
  </si>
  <si>
    <t>ABLOVE, TOVA, MD</t>
  </si>
  <si>
    <t>E0088461</t>
  </si>
  <si>
    <t>ABLOVE TOVA STRAM MD</t>
  </si>
  <si>
    <t>(608) 829-5485</t>
  </si>
  <si>
    <t>TABLOVE@KALEIDAHEALTH.ORG</t>
  </si>
  <si>
    <t>All Other:: Practitioner - Non-Primary Care Provider (PCP)</t>
  </si>
  <si>
    <t>ABLOVE TOVA</t>
  </si>
  <si>
    <t>6161 TRANSIT ROAD</t>
  </si>
  <si>
    <t>EAST AMHERST</t>
  </si>
  <si>
    <t>CHAUDHURI, JAYANTA, MD</t>
  </si>
  <si>
    <t>E0048229</t>
  </si>
  <si>
    <t>CHAUDHURI JAYANTA MD</t>
  </si>
  <si>
    <t>(716) 298-0230</t>
  </si>
  <si>
    <t>All Other:: Practitioner - Primary Care Provider (PCP)</t>
  </si>
  <si>
    <t>CHAUDHURI JAYANTA</t>
  </si>
  <si>
    <t>621 10TH ST</t>
  </si>
  <si>
    <t>NIAGARA FALLS</t>
  </si>
  <si>
    <t>TREVERTON, PATRICIA, ANPC</t>
  </si>
  <si>
    <t>E0081680</t>
  </si>
  <si>
    <t>TREVERTON PATRICIA LYNN</t>
  </si>
  <si>
    <t>TREVERTON, PATRICIA, ANP</t>
  </si>
  <si>
    <t>(716) 693-3344</t>
  </si>
  <si>
    <t>PTREVERTON@KALEIDAHEALTH.ORG</t>
  </si>
  <si>
    <t>TREVERTON PATRICIA</t>
  </si>
  <si>
    <t>1783 COLVIN BLVD</t>
  </si>
  <si>
    <t>MUCCIARELLA, ROSALBA, MD</t>
  </si>
  <si>
    <t>E0131641</t>
  </si>
  <si>
    <t>MUCCIARELLA ROSALBA MD</t>
  </si>
  <si>
    <t>(716) 635-0688</t>
  </si>
  <si>
    <t>RMUCCIARELLA@KALEIDAHEALTH.ORG</t>
  </si>
  <si>
    <t>MUCCIARELLA ROSALBA</t>
  </si>
  <si>
    <t>505 DELAWARE AVE</t>
  </si>
  <si>
    <t>MEZZADRI, FRANCIS, MD</t>
  </si>
  <si>
    <t>E0197232</t>
  </si>
  <si>
    <t>MEZZADRI FRANCIS C  MD</t>
  </si>
  <si>
    <t>(716) 662-8510</t>
  </si>
  <si>
    <t>FMEZZADRI@KALEIDAHEALTH.ORG</t>
  </si>
  <si>
    <t>MEZZADRI FRANCIS DR.</t>
  </si>
  <si>
    <t>MEZZADRI FRANCIS C</t>
  </si>
  <si>
    <t>100 HIGH ST</t>
  </si>
  <si>
    <t>SMALL, THOMAS, MD</t>
  </si>
  <si>
    <t>E0225896</t>
  </si>
  <si>
    <t>SMALL THOMAS C MD PC</t>
  </si>
  <si>
    <t>(716) 626-4878</t>
  </si>
  <si>
    <t>TSMALL@KALEIDAHEALTH.ORG</t>
  </si>
  <si>
    <t>SMALL THOMAS</t>
  </si>
  <si>
    <t>SMALL THOMAS CLINTON</t>
  </si>
  <si>
    <t>2821 WEHRLE DR STE 1</t>
  </si>
  <si>
    <t>NAJDZIONEK, JAN, MD</t>
  </si>
  <si>
    <t>E0135044</t>
  </si>
  <si>
    <t>NAJDZIONEK JAN STANLEY MD</t>
  </si>
  <si>
    <t>(716) 636-1902</t>
  </si>
  <si>
    <t>JNAJDZIONEK@KALEIDAHEALTH.ORG</t>
  </si>
  <si>
    <t>NAJDZIONEK JAN</t>
  </si>
  <si>
    <t>16 BANK ST</t>
  </si>
  <si>
    <t>BATAVIA</t>
  </si>
  <si>
    <t>GADAWSKI, ROBERT, MD</t>
  </si>
  <si>
    <t>E0123755</t>
  </si>
  <si>
    <t>GADAWSKI ROBERT JOHN MD</t>
  </si>
  <si>
    <t>LORI ADAMSON</t>
  </si>
  <si>
    <t>(716) 298-1107</t>
  </si>
  <si>
    <t>SUMMITPEDS@NYBIZ.RR.COM</t>
  </si>
  <si>
    <t>Yes</t>
  </si>
  <si>
    <t>GADAWSKI ROBERT DR.</t>
  </si>
  <si>
    <t>SUMMIT PEDIATRICS PC</t>
  </si>
  <si>
    <t>LATES, CHRISTIAN, MD</t>
  </si>
  <si>
    <t>E0111532</t>
  </si>
  <si>
    <t>LATES CHRISTIAN</t>
  </si>
  <si>
    <t>(716) 857-8666</t>
  </si>
  <si>
    <t>CLATES@KALEIDAHEALTH.ORG</t>
  </si>
  <si>
    <t>LATES CHRISTIAN D MD</t>
  </si>
  <si>
    <t>2741 TRANSIT RD</t>
  </si>
  <si>
    <t>ELMA</t>
  </si>
  <si>
    <t>ROBINSON, LUTHER, MD</t>
  </si>
  <si>
    <t>E0195639</t>
  </si>
  <si>
    <t>ROBINSON LUTHER K          MD</t>
  </si>
  <si>
    <t>(716) 839-6720</t>
  </si>
  <si>
    <t>LROBINSON@KALEIDAHEALTH.ORG</t>
  </si>
  <si>
    <t>ROBINSON LUTHER</t>
  </si>
  <si>
    <t>219 BRYANT ST</t>
  </si>
  <si>
    <t>REINSTEIN, CRAIG, PT</t>
  </si>
  <si>
    <t>E0108413</t>
  </si>
  <si>
    <t>REINSTEIN CRAIG E PT</t>
  </si>
  <si>
    <t>(716) 282-2888</t>
  </si>
  <si>
    <t>REINSTEIN CRAIG</t>
  </si>
  <si>
    <t>924 MAIN ST</t>
  </si>
  <si>
    <t>THERAPIST</t>
  </si>
  <si>
    <t>REUSS, PETER, MD</t>
  </si>
  <si>
    <t>E0105284</t>
  </si>
  <si>
    <t>REUSS PETER M MD</t>
  </si>
  <si>
    <t>(952) 595-1301</t>
  </si>
  <si>
    <t>PREUSS@KALEIDAHEALTH.ORG</t>
  </si>
  <si>
    <t>Uncategorized</t>
  </si>
  <si>
    <t>REUSS PETER DR.</t>
  </si>
  <si>
    <t>NY DOWNTOWN RAD ASC</t>
  </si>
  <si>
    <t>NEW YORK</t>
  </si>
  <si>
    <t>OSTEMPOWSKI, MICHAEL, MD</t>
  </si>
  <si>
    <t>E0068718</t>
  </si>
  <si>
    <t>OSTEMPOWSKI MICHAEL JAMES MD</t>
  </si>
  <si>
    <t>(716) 204-1101</t>
  </si>
  <si>
    <t>MOSTEMPOWSKI@KALEIDAHEALTH.ORG</t>
  </si>
  <si>
    <t>OSTEMPOWSKI MICHAEL DR.</t>
  </si>
  <si>
    <t>AMHERST ORTHO</t>
  </si>
  <si>
    <t>WILLIAMSVILLE</t>
  </si>
  <si>
    <t>BURSTEIN, GALE, MD</t>
  </si>
  <si>
    <t>E0022868</t>
  </si>
  <si>
    <t>BURSTEIN GALE R MD</t>
  </si>
  <si>
    <t>CHERYLL MOORE</t>
  </si>
  <si>
    <t>CHERYLL.MOORE@ERIE.GOV</t>
  </si>
  <si>
    <t>BURSTEIN GALE DR.</t>
  </si>
  <si>
    <t>BANAS, MICHAEL, MD</t>
  </si>
  <si>
    <t>E0023004</t>
  </si>
  <si>
    <t>BANAS MICHAEL DONALD MD</t>
  </si>
  <si>
    <t>(716) 835-2966</t>
  </si>
  <si>
    <t>MBANAS@KALEIDAHEALTH.ORG</t>
  </si>
  <si>
    <t>BANAS MICHAEL</t>
  </si>
  <si>
    <t>462 GRIDER ST</t>
  </si>
  <si>
    <t>SUTTER, DIANE, MD</t>
  </si>
  <si>
    <t>E0149851</t>
  </si>
  <si>
    <t>SUTTER DIANE J MD</t>
  </si>
  <si>
    <t>(716) 650-5548</t>
  </si>
  <si>
    <t>DSUTTER@KALEIDAHEALTH.ORG</t>
  </si>
  <si>
    <t>SUTTER DIANE</t>
  </si>
  <si>
    <t>MILLARD FILLMORE HOS</t>
  </si>
  <si>
    <t>TREVETT, MILLICENT, MD</t>
  </si>
  <si>
    <t>E0072778</t>
  </si>
  <si>
    <t>TREVETT MILLICENT HOPE MD</t>
  </si>
  <si>
    <t>(716) 876-5512</t>
  </si>
  <si>
    <t>MTREVETT@KALEIDAHEALTH.ORG</t>
  </si>
  <si>
    <t>TREVETT MILLICENT DR.</t>
  </si>
  <si>
    <t>4041 DELAWARE AVE STE 100</t>
  </si>
  <si>
    <t>TONAWANDA</t>
  </si>
  <si>
    <t>KUCERA, JON, MD</t>
  </si>
  <si>
    <t>E0185893</t>
  </si>
  <si>
    <t>KUCERA JON C MD</t>
  </si>
  <si>
    <t>(716) 875-2904</t>
  </si>
  <si>
    <t>J.KUCERA@NWBCHCC.ORG</t>
  </si>
  <si>
    <t>KUCERA JON</t>
  </si>
  <si>
    <t>2075 SHERIDAN DR</t>
  </si>
  <si>
    <t>WILLIAMSVILLE SUBURBAN LLC</t>
  </si>
  <si>
    <t>E0233345</t>
  </si>
  <si>
    <t>WILLIAMSVILLE SUBURBAN</t>
  </si>
  <si>
    <t>(716) 633-2961</t>
  </si>
  <si>
    <t>All Other:: Nursing Home</t>
  </si>
  <si>
    <t>163 S UNION RD</t>
  </si>
  <si>
    <t>LONG TERM CARE FACILITY</t>
  </si>
  <si>
    <t>Family and Children's Service of Niagara</t>
  </si>
  <si>
    <t>E0183472</t>
  </si>
  <si>
    <t>FAM &amp; CHILD SVCS NIAGARA MH</t>
  </si>
  <si>
    <t>Ken Saas</t>
  </si>
  <si>
    <t>(716) 285-6984</t>
  </si>
  <si>
    <t>ksass@niagarafamily.org</t>
  </si>
  <si>
    <t>FAMILY &amp; CHILDREN'S SERVICE OF NIAGARA, INC</t>
  </si>
  <si>
    <t>1522 MAIN STREET</t>
  </si>
  <si>
    <t>HOME HEALTH AGENCY</t>
  </si>
  <si>
    <t>BARONE, STEVEN, MD</t>
  </si>
  <si>
    <t>E0284487</t>
  </si>
  <si>
    <t>BARONE STEVEN MICHAEL MD</t>
  </si>
  <si>
    <t>(716) 636-9004</t>
  </si>
  <si>
    <t>SBARONE@KALEIDAHEALTH.ORG</t>
  </si>
  <si>
    <t>BARONE STEVEN</t>
  </si>
  <si>
    <t>1150 YOUNGS RD STE 202</t>
  </si>
  <si>
    <t>TOTAL SENIOR CARE INC</t>
  </si>
  <si>
    <t>TOTAL SENIOR CARE, INC</t>
  </si>
  <si>
    <t>(716) 372-5735</t>
  </si>
  <si>
    <t>CMAHONEY@HOMECARE-HOSPICE.ORG</t>
  </si>
  <si>
    <t>Unknown</t>
  </si>
  <si>
    <t>1225 WEST STATE ST</t>
  </si>
  <si>
    <t>OLEAN</t>
  </si>
  <si>
    <t>NPI only</t>
  </si>
  <si>
    <t>AGARWAL, NEERU, MD</t>
  </si>
  <si>
    <t>E0368396</t>
  </si>
  <si>
    <t>AGARWAL NEERU</t>
  </si>
  <si>
    <t>(312) 526-3926</t>
  </si>
  <si>
    <t>NAGARWAL@KALEIDAHEALTH.ORG</t>
  </si>
  <si>
    <t>AGARWAL NEERU DR.</t>
  </si>
  <si>
    <t>PO BOX 8000</t>
  </si>
  <si>
    <t>UEBELHOER, DONNA, BS</t>
  </si>
  <si>
    <t>DUEBELHOER@CATSWNY.ORG</t>
  </si>
  <si>
    <t>UEBELHOER DONNA</t>
  </si>
  <si>
    <t>301 CAYUGA RD, SUITE 200</t>
  </si>
  <si>
    <t>CHEEKTOWAGA</t>
  </si>
  <si>
    <t>SEEREITER, PHILLIP, MD</t>
  </si>
  <si>
    <t>E0005034</t>
  </si>
  <si>
    <t>SEEREITER PHILLIP JAMES JR</t>
  </si>
  <si>
    <t>(716) 677-2273</t>
  </si>
  <si>
    <t>PSEEREITER@KALEIDAHEALTH.ORG</t>
  </si>
  <si>
    <t>SEEREITER PHILLIP DR.</t>
  </si>
  <si>
    <t>500 STERLING DR</t>
  </si>
  <si>
    <t>ORCHARD PARK</t>
  </si>
  <si>
    <t>PATEL, SONAL, MD</t>
  </si>
  <si>
    <t>E0325534</t>
  </si>
  <si>
    <t>PATEL SONAL</t>
  </si>
  <si>
    <t>ANGELA BOSINSKI, PRACTICE FACILITATOR</t>
  </si>
  <si>
    <t>(716) 878-2700</t>
  </si>
  <si>
    <t>AMW25@BUFFALO.EDU</t>
  </si>
  <si>
    <t>899 MAIN ST</t>
  </si>
  <si>
    <t>JAIN, RAJIV, MD</t>
  </si>
  <si>
    <t>E0083550</t>
  </si>
  <si>
    <t>JAIN RAJIV K MD</t>
  </si>
  <si>
    <t>(716) 332-4476</t>
  </si>
  <si>
    <t>JAIN RAJIV</t>
  </si>
  <si>
    <t>STE 100</t>
  </si>
  <si>
    <t>HARLOFF, ERIKA, FNP</t>
  </si>
  <si>
    <t>E0391145</t>
  </si>
  <si>
    <t>HARLOFF ERIKA</t>
  </si>
  <si>
    <t>(585) 969-8311</t>
  </si>
  <si>
    <t>EHARLOFF@KALEIDAHEALTH.ORG</t>
  </si>
  <si>
    <t>WAVER ERIKA</t>
  </si>
  <si>
    <t>HARLOFF ERIKA BROOKE</t>
  </si>
  <si>
    <t>4711 TRANSIT RD STE 1</t>
  </si>
  <si>
    <t>DEPEW</t>
  </si>
  <si>
    <t>BRAYMILLER, DAVID,</t>
  </si>
  <si>
    <t>BRAYMILLER,  DAVID, COUNSELOR III</t>
  </si>
  <si>
    <t>(716) 831-1800</t>
  </si>
  <si>
    <t>HERBWEIS@HORIZON-HEALTH.ORG</t>
  </si>
  <si>
    <t>BRAYMILLER DAVID</t>
  </si>
  <si>
    <t>3020 BAILEY AVE, 2ND FLOOR</t>
  </si>
  <si>
    <t>CLERK, HARNATH, MD</t>
  </si>
  <si>
    <t>E0153828</t>
  </si>
  <si>
    <t>CLERK HARNATH BALENDRA MD PC</t>
  </si>
  <si>
    <t>HARNATH B. CLERK, MD</t>
  </si>
  <si>
    <t>(716) 778-7237</t>
  </si>
  <si>
    <t>CLERK HARNATH</t>
  </si>
  <si>
    <t>2610 WILLIAM ST</t>
  </si>
  <si>
    <t>NEWFANE</t>
  </si>
  <si>
    <t>DESAI, RAVI, MD</t>
  </si>
  <si>
    <t>E0091767</t>
  </si>
  <si>
    <t>DESAI RAVI KUMAR MD</t>
  </si>
  <si>
    <t>(716) 692-2160</t>
  </si>
  <si>
    <t>RDESAI@KALEIDAHEALTH.ORG</t>
  </si>
  <si>
    <t>DESAI RAVI</t>
  </si>
  <si>
    <t>HICKEY, DONALD, MEDICALDO</t>
  </si>
  <si>
    <t>E0186210</t>
  </si>
  <si>
    <t>HICKEY DONALD DOUGLAS   MD</t>
  </si>
  <si>
    <t>HICKEY, DONALD, MD</t>
  </si>
  <si>
    <t>(716) 839-5474</t>
  </si>
  <si>
    <t>DHICKEY2@KALEIDAHEALTH.ORG</t>
  </si>
  <si>
    <t>HICKEY DONALD</t>
  </si>
  <si>
    <t>KENMORE MERCY HOSP</t>
  </si>
  <si>
    <t>KENMORE</t>
  </si>
  <si>
    <t>BRAUTIGAM, DONALD, MD</t>
  </si>
  <si>
    <t>E0236482</t>
  </si>
  <si>
    <t>BRAUTIGAM DONALD F         MD</t>
  </si>
  <si>
    <t>BRAUTIGAM, DONALD ,</t>
  </si>
  <si>
    <t>(716) 326-4678</t>
  </si>
  <si>
    <t>NANB@WFPWEB.NET</t>
  </si>
  <si>
    <t>BRAUTIGAM DONALD DR.</t>
  </si>
  <si>
    <t>BRAUTIGAM DONALD F</t>
  </si>
  <si>
    <t>PO BOX 10</t>
  </si>
  <si>
    <t>WESTFIELD</t>
  </si>
  <si>
    <t>LINCOFF, NORAH, MD</t>
  </si>
  <si>
    <t>E0157632</t>
  </si>
  <si>
    <t>LINCOFF-COHEN NORAH SYDNEY MD</t>
  </si>
  <si>
    <t>LINCOFF-COHEN, NORAH, MD</t>
  </si>
  <si>
    <t>(716) 859-3701</t>
  </si>
  <si>
    <t>NLINCOFFCOHEN@KALEIDAHEALTH.ORG</t>
  </si>
  <si>
    <t>LINCOFF NORAH</t>
  </si>
  <si>
    <t>KROL, LAWRENCE, MD</t>
  </si>
  <si>
    <t>E0115763</t>
  </si>
  <si>
    <t>KROL LAWRENCE CHARLES MD</t>
  </si>
  <si>
    <t>(716) 884-0230</t>
  </si>
  <si>
    <t>LKROL@KALEIDAHEALTH.ORG</t>
  </si>
  <si>
    <t>KROL LAWRENCE DR.</t>
  </si>
  <si>
    <t>341 ENGLEWOOD AVE</t>
  </si>
  <si>
    <t>DOEDEMA, MICHELLE,</t>
  </si>
  <si>
    <t>DOEDEMA,  MICHELLE, ADMISSIONS TEAM SUPERVISOR</t>
  </si>
  <si>
    <t>DOEDEMA MICHELLE MS.</t>
  </si>
  <si>
    <t>3297 BAILEY AVE</t>
  </si>
  <si>
    <t>WOLF, BARBARA, LCSW</t>
  </si>
  <si>
    <t>WOLF, MICHELLE, SENIOR COUNSELOR - HV</t>
  </si>
  <si>
    <t>WOLF BARBARA</t>
  </si>
  <si>
    <t>3020 BAILEY AVE</t>
  </si>
  <si>
    <t>PARMINGTON, MARTHA, MD</t>
  </si>
  <si>
    <t>E0184858</t>
  </si>
  <si>
    <t>PARMINGTON MARTHA JANE MD</t>
  </si>
  <si>
    <t>PARMINGTON , MARTHA JANE, MD</t>
  </si>
  <si>
    <t>JPARMINGTON@UPA.CHOB.EDU</t>
  </si>
  <si>
    <t>PARMINGTON MARTHA DR.</t>
  </si>
  <si>
    <t>ROJEK, JENNIFER, MD</t>
  </si>
  <si>
    <t>E0321731</t>
  </si>
  <si>
    <t>ROJEK JENNIFER L</t>
  </si>
  <si>
    <t>(716) 675-5222</t>
  </si>
  <si>
    <t>JROJEK@KALEIDAHEALTH.ORG</t>
  </si>
  <si>
    <t>ROJEK JENNIFER DR.</t>
  </si>
  <si>
    <t>3050 ORCHARD PARK RD</t>
  </si>
  <si>
    <t>NEBBIA, ROBIN, NP</t>
  </si>
  <si>
    <t>E0301563</t>
  </si>
  <si>
    <t>NEBBIA ROBIN LEE</t>
  </si>
  <si>
    <t>NEBBIA ROBIN MS.</t>
  </si>
  <si>
    <t>(716) 689-7546</t>
  </si>
  <si>
    <t>8770 TRANSIT RD STE 2</t>
  </si>
  <si>
    <t>RONG, RONG, MDPHD</t>
  </si>
  <si>
    <t>E0359299</t>
  </si>
  <si>
    <t>RONG RONG</t>
  </si>
  <si>
    <t>RONG, RONG, MD</t>
  </si>
  <si>
    <t>RRONG@KALEIDAHEALTH.ORG</t>
  </si>
  <si>
    <t>RONG RONG DR.</t>
  </si>
  <si>
    <t>ROBERTS, TRACY, BSW</t>
  </si>
  <si>
    <t>SHANLEY, TRACY, BSW</t>
  </si>
  <si>
    <t>(716) 895-7167</t>
  </si>
  <si>
    <t>IS@MID-ERIE.ORG</t>
  </si>
  <si>
    <t>ROBERTS TRACY</t>
  </si>
  <si>
    <t>1526 WALDEN AVE</t>
  </si>
  <si>
    <t>LEONARD, ELIZABETH, LMHCCASA</t>
  </si>
  <si>
    <t>LEONARD, ELIZABETH, SENIOR COUNSELOR - HV</t>
  </si>
  <si>
    <t>(716) 831-2700</t>
  </si>
  <si>
    <t>LEONARD ELIZABETH MRS.</t>
  </si>
  <si>
    <t>NOON, MELANIE, RPAC</t>
  </si>
  <si>
    <t>E0328388</t>
  </si>
  <si>
    <t>NOON MELANIE ELIZABETH</t>
  </si>
  <si>
    <t>NOON, MELANIE, PA-C</t>
  </si>
  <si>
    <t>(716) 677-6000</t>
  </si>
  <si>
    <t>MNOON@KALEIDAHEALTH.ORG</t>
  </si>
  <si>
    <t>D'ANGELO MELANIE</t>
  </si>
  <si>
    <t>180 PARK CLUB LN STE 100</t>
  </si>
  <si>
    <t>SATRA, ANKITA, MD</t>
  </si>
  <si>
    <t>E0359298</t>
  </si>
  <si>
    <t>SATRA ANKITA</t>
  </si>
  <si>
    <t>SATRA, ANKITA , MD</t>
  </si>
  <si>
    <t>(312) 480-6661</t>
  </si>
  <si>
    <t>ASATRA@KALEIDAHEALTH.ORG</t>
  </si>
  <si>
    <t>BAHUVA ANKITA</t>
  </si>
  <si>
    <t>900 HERTEL AVE</t>
  </si>
  <si>
    <t>TISDALE, BRITTON, MDBSC</t>
  </si>
  <si>
    <t>E0325474</t>
  </si>
  <si>
    <t>TISDALE BRITTON</t>
  </si>
  <si>
    <t>TISDALE, BRITTON, MD</t>
  </si>
  <si>
    <t>(716) 898-5008</t>
  </si>
  <si>
    <t>BTISDALE@KALEIDAHEALTH.ORG</t>
  </si>
  <si>
    <t>TISDALE BRITTON DR.</t>
  </si>
  <si>
    <t>TISDALE BRITTON EDGETT</t>
  </si>
  <si>
    <t>FARINA, CARIN,</t>
  </si>
  <si>
    <t>FARINA,  CARYN, MSW</t>
  </si>
  <si>
    <t>(716) 819-3420</t>
  </si>
  <si>
    <t>CFARINA@CATSWNY.ORG</t>
  </si>
  <si>
    <t>FARINA CARIN</t>
  </si>
  <si>
    <t>3350 MAIN ST</t>
  </si>
  <si>
    <t>DEFAZIO, CHRISTIAN, MD</t>
  </si>
  <si>
    <t>E0111915</t>
  </si>
  <si>
    <t>DEFAZIO CHRISTIAN R MD</t>
  </si>
  <si>
    <t>(716) 204-4500</t>
  </si>
  <si>
    <t>CDEFAZIO@KALEIDAHEALTH.ORG</t>
  </si>
  <si>
    <t>DEFAZIO CHRISTIAN</t>
  </si>
  <si>
    <t>3669 SOUTHWESTERN BLVD</t>
  </si>
  <si>
    <t>SNYDER, BRADLEY, MD</t>
  </si>
  <si>
    <t>BSNYDER@KALEIDAHEALTH.ORG</t>
  </si>
  <si>
    <t>SNYDER BRADLEY</t>
  </si>
  <si>
    <t>ZOLLIKERSTRASSE 194</t>
  </si>
  <si>
    <t>ZURICH</t>
  </si>
  <si>
    <t>CANTON</t>
  </si>
  <si>
    <t>GELFER, ALEXANDER, MD</t>
  </si>
  <si>
    <t>E0191490</t>
  </si>
  <si>
    <t>GELFER ALEXANDER BORIS MD</t>
  </si>
  <si>
    <t>(716) 636-8274</t>
  </si>
  <si>
    <t>AGELFER@KALEIDAHEALTH.ORG</t>
  </si>
  <si>
    <t>GELFER ALEXANDER DR.</t>
  </si>
  <si>
    <t>6645 MAIN ST</t>
  </si>
  <si>
    <t>PARTHASARATHY, KONDAI, MD</t>
  </si>
  <si>
    <t>E0002004</t>
  </si>
  <si>
    <t>PARTHASARATHY KONDAI L</t>
  </si>
  <si>
    <t>(716) 626-4468</t>
  </si>
  <si>
    <t>KPARTHASARATHY@KALEIDAHEALTH.ORG</t>
  </si>
  <si>
    <t>PARTHASARATHY KONDAI DR.</t>
  </si>
  <si>
    <t>PARTHASARATHY KONDAI L MD</t>
  </si>
  <si>
    <t>6420 TRANSIT RD</t>
  </si>
  <si>
    <t>PARSONS, DAVID, RPAC</t>
  </si>
  <si>
    <t>E0065825</t>
  </si>
  <si>
    <t>PARSONS DAVID W</t>
  </si>
  <si>
    <t>PARSONS, DAVID, PA</t>
  </si>
  <si>
    <t>(716) 438-5573</t>
  </si>
  <si>
    <t>DPARSONS@KALEIDAHEALTH.ORG</t>
  </si>
  <si>
    <t>PARSONS DAVID MR.</t>
  </si>
  <si>
    <t>PARSONS DAVID WILLIAM</t>
  </si>
  <si>
    <t>5300 MILITARY RD</t>
  </si>
  <si>
    <t>LEWISTON</t>
  </si>
  <si>
    <t xml:space="preserve">Witte, Gilbert </t>
  </si>
  <si>
    <t>E0210396</t>
  </si>
  <si>
    <t>WITTE GILBERT N            MD</t>
  </si>
  <si>
    <t>WITTE GILBERT</t>
  </si>
  <si>
    <t>WITTE GILBERT N</t>
  </si>
  <si>
    <t>535 MAIN ST</t>
  </si>
  <si>
    <t>PRICE, KATHERINE, NPCNM</t>
  </si>
  <si>
    <t>E0036656</t>
  </si>
  <si>
    <t>PRICE KATHERINE ELAINE</t>
  </si>
  <si>
    <t>PRICE, KATHERINE, CNM</t>
  </si>
  <si>
    <t>(585) 798-2865</t>
  </si>
  <si>
    <t>KPRICE@KALEIDAHEALTH.ORG</t>
  </si>
  <si>
    <t>PRICE KATHERINE</t>
  </si>
  <si>
    <t>100 OHIO ST</t>
  </si>
  <si>
    <t>MEDINA</t>
  </si>
  <si>
    <t>NURSE</t>
  </si>
  <si>
    <t>GUO, WEIDUN, MD</t>
  </si>
  <si>
    <t>E0019529</t>
  </si>
  <si>
    <t>GUO WEIDUN ALAN MD</t>
  </si>
  <si>
    <t>(716) 888-4889</t>
  </si>
  <si>
    <t>WGUO@KALEIDAHEALTH.ORG</t>
  </si>
  <si>
    <t>GUO WEIDUN DR.</t>
  </si>
  <si>
    <t>OUWELEEN, KEVIN, MD</t>
  </si>
  <si>
    <t>E0134131</t>
  </si>
  <si>
    <t>OUWELEEN KEVIN MICHAEL MD</t>
  </si>
  <si>
    <t>OUWELEEN KEVIN</t>
  </si>
  <si>
    <t>(716) 366-7150</t>
  </si>
  <si>
    <t>LAKESHORE ORTHO GRP</t>
  </si>
  <si>
    <t>DUNKIRK</t>
  </si>
  <si>
    <t>KULAYLAT, MAHMOUD, MD</t>
  </si>
  <si>
    <t>E0180631</t>
  </si>
  <si>
    <t>KULAYLAT MAHMOUD N   MD</t>
  </si>
  <si>
    <t>MKULAYLAT@KALEIDAHEALTH.ORG</t>
  </si>
  <si>
    <t>KULAYLAT MAHMOUD</t>
  </si>
  <si>
    <t>RITTER-SCHMIDT, DONA, MSCCCSP</t>
  </si>
  <si>
    <t>E0223724</t>
  </si>
  <si>
    <t>RITTER-SCHMIDT DONA HUE</t>
  </si>
  <si>
    <t>RITTER-SCHMIDT, DONA, LSP</t>
  </si>
  <si>
    <t>(716) 829-3980</t>
  </si>
  <si>
    <t>DRITTERSCHMIDT@KALEIDAHEALTH.ORG</t>
  </si>
  <si>
    <t>RITTER-SCHMIDT DONA</t>
  </si>
  <si>
    <t>1083 DELAWARE AVE</t>
  </si>
  <si>
    <t>WITHIAM LEITCH, SHERRY, MD</t>
  </si>
  <si>
    <t>E0131328</t>
  </si>
  <si>
    <t>WITHIAM-LEITCH SHERRY ANN</t>
  </si>
  <si>
    <t>WITHIAM-LEITCH, SHERRY, MD</t>
  </si>
  <si>
    <t>(716) 689-1901</t>
  </si>
  <si>
    <t>SWITHIAMLEITCH@KALEIDAHEALTH.ORG</t>
  </si>
  <si>
    <t>WITHIAM LEITCH SHERRY</t>
  </si>
  <si>
    <t>ERIE CO MED CTR</t>
  </si>
  <si>
    <t>TARABOLETTI, LYNN, MD</t>
  </si>
  <si>
    <t>E0159771</t>
  </si>
  <si>
    <t>TARABOLETTI LYNN M MD</t>
  </si>
  <si>
    <t>(716) 631-3510</t>
  </si>
  <si>
    <t>LTARABOLETTI@KALEIDAHEALTH.ORG</t>
  </si>
  <si>
    <t>TARABOLETTI LYNN DR.</t>
  </si>
  <si>
    <t>DZIK, JOHN, MD</t>
  </si>
  <si>
    <t>E0135811</t>
  </si>
  <si>
    <t>DZIK JOHN ALEXANDER MD</t>
  </si>
  <si>
    <t>(716) 558-5437</t>
  </si>
  <si>
    <t>JDZIK@KALEIDAHEALTH.ORG</t>
  </si>
  <si>
    <t>DZIK JOHN DR.</t>
  </si>
  <si>
    <t>CARRION, VIVIEN, MD</t>
  </si>
  <si>
    <t>E0203597</t>
  </si>
  <si>
    <t>CARRION VIVIEN             MD</t>
  </si>
  <si>
    <t>CARRION , VIVIEN   , MD</t>
  </si>
  <si>
    <t>(716) 692-3302</t>
  </si>
  <si>
    <t>VCARRION@UPA.CHOB.EDU</t>
  </si>
  <si>
    <t>CARRION VIVIEN</t>
  </si>
  <si>
    <t>GUY, ELISA, ANP</t>
  </si>
  <si>
    <t>E0334347</t>
  </si>
  <si>
    <t>GUY ELISA</t>
  </si>
  <si>
    <t>(716) 773-5895</t>
  </si>
  <si>
    <t>EGUY@KALEIDAHEALTH.ORG</t>
  </si>
  <si>
    <t>FINK, TERESA, LPN</t>
  </si>
  <si>
    <t>E0348240</t>
  </si>
  <si>
    <t>FINK TERESA CAROL</t>
  </si>
  <si>
    <t>(716) 662-2040</t>
  </si>
  <si>
    <t>FINKT@SHSWNY.ORG</t>
  </si>
  <si>
    <t>FINK TERESA</t>
  </si>
  <si>
    <t>2309 EGGERT RD</t>
  </si>
  <si>
    <t>LESINSKI, LISA,</t>
  </si>
  <si>
    <t>LESINSKI,  LISA, SR COUNSELOR LICENSED</t>
  </si>
  <si>
    <t>LESINSKI LISA</t>
  </si>
  <si>
    <t>BARRA, CANDICE, DO</t>
  </si>
  <si>
    <t>(631) 796-2324</t>
  </si>
  <si>
    <t>CBARRA@KALEIDAHEALTH.ORG</t>
  </si>
  <si>
    <t>BARRA CANDICE</t>
  </si>
  <si>
    <t>NEULAND POLINO, AMANDA, LMSW</t>
  </si>
  <si>
    <t>POLINO, AMANDA, LMSW</t>
  </si>
  <si>
    <t>POLINOA@SHSWNY.ORG</t>
  </si>
  <si>
    <t>NEULAND POLINO AMANDA MRS.</t>
  </si>
  <si>
    <t>227 THORN AVE</t>
  </si>
  <si>
    <t>ITEN, ASHLEY, ANPMSR</t>
  </si>
  <si>
    <t>E0372590</t>
  </si>
  <si>
    <t>ITEN ASHLEY HUETT</t>
  </si>
  <si>
    <t>ITEN, ASHLEY, ANP</t>
  </si>
  <si>
    <t>(716) 440-8054</t>
  </si>
  <si>
    <t>AITEN@KALEIDAHEALTH.ORG</t>
  </si>
  <si>
    <t>ITEN ASHLEY MRS.</t>
  </si>
  <si>
    <t>KOCH, SHANNON, MSW</t>
  </si>
  <si>
    <t>E0414855</t>
  </si>
  <si>
    <t>KOCH SHANNON</t>
  </si>
  <si>
    <t>KOCH, SHANNON, LMSW</t>
  </si>
  <si>
    <t>(585) 344-1421</t>
  </si>
  <si>
    <t>KOCHS@SHSWNY.ORG</t>
  </si>
  <si>
    <t>KOCH SHANNON MRS.</t>
  </si>
  <si>
    <t>5130 E MAIN RD</t>
  </si>
  <si>
    <t>CLINICAL SOCIAL WORKER (CSW)</t>
  </si>
  <si>
    <t>WABICK, JAROD,</t>
  </si>
  <si>
    <t>WABICK, JAROD, MHC-P</t>
  </si>
  <si>
    <t>WABICKJ@SHSWNY.ORG</t>
  </si>
  <si>
    <t>WABICK JAROD</t>
  </si>
  <si>
    <t>2040 SENECA ST</t>
  </si>
  <si>
    <t>COLEBECK, AMANDA, DDS</t>
  </si>
  <si>
    <t>E0374055</t>
  </si>
  <si>
    <t>COLEBECK AMANDA C</t>
  </si>
  <si>
    <t>(716) 898-3000</t>
  </si>
  <si>
    <t>ACOLEBECK@ECMC.EDU</t>
  </si>
  <si>
    <t>COLEBECK AMANDA DR.</t>
  </si>
  <si>
    <t>1275 YORK AVE</t>
  </si>
  <si>
    <t>DENTIST</t>
  </si>
  <si>
    <t>THOMPSON, MEGAN,</t>
  </si>
  <si>
    <t>THOMPSON, MEGAN, RN</t>
  </si>
  <si>
    <t>THOMPSON MEGAN</t>
  </si>
  <si>
    <t>STICHT, REBECCA, PAC</t>
  </si>
  <si>
    <t>E0401601</t>
  </si>
  <si>
    <t>STICHT REBECCA M</t>
  </si>
  <si>
    <t>STICHT, REBECCA, PA</t>
  </si>
  <si>
    <t>(716) 803-4486</t>
  </si>
  <si>
    <t>REBECCA.STICHT@FAMILYCHOICENY.COM</t>
  </si>
  <si>
    <t>STICHT REBECCA</t>
  </si>
  <si>
    <t>STICHT REBECCA MARIE</t>
  </si>
  <si>
    <t>290 CENTER RD STE 206</t>
  </si>
  <si>
    <t>RICHIR, THERESA,</t>
  </si>
  <si>
    <t>RICHIR, THERESA, LMSW</t>
  </si>
  <si>
    <t>RICHIRT@SHSWNY.ORG</t>
  </si>
  <si>
    <t>RICHIR THERESA</t>
  </si>
  <si>
    <t>1280 MAIN ST</t>
  </si>
  <si>
    <t>GUTERMAN, LEE, MD</t>
  </si>
  <si>
    <t>E0134828</t>
  </si>
  <si>
    <t>GUTERMAN LEE RAND MD</t>
  </si>
  <si>
    <t>LGUTERMAN@KALEIDAHEALTH.ORG</t>
  </si>
  <si>
    <t>GUTERMAN LEE</t>
  </si>
  <si>
    <t>DEPT OF NEUROSURGERY</t>
  </si>
  <si>
    <t>GRAY, MICHAEL, RPAC</t>
  </si>
  <si>
    <t>E0037544</t>
  </si>
  <si>
    <t>GRAY MICHAEL A</t>
  </si>
  <si>
    <t>GRAY MICHAEL MR.</t>
  </si>
  <si>
    <t>5858 SNYDER DR</t>
  </si>
  <si>
    <t>LOCKPORT</t>
  </si>
  <si>
    <t>RATNAKARAM, RAMAKRISHNA, MD</t>
  </si>
  <si>
    <t>E0308380</t>
  </si>
  <si>
    <t>RATNAKARAM RAMAKRISHNA</t>
  </si>
  <si>
    <t>(716) 632-1595</t>
  </si>
  <si>
    <t>RRATNAKARAM@KALEIDAHEALTH.ORG</t>
  </si>
  <si>
    <t>RATNAKARAM RAMAKRISHNA DR.</t>
  </si>
  <si>
    <t>3055 SOUTHWESTERN BLVD STE 108</t>
  </si>
  <si>
    <t>MAHL, THOMAS, MD</t>
  </si>
  <si>
    <t>E0180628</t>
  </si>
  <si>
    <t>MAHL THOMAS C   MD</t>
  </si>
  <si>
    <t>(716) 862-3145</t>
  </si>
  <si>
    <t>TMAHL@KALEIDAHEALTH.ORG</t>
  </si>
  <si>
    <t>MAHL THOMAS</t>
  </si>
  <si>
    <t>DUKARM, CAROLYN, MD</t>
  </si>
  <si>
    <t>E0158732</t>
  </si>
  <si>
    <t>EATING DISORDERS LLC</t>
  </si>
  <si>
    <t>CDUKARM@KALEIDAHEALTH.ORG</t>
  </si>
  <si>
    <t>DUKARM CAROLYN</t>
  </si>
  <si>
    <t>3560 N BUFFALO ST</t>
  </si>
  <si>
    <t>CUSENZ, BRUCE, MD</t>
  </si>
  <si>
    <t>E0190231</t>
  </si>
  <si>
    <t>CUSENZ BRUCE J MD</t>
  </si>
  <si>
    <t>(716) 639-0045</t>
  </si>
  <si>
    <t>BCUSENZ@KALEIDAHEALTH.ORG</t>
  </si>
  <si>
    <t>CUSENZ BRUCE DR.</t>
  </si>
  <si>
    <t>1630 MAPLE RD</t>
  </si>
  <si>
    <t>MENG, FANWEI, MD</t>
  </si>
  <si>
    <t>E0077360</t>
  </si>
  <si>
    <t>FANWEI MENG</t>
  </si>
  <si>
    <t>(716) 634-4798</t>
  </si>
  <si>
    <t>FMENG@KALEIDAHEALTH.ORG</t>
  </si>
  <si>
    <t>MENG FANWEI</t>
  </si>
  <si>
    <t>IQBAL, VASEEM, MD</t>
  </si>
  <si>
    <t>E0145112</t>
  </si>
  <si>
    <t>IQBAL VASEEM MD</t>
  </si>
  <si>
    <t>(716) 839-3333</t>
  </si>
  <si>
    <t>VIQBAL@KALEIDAHEALTH.ORG</t>
  </si>
  <si>
    <t>IQBAL VASEEM</t>
  </si>
  <si>
    <t>ELM &amp; CLIN PRAC PLAN</t>
  </si>
  <si>
    <t>ALMHURST</t>
  </si>
  <si>
    <t>PETROZIELLO, MICHAEL, MD</t>
  </si>
  <si>
    <t>E0348144</t>
  </si>
  <si>
    <t>PETROZIELLO MICHAEL</t>
  </si>
  <si>
    <t>(716) 845-2300</t>
  </si>
  <si>
    <t>MPETROZIELLO@KALEIDAHEALTH.ORG</t>
  </si>
  <si>
    <t>ELM AND CARLTON ST</t>
  </si>
  <si>
    <t>CATTARAUGUS REHABILITATION CENTER, INC.</t>
  </si>
  <si>
    <t>E0165754</t>
  </si>
  <si>
    <t>CATTARAUGUS REHAB CENTER MH</t>
  </si>
  <si>
    <t>(716) 375-4747</t>
  </si>
  <si>
    <t>1439 BUFFALO ST</t>
  </si>
  <si>
    <t>CHOPRA, ANITA, MD</t>
  </si>
  <si>
    <t>E0310502</t>
  </si>
  <si>
    <t>CHOPRA ANITA</t>
  </si>
  <si>
    <t>(716) 674-2404</t>
  </si>
  <si>
    <t>ACHOPRA@KALEIDAHEALTH.ORG</t>
  </si>
  <si>
    <t>CHOPRA ANITA DR.</t>
  </si>
  <si>
    <t>3705 SENECA ST</t>
  </si>
  <si>
    <t>KUMAR, MANOJ, MDMPH</t>
  </si>
  <si>
    <t>E0362220</t>
  </si>
  <si>
    <t>KUMAR MANOJ</t>
  </si>
  <si>
    <t>KUMAR, MANOJ, MD</t>
  </si>
  <si>
    <t>(716) 544-5142</t>
  </si>
  <si>
    <t>MKUMAR@KALEIDAHEALTH.ORG</t>
  </si>
  <si>
    <t>Practitioner - Primary Care Provider (PCP)</t>
  </si>
  <si>
    <t>KUMAR MANOJ DR.</t>
  </si>
  <si>
    <t>WAGNER, SHERI, MD</t>
  </si>
  <si>
    <t>E0009727</t>
  </si>
  <si>
    <t>WAGNER SHERI LYNN MD</t>
  </si>
  <si>
    <t>SWAGNER@KALEIDAHEALTH.ORG</t>
  </si>
  <si>
    <t>WAGNER SHERI MRS.</t>
  </si>
  <si>
    <t>SPEIGHT, JOANN, LMSW</t>
  </si>
  <si>
    <t>E0394101</t>
  </si>
  <si>
    <t>SPEIGHT JOANN</t>
  </si>
  <si>
    <t>(716) 335-7269</t>
  </si>
  <si>
    <t>JSPEIGHT@CFSBNY.ORG</t>
  </si>
  <si>
    <t>330 DELAWARE AVE</t>
  </si>
  <si>
    <t>SZALKOWSKI, THOMAS, MD</t>
  </si>
  <si>
    <t>E0172652</t>
  </si>
  <si>
    <t>SZALKOWSKI THOMAS J  MD</t>
  </si>
  <si>
    <t>(716) 691-3400</t>
  </si>
  <si>
    <t>TSZALKOWSKI@KALEIDAHEALTH.ORG</t>
  </si>
  <si>
    <t>SZALKOWSKI THOMAS DR.</t>
  </si>
  <si>
    <t>SOKOLOFSKY, DENISE, MD</t>
  </si>
  <si>
    <t>E0100936</t>
  </si>
  <si>
    <t>SOKOLOFSKY DENISE K MD</t>
  </si>
  <si>
    <t>DSOKOLOFSKY@KALEIDAHEALTH.ORG</t>
  </si>
  <si>
    <t>SOKOLOFSKY DENISE DR.</t>
  </si>
  <si>
    <t>CHLDRN HOSP BUFFALO</t>
  </si>
  <si>
    <t>GOODMAN, GAIL, MD</t>
  </si>
  <si>
    <t>E0152225</t>
  </si>
  <si>
    <t>GOODMAN GAIL R MD</t>
  </si>
  <si>
    <t>(716) 972-0279</t>
  </si>
  <si>
    <t>GGOODMAN@KALEIDAHEALTH.ORG</t>
  </si>
  <si>
    <t>GOODMAN GAIL</t>
  </si>
  <si>
    <t>OBERKIRCHER, ADAM, PA</t>
  </si>
  <si>
    <t>E0093148</t>
  </si>
  <si>
    <t>OBERKIRCHER ADAM PA</t>
  </si>
  <si>
    <t>AOBERKIRCHER@KALEIDAHEALTH.ORG</t>
  </si>
  <si>
    <t>OBERKIRCHER ADAM</t>
  </si>
  <si>
    <t>OBERKIRCHER ADAM ROBERTS</t>
  </si>
  <si>
    <t>VAUGHAN, RUSSELL, MD</t>
  </si>
  <si>
    <t>E0234315</t>
  </si>
  <si>
    <t>VAUGHAN RUSSELL S          MD</t>
  </si>
  <si>
    <t>(716) 632-8050</t>
  </si>
  <si>
    <t>RVAUGHAN@KALEIDAHEALTH.ORG</t>
  </si>
  <si>
    <t>VAUGHAN RUSSELL</t>
  </si>
  <si>
    <t>VAUGHAN RUSSELL S</t>
  </si>
  <si>
    <t>25 HOPKINS RD</t>
  </si>
  <si>
    <t>LOPEZ, ANDRE, MD</t>
  </si>
  <si>
    <t>E0012031</t>
  </si>
  <si>
    <t>LOPEZ ANDRE L MD</t>
  </si>
  <si>
    <t>ALOPEZ@KALEIDAHEALTH.ORG</t>
  </si>
  <si>
    <t>LOPEZ ANDRE DR.</t>
  </si>
  <si>
    <t>325 ESSJAY RD</t>
  </si>
  <si>
    <t>GRISWOLD, KIM, MD</t>
  </si>
  <si>
    <t>E0123756</t>
  </si>
  <si>
    <t>GRISWOLD KIM STRONG MD</t>
  </si>
  <si>
    <t>KGRISWOLD@KALEIDAHEALTH.ORG</t>
  </si>
  <si>
    <t>GRISWOLD KIM</t>
  </si>
  <si>
    <t>MILLARD FILLMORE HSP</t>
  </si>
  <si>
    <t>PERFETTO, CARLO, MD</t>
  </si>
  <si>
    <t>E0191027</t>
  </si>
  <si>
    <t>PERFETTO CARLO MICHAEL MD</t>
  </si>
  <si>
    <t>CPERFETTO@KALEIDAHEALTH.ORG</t>
  </si>
  <si>
    <t>PERFETTO CARLO DR.</t>
  </si>
  <si>
    <t>PERFETTO CARLO MICHAEL</t>
  </si>
  <si>
    <t>550 ORCHARD PARK RD STE B100</t>
  </si>
  <si>
    <t>HERNANDEZ-ILIZALITURRI, FRANCISCO, MD</t>
  </si>
  <si>
    <t>E0060409</t>
  </si>
  <si>
    <t>HERNANDEZ ILIZALITURRI F MD</t>
  </si>
  <si>
    <t>FHERNANDEZILIZALITUR@KALEIDAHEALTH.ORG</t>
  </si>
  <si>
    <t>HERNANDEZ-ILIZALITURRI FRANCISCO</t>
  </si>
  <si>
    <t>RPCI CL PRCT</t>
  </si>
  <si>
    <t>DOERR, MARK, MD</t>
  </si>
  <si>
    <t>E0310564</t>
  </si>
  <si>
    <t>DOERR MARK</t>
  </si>
  <si>
    <t>MDOERR@KALEIDAHEALTH.ORG</t>
  </si>
  <si>
    <t>DOERR MARK JOSEPH MD</t>
  </si>
  <si>
    <t>ROGER, ERIC, MD</t>
  </si>
  <si>
    <t>E0021718</t>
  </si>
  <si>
    <t>ROGER ERIC PAUL  MD</t>
  </si>
  <si>
    <t>(716) 218-1000</t>
  </si>
  <si>
    <t>EROGER@KALEIDAHEALTH.ORG</t>
  </si>
  <si>
    <t>ROGER ERIC DR.</t>
  </si>
  <si>
    <t>100 HIGH ST # B4</t>
  </si>
  <si>
    <t>QAZI, TAHIR, MD</t>
  </si>
  <si>
    <t>E0057091</t>
  </si>
  <si>
    <t>QAZI TAHIR MANSOOR AHMAD MD</t>
  </si>
  <si>
    <t>TQAZI@KALEIDAHEALTH.ORG</t>
  </si>
  <si>
    <t>QAZI TAHIR DR.</t>
  </si>
  <si>
    <t>80 MEAD ST</t>
  </si>
  <si>
    <t>NORTH TONAWANDA</t>
  </si>
  <si>
    <t>GLAZER, BONNIE, LCSWRACS</t>
  </si>
  <si>
    <t>GLAZER,  BONNIE L, LCSW-R, ACSW</t>
  </si>
  <si>
    <t>BLGLAZER@CATSWNY.ORG</t>
  </si>
  <si>
    <t>GLAZER BONNIE MRS.</t>
  </si>
  <si>
    <t>301 CAYUGA ROAD, SUITE 200</t>
  </si>
  <si>
    <t>NEIMAN, JOSEPH, MD</t>
  </si>
  <si>
    <t>E0257367</t>
  </si>
  <si>
    <t>NEIMAN JOSEPH BRUCE        MD</t>
  </si>
  <si>
    <t>(716) 688-5022</t>
  </si>
  <si>
    <t>JNEIMAN@KALEIDAHEALTH.ORG</t>
  </si>
  <si>
    <t>NEIMAN JOSEPH DR.</t>
  </si>
  <si>
    <t>PARSONS MEDICAL CTR</t>
  </si>
  <si>
    <t>JAMAICA</t>
  </si>
  <si>
    <t>COLERN, GERALD, NP</t>
  </si>
  <si>
    <t>E0311830</t>
  </si>
  <si>
    <t>COLERN GERALD</t>
  </si>
  <si>
    <t>COLERN, GERALD, ANP</t>
  </si>
  <si>
    <t>(716) 553-1514</t>
  </si>
  <si>
    <t>GCOLERN@KALEIDAHEALTH.ORG</t>
  </si>
  <si>
    <t>COLERN GERALD MR.</t>
  </si>
  <si>
    <t>COLERN GERALD HENRY</t>
  </si>
  <si>
    <t>1540 MAPLE RD</t>
  </si>
  <si>
    <t>MORAN, ALEXANDRA,</t>
  </si>
  <si>
    <t>MORAN, ALEXANDRA, COUNSELOR III - HV</t>
  </si>
  <si>
    <t>MORAN ALEXANDRA</t>
  </si>
  <si>
    <t>KIBLER, MITCHELL,</t>
  </si>
  <si>
    <t>KIBLER, MITCHELL, CASAC</t>
  </si>
  <si>
    <t>KIBLERM@SHSWNY.ORG</t>
  </si>
  <si>
    <t>KIBLER MITCHELL MR.</t>
  </si>
  <si>
    <t>34 N MAIN ST</t>
  </si>
  <si>
    <t>WARSAW</t>
  </si>
  <si>
    <t>NOWAK, HEIDI, WHNP</t>
  </si>
  <si>
    <t>E0362181</t>
  </si>
  <si>
    <t>NOWAK HEIDI</t>
  </si>
  <si>
    <t>HEIDI NOWAK, , NP</t>
  </si>
  <si>
    <t>(716) 839-4310</t>
  </si>
  <si>
    <t>NOWAK HEIDI MS.</t>
  </si>
  <si>
    <t>NOWAK HEIDI ANN</t>
  </si>
  <si>
    <t>184 BARTON ST</t>
  </si>
  <si>
    <t>DICE, WILLIAM, MD</t>
  </si>
  <si>
    <t>E0126024</t>
  </si>
  <si>
    <t>DICE WILLIAM HOWARD MD</t>
  </si>
  <si>
    <t>KRISTIN KIGHT, SENIOR MANAGER</t>
  </si>
  <si>
    <t>(716) 898-3401</t>
  </si>
  <si>
    <t>KKIGHT@KALEIDAHEALTH.ORG</t>
  </si>
  <si>
    <t>DICE WILLIAM</t>
  </si>
  <si>
    <t>PFALZER, AARON, MD</t>
  </si>
  <si>
    <t>E0037332</t>
  </si>
  <si>
    <t>PFALZER AARON M MD</t>
  </si>
  <si>
    <t>(716) 580-1813</t>
  </si>
  <si>
    <t>APFALZER@KALEIDAHEALTH.ORG</t>
  </si>
  <si>
    <t>PFALZER AARON</t>
  </si>
  <si>
    <t>KALEIDA HEALTH</t>
  </si>
  <si>
    <t>E0032451</t>
  </si>
  <si>
    <t>(716) 859-8385</t>
  </si>
  <si>
    <t>PHYSICIANS GROUP</t>
  </si>
  <si>
    <t>DEXTER, ELISABETH, MD</t>
  </si>
  <si>
    <t>E0070239</t>
  </si>
  <si>
    <t>DEXTER ELIZABETH MD</t>
  </si>
  <si>
    <t>EDEXTER@KALEIDAHEALTH.ORG</t>
  </si>
  <si>
    <t>DEXTER ELISABETH</t>
  </si>
  <si>
    <t>DEXTER ELISABETH MD</t>
  </si>
  <si>
    <t>750 E ADAMS ST</t>
  </si>
  <si>
    <t>SYRACUSE</t>
  </si>
  <si>
    <t>SHAH, DHIREN, MD</t>
  </si>
  <si>
    <t>E0138024</t>
  </si>
  <si>
    <t>SHAH DHIREN K MD</t>
  </si>
  <si>
    <t>(716) 844-5500</t>
  </si>
  <si>
    <t>DSHAH@KALEIDAHEALTH.ORG</t>
  </si>
  <si>
    <t>SHAH DHIREN DR.</t>
  </si>
  <si>
    <t>SHAH DHIREN K</t>
  </si>
  <si>
    <t>DEGRAFF MEM HOSP</t>
  </si>
  <si>
    <t>N TONAWANDA</t>
  </si>
  <si>
    <t>HEYDEN, TIMOTHY, MD</t>
  </si>
  <si>
    <t>E0138392</t>
  </si>
  <si>
    <t>HEYDEN TIMOTHY MICHAEL MD</t>
  </si>
  <si>
    <t>(716) 639-8466</t>
  </si>
  <si>
    <t>THEYDEN@KALEIDAHEALTH.ORG</t>
  </si>
  <si>
    <t>HEYDEN TIMOTHY DR.</t>
  </si>
  <si>
    <t>BUFFALO GEN HSP</t>
  </si>
  <si>
    <t>ALPSAN, KAMIL, MD</t>
  </si>
  <si>
    <t>E0234876</t>
  </si>
  <si>
    <t>ALPSAN A KAMIL</t>
  </si>
  <si>
    <t>ALPSAN, A. KAMIL, MD</t>
  </si>
  <si>
    <t>(716) 690-2028</t>
  </si>
  <si>
    <t>KALPSAN@KALEIDAHEALTH.ORG</t>
  </si>
  <si>
    <t>ALPSAN KAMIL</t>
  </si>
  <si>
    <t>STE 706</t>
  </si>
  <si>
    <t>NOTINO, ANTHONY, MD</t>
  </si>
  <si>
    <t>E0054329</t>
  </si>
  <si>
    <t>NOTINO ANTHONY GENE MD</t>
  </si>
  <si>
    <t>(716) 859-2954</t>
  </si>
  <si>
    <t>ANOTINO@KALEIDAHEALTH.ORG</t>
  </si>
  <si>
    <t>NOTINO ANTHONY DR.</t>
  </si>
  <si>
    <t>MCMAHON, COLIN, MD</t>
  </si>
  <si>
    <t>E0155996</t>
  </si>
  <si>
    <t>MCMAHON COLIN JAMES MD</t>
  </si>
  <si>
    <t>CMCMAHON@KALEIDAHEALTH.ORG</t>
  </si>
  <si>
    <t>MCMAHON COLIN</t>
  </si>
  <si>
    <t>BUFFALO GEN HOSP</t>
  </si>
  <si>
    <t>JOHNSON MICHAEL</t>
  </si>
  <si>
    <t>E0156601</t>
  </si>
  <si>
    <t>JOHNSON MICHAEL A MD</t>
  </si>
  <si>
    <t>JOHNSON MICHAEL ALANDO</t>
  </si>
  <si>
    <t>12 MARTIN ST</t>
  </si>
  <si>
    <t>WELLSVILLE</t>
  </si>
  <si>
    <t>WHEEL CHAIR HOME INC.</t>
  </si>
  <si>
    <t>KAY MARCIANO, DIRECTOR</t>
  </si>
  <si>
    <t>(716) 874-1566</t>
  </si>
  <si>
    <t>KMARCIANO@SCHOFIELDCARE.ORG</t>
  </si>
  <si>
    <t>2757 ELMWOOD AVE</t>
  </si>
  <si>
    <t>KESSLER, MARIE, MD</t>
  </si>
  <si>
    <t>E0103029</t>
  </si>
  <si>
    <t>KESSLER MARIE</t>
  </si>
  <si>
    <t>MKESSLER2@KALEIDAHEALTH.ORG</t>
  </si>
  <si>
    <t>KESSLER MARIE DR.</t>
  </si>
  <si>
    <t>KALEIDA HLTH CHOB</t>
  </si>
  <si>
    <t>CHEN, DAXIN, MD</t>
  </si>
  <si>
    <t>E0081693</t>
  </si>
  <si>
    <t>CHEN DAXIN MD</t>
  </si>
  <si>
    <t>(716) 632-1088</t>
  </si>
  <si>
    <t>DCHEN@KALEIDAHEALTH.ORG</t>
  </si>
  <si>
    <t>CHEN DAXIN DR.</t>
  </si>
  <si>
    <t>NISBET, PATRICIA, RNPMHNPB</t>
  </si>
  <si>
    <t>E0043760</t>
  </si>
  <si>
    <t>NISBET PATRICIA A</t>
  </si>
  <si>
    <t>NISBET, PATRICIA, NP</t>
  </si>
  <si>
    <t>(716) 626-9016</t>
  </si>
  <si>
    <t>NISBETP@SHSWNY.ORG</t>
  </si>
  <si>
    <t>NISBET PATRICIA</t>
  </si>
  <si>
    <t>NISBET PATRICIA ANN</t>
  </si>
  <si>
    <t>505 DELAWARE AVE RM 5</t>
  </si>
  <si>
    <t>ONEIL, MARY, MD</t>
  </si>
  <si>
    <t>E0111534</t>
  </si>
  <si>
    <t>O'NEIL MARY MARGARET MD</t>
  </si>
  <si>
    <t>O'NEIL, MARY, MD</t>
  </si>
  <si>
    <t>(716) 675-2500</t>
  </si>
  <si>
    <t>MO'NEIL@KALEIDAHEALTH.ORG</t>
  </si>
  <si>
    <t>ONEIL MARY</t>
  </si>
  <si>
    <t>O'NEIL MARY MARGARET</t>
  </si>
  <si>
    <t>3500 SHERIDAN DR</t>
  </si>
  <si>
    <t>AMHERST</t>
  </si>
  <si>
    <t>HAEFNER, JOANNE, NP</t>
  </si>
  <si>
    <t>E0065802</t>
  </si>
  <si>
    <t>HAEFNER JOANNE E</t>
  </si>
  <si>
    <t>HAEFNER, JOANNE, FNP</t>
  </si>
  <si>
    <t>(719) 875-2904</t>
  </si>
  <si>
    <t>J.HAEFNER@NWBCHCC.ORG</t>
  </si>
  <si>
    <t>HAEFNER JOANNE</t>
  </si>
  <si>
    <t>155 LAWN AVE</t>
  </si>
  <si>
    <t>KOSTELNY, NANCY, LMHC</t>
  </si>
  <si>
    <t>KOSTELNY,  NANCY , BUSINESS INTELLIGENCE ASSOCIATE</t>
  </si>
  <si>
    <t>(716) 604-5596</t>
  </si>
  <si>
    <t>KOSTELNY NANCY</t>
  </si>
  <si>
    <t>TLC HEALTH NETWORK</t>
  </si>
  <si>
    <t>E0023228</t>
  </si>
  <si>
    <t>TLC HEALTH NETWORK ACT RC</t>
  </si>
  <si>
    <t>(716) 951-7147</t>
  </si>
  <si>
    <t>All Other:: Clinic:: Hospital:: Mental Health:: Substance Abuse</t>
  </si>
  <si>
    <t>TLC HEALTH NETWORK PSYCH UNIT</t>
  </si>
  <si>
    <t>TLC TRI-COUNTY DIV</t>
  </si>
  <si>
    <t>IRVING</t>
  </si>
  <si>
    <t>HOSPITAL</t>
  </si>
  <si>
    <t>PUTNAM, THOMAS, MD</t>
  </si>
  <si>
    <t>E0161210</t>
  </si>
  <si>
    <t>PUTNAM THOMAS A MD</t>
  </si>
  <si>
    <t>(716) 661-1400</t>
  </si>
  <si>
    <t>PUTNAM THOMAS</t>
  </si>
  <si>
    <t>890 E 2ND ST</t>
  </si>
  <si>
    <t>JAMESTOWN</t>
  </si>
  <si>
    <t>MAKHIJA, JASBEER, MD</t>
  </si>
  <si>
    <t>E0225068</t>
  </si>
  <si>
    <t>MAKHIJA JASBEER S          MD</t>
  </si>
  <si>
    <t>JMAKHIJA@KALEIDAHEALTH.ORG</t>
  </si>
  <si>
    <t>MAKHIJA JASBEER</t>
  </si>
  <si>
    <t>LOCKPORT MEMORIAL HO</t>
  </si>
  <si>
    <t>KOLLI, JAYASELVI, MD</t>
  </si>
  <si>
    <t>E0112816</t>
  </si>
  <si>
    <t>KOLLI JAYASELVI MD</t>
  </si>
  <si>
    <t>KOLLI JAYASELVI DR.</t>
  </si>
  <si>
    <t>620 10TH ST</t>
  </si>
  <si>
    <t>CLOUD, SAMUEL, MD</t>
  </si>
  <si>
    <t>E0034511</t>
  </si>
  <si>
    <t>CLOUD SAMUEL DAVID DO</t>
  </si>
  <si>
    <t>CLOUD SAMUEL</t>
  </si>
  <si>
    <t>CLOUD SAMUEL DAVID</t>
  </si>
  <si>
    <t>BARTOLONE, CHRISTOPHER, MD</t>
  </si>
  <si>
    <t>E0134174</t>
  </si>
  <si>
    <t>BARTOLONE CHRISTOPHER J MD</t>
  </si>
  <si>
    <t>(716) 626-5250</t>
  </si>
  <si>
    <t>CBARTOLONE@KALEIDAHEALTH.ORG</t>
  </si>
  <si>
    <t>BARTOLONE CHRISTOPHER</t>
  </si>
  <si>
    <t>60 MAPLE RD</t>
  </si>
  <si>
    <t>KOZLOWSKI, LISA, MD</t>
  </si>
  <si>
    <t>E0149503</t>
  </si>
  <si>
    <t>KOZLOWSKI LISA C MD</t>
  </si>
  <si>
    <t>(716) 634-5100</t>
  </si>
  <si>
    <t>LKOZLOWSKI@KALEIDAHEALTH.ORG</t>
  </si>
  <si>
    <t>KOZLOWSKI LISA</t>
  </si>
  <si>
    <t>MED SVC GRP-MEDICINE</t>
  </si>
  <si>
    <t>MILLER, ROBIN, MD</t>
  </si>
  <si>
    <t>E0242651</t>
  </si>
  <si>
    <t>MILLER ROBIN BETH</t>
  </si>
  <si>
    <t>LAZAR-MILLER, ROBIN, MD</t>
  </si>
  <si>
    <t>(716) 883-1366</t>
  </si>
  <si>
    <t>RLAZARMILLER@KALEIDAHEALTH.ORG</t>
  </si>
  <si>
    <t>MILLER ROBIN DR.</t>
  </si>
  <si>
    <t>1275 DELAWARE AVE</t>
  </si>
  <si>
    <t>YOVIENE, JOEL, MD</t>
  </si>
  <si>
    <t>E0197276</t>
  </si>
  <si>
    <t>YOVIENE JOEL               MD</t>
  </si>
  <si>
    <t>YOVIENE JOEL DR.</t>
  </si>
  <si>
    <t>(716) 648-3949</t>
  </si>
  <si>
    <t>CUMMINGS, MICHAEL, MD</t>
  </si>
  <si>
    <t>E0026102</t>
  </si>
  <si>
    <t>CUMMINGS MICHAEL R MD</t>
  </si>
  <si>
    <t>Mental Health:: Practitioner - Non-Primary Care Provider (PCP)</t>
  </si>
  <si>
    <t>CUMMINGS MICHAEL</t>
  </si>
  <si>
    <t>ECMC 462 GRIDER ST</t>
  </si>
  <si>
    <t>DOUGLAS, WINSTON, MD</t>
  </si>
  <si>
    <t>E0119577</t>
  </si>
  <si>
    <t>DOUGLAS WINSTON GEORGE</t>
  </si>
  <si>
    <t>(716) 884-8033</t>
  </si>
  <si>
    <t>WDOUGLAS@KALEIDAHEALTH.ORG</t>
  </si>
  <si>
    <t>DOUGLAS WINSTON</t>
  </si>
  <si>
    <t>SHEEHAN MEMORIAL HOS</t>
  </si>
  <si>
    <t>DUBOVSKY, STEVEN, MD</t>
  </si>
  <si>
    <t>(716) 898-5940</t>
  </si>
  <si>
    <t>SDUBOVSKY@KALEIDAHEALTH.ORG</t>
  </si>
  <si>
    <t>DUBOVSKY STEVEN</t>
  </si>
  <si>
    <t>REICHERT, LISA, MD</t>
  </si>
  <si>
    <t>E0064021</t>
  </si>
  <si>
    <t>TOLLINI LISA ANN MD</t>
  </si>
  <si>
    <t>(716) 807-7337</t>
  </si>
  <si>
    <t>LREICHERT@KALEIDAHEALTH.ORG</t>
  </si>
  <si>
    <t>REICHERT LISA DR.</t>
  </si>
  <si>
    <t>REICHERT LISA ANN</t>
  </si>
  <si>
    <t>2890 NIAGARA FALLS BLVD</t>
  </si>
  <si>
    <t>MADHUSUDANAN, MOHAN, MD</t>
  </si>
  <si>
    <t>E0309441</t>
  </si>
  <si>
    <t>MADHUSUDANAN MOHAN</t>
  </si>
  <si>
    <t>MMADHUSUDANAN@KALEIDAHEALTH.ORG</t>
  </si>
  <si>
    <t>3091 WILLIAM ST</t>
  </si>
  <si>
    <t>BROWN, EDWARD, MD</t>
  </si>
  <si>
    <t>E0202982</t>
  </si>
  <si>
    <t>BROWN EDWARD IVAN          MD</t>
  </si>
  <si>
    <t>EDWARD BROWN</t>
  </si>
  <si>
    <t>(716) 986-9199</t>
  </si>
  <si>
    <t>BROWN EDWARD</t>
  </si>
  <si>
    <t>THCC HAEBERLE PLAZA</t>
  </si>
  <si>
    <t>JAIMES, CHRISTINE, LCSWR</t>
  </si>
  <si>
    <t>E0392738</t>
  </si>
  <si>
    <t>JAIMES CHRISTINE E</t>
  </si>
  <si>
    <t>JAIMES, CHRISTINE, LCSW-R</t>
  </si>
  <si>
    <t>(716) 835-4011</t>
  </si>
  <si>
    <t>JAIMESC@SHSWNY.ORG</t>
  </si>
  <si>
    <t>JAIMES CHRISTINE MRS.</t>
  </si>
  <si>
    <t>ROSWELL PARK CANCER INSTITUTE INC</t>
  </si>
  <si>
    <t>E0340958</t>
  </si>
  <si>
    <t>ROSWELL PARK CANCER INST</t>
  </si>
  <si>
    <t>ANNIE DECK-MILLER</t>
  </si>
  <si>
    <t>(716) 845-8593</t>
  </si>
  <si>
    <t>ANNIE.DECK-MILLER@ROSWELLPARK.ORG</t>
  </si>
  <si>
    <t>All Other:: Clinic:: Hospital:: Pharmacy</t>
  </si>
  <si>
    <t>NYSARC NIAGARA COUNTY CHAPTER</t>
  </si>
  <si>
    <t>E0082508</t>
  </si>
  <si>
    <t>NYSARC NIAGARA CO CHAPTER</t>
  </si>
  <si>
    <t>PETER DREW, COO</t>
  </si>
  <si>
    <t>(716) 297-6400</t>
  </si>
  <si>
    <t>PDREW@OPPORTUNITIESUNLIMITED.ORG</t>
  </si>
  <si>
    <t>115 MEAD ST</t>
  </si>
  <si>
    <t>TEJADA, JUDITH, MSCASAC</t>
  </si>
  <si>
    <t>TEJADA,  ALICIA, REVOLVING ADMIN ASSIST</t>
  </si>
  <si>
    <t>TEJADA JUDITH MS.</t>
  </si>
  <si>
    <t>699 HERTEL AVE</t>
  </si>
  <si>
    <t>BENZ, MICHAEL, MD</t>
  </si>
  <si>
    <t>E0369153</t>
  </si>
  <si>
    <t>BENZ MICHAEL</t>
  </si>
  <si>
    <t>(201) 222-1170</t>
  </si>
  <si>
    <t>MBENZ@KALEIDAHEALTH.ORG</t>
  </si>
  <si>
    <t>BENZ MICHAEL DR.</t>
  </si>
  <si>
    <t>515 MAIN ST</t>
  </si>
  <si>
    <t>SWENSON, KRISTA, MD</t>
  </si>
  <si>
    <t>E0383545</t>
  </si>
  <si>
    <t>SWENSON KRISTA MARIE</t>
  </si>
  <si>
    <t>(937) 208-2079</t>
  </si>
  <si>
    <t>KSWENSON@KALEIDAHEALTH.ORG</t>
  </si>
  <si>
    <t>SWENSON KRISTA</t>
  </si>
  <si>
    <t>PANZA, DANIELLE, PAC</t>
  </si>
  <si>
    <t>E0367534</t>
  </si>
  <si>
    <t>PANZA DANIELLE N</t>
  </si>
  <si>
    <t>PANZA, DANIELLE, PA</t>
  </si>
  <si>
    <t>(716) 690-2691</t>
  </si>
  <si>
    <t>DPANZA@KALEIDAHEALTH.ORG</t>
  </si>
  <si>
    <t>PANZA DANIELLE</t>
  </si>
  <si>
    <t>4927 MAIN ST STE 400</t>
  </si>
  <si>
    <t>BROOKS, CAITLIN, RPN</t>
  </si>
  <si>
    <t>BROOKS, CAITLIN, RN</t>
  </si>
  <si>
    <t>(716) 895-6700</t>
  </si>
  <si>
    <t>BROOKS CAITLIN</t>
  </si>
  <si>
    <t>1526 WALDEN AVE, SUITE 400</t>
  </si>
  <si>
    <t>MENZEL, JONATHAN,</t>
  </si>
  <si>
    <t>MENZEL , JONATHAN, LPN</t>
  </si>
  <si>
    <t>(716) 225-3187</t>
  </si>
  <si>
    <t>JMENZEL@CFSBNY.ORG</t>
  </si>
  <si>
    <t>MENZEL JONATHAN</t>
  </si>
  <si>
    <t>302 COLVIN AVE</t>
  </si>
  <si>
    <t>JANIK, KATIE,</t>
  </si>
  <si>
    <t>E0412238</t>
  </si>
  <si>
    <t>JANIK KATIE ANN</t>
  </si>
  <si>
    <t>JANIK,  KATIE, CLINICAL SUPERVISOR</t>
  </si>
  <si>
    <t>JANIK KATIE</t>
  </si>
  <si>
    <t>699 HERTEL AVE STE 350</t>
  </si>
  <si>
    <t>Health Home Partners of WNY, LLC</t>
  </si>
  <si>
    <t>E0335619</t>
  </si>
  <si>
    <t>HEALTH HOME PARTNERS OF WNY LLC</t>
  </si>
  <si>
    <t>Bruce C. Nisbet</t>
  </si>
  <si>
    <t>(716) 597-8336</t>
  </si>
  <si>
    <t>NisbetB@shswny.org</t>
  </si>
  <si>
    <t>HEALTH HOME PARTNERS OF WESTERN NEW YORK</t>
  </si>
  <si>
    <t>The Chautauqua Center</t>
  </si>
  <si>
    <t>E0366770</t>
  </si>
  <si>
    <t>THE CHAUTAUQUA CENTER INC</t>
  </si>
  <si>
    <t>Michael C. Pease</t>
  </si>
  <si>
    <t>(716) 363-6050</t>
  </si>
  <si>
    <t>mpease@thechautauquacenter.org</t>
  </si>
  <si>
    <t>All Other:: Clinic</t>
  </si>
  <si>
    <t>THE CHAUTAUQUA CENTER, INC</t>
  </si>
  <si>
    <t>319 CENTRAL AVE STE B</t>
  </si>
  <si>
    <t>DIAGNOSTIC AND TREATMENT CENTER</t>
  </si>
  <si>
    <t>O'BRIEN, BONNIE,</t>
  </si>
  <si>
    <t>O'BRIEN, BONNIE ELIZABETH, LMSW</t>
  </si>
  <si>
    <t>BOBRIEN@CATSWNY.ORG</t>
  </si>
  <si>
    <t>O'BRIEN BONNIE</t>
  </si>
  <si>
    <t>3901 GENESEE ST, SUITE 110</t>
  </si>
  <si>
    <t>HANSON, MICHAEL,</t>
  </si>
  <si>
    <t>HANSON, MICHAEL, MHC-P</t>
  </si>
  <si>
    <t>HANSONM@SHSWNY.ORG</t>
  </si>
  <si>
    <t>HANSON MICHAEL</t>
  </si>
  <si>
    <t>GILEWICZ, ANNE, CRNA</t>
  </si>
  <si>
    <t>(716) 886-0444</t>
  </si>
  <si>
    <t>AGILEWICZ@KALEIDAHEALTH.ORG</t>
  </si>
  <si>
    <t>GILEWICZ ANNE</t>
  </si>
  <si>
    <t>DEAN, STACY, NP</t>
  </si>
  <si>
    <t>E0065816</t>
  </si>
  <si>
    <t>DEAN STACY</t>
  </si>
  <si>
    <t>DEAN, STACY, ANP</t>
  </si>
  <si>
    <t>(585) 339-4793</t>
  </si>
  <si>
    <t>SDEAN2@KALEIDAHEALTH.ORG</t>
  </si>
  <si>
    <t>DEAN STACY ANN</t>
  </si>
  <si>
    <t>11580 WALDEN AVE</t>
  </si>
  <si>
    <t>ALDEN</t>
  </si>
  <si>
    <t>LEVINSKY, LEON, MBBS</t>
  </si>
  <si>
    <t>E0175138</t>
  </si>
  <si>
    <t>LEVINSKY LEON MD</t>
  </si>
  <si>
    <t>LEVINSKY, LEON, MD</t>
  </si>
  <si>
    <t>(716) 859-3392</t>
  </si>
  <si>
    <t>LLEVINSKY@KALEIDAHEALTH.ORG</t>
  </si>
  <si>
    <t>LEVINSKY LEON</t>
  </si>
  <si>
    <t>MILLARD FILLMORE GATES HOSP</t>
  </si>
  <si>
    <t>BILLITTIER, ANTHONY, MD</t>
  </si>
  <si>
    <t>E0141858</t>
  </si>
  <si>
    <t>BILLITTIER ANTHONY JOSEPH IV MD</t>
  </si>
  <si>
    <t>(716) 898-3525</t>
  </si>
  <si>
    <t>ABILLITTIER@KALEIDAHEALTH.ORG</t>
  </si>
  <si>
    <t>BILLITTIER ANTHONY</t>
  </si>
  <si>
    <t>SOBIE, STEPHEN, MD</t>
  </si>
  <si>
    <t>E0193297</t>
  </si>
  <si>
    <t>SOBIE STEPHEN R MD</t>
  </si>
  <si>
    <t>SSOBIE@KALEIDAHEALTH.ORG</t>
  </si>
  <si>
    <t>SOBIE STEPHEN DR.</t>
  </si>
  <si>
    <t>MCCARTHY, PHILIP, MD</t>
  </si>
  <si>
    <t>E0134563</t>
  </si>
  <si>
    <t>MCCARTHY PHILIP LOUIS JR MD</t>
  </si>
  <si>
    <t>PMCCARTHY@KALEIDAHEALTH.ORG</t>
  </si>
  <si>
    <t>MCCARTHY PHILIP</t>
  </si>
  <si>
    <t>BLOOMBERG, RICHARD, MD</t>
  </si>
  <si>
    <t>E0040970</t>
  </si>
  <si>
    <t>BLOOMBERG RICHARD D MD</t>
  </si>
  <si>
    <t>(716) 677-5500</t>
  </si>
  <si>
    <t>RBLOOMBERG@KALEIDAHEALTH.ORG</t>
  </si>
  <si>
    <t>BLOOMBERG RICHARD</t>
  </si>
  <si>
    <t>5 E 98TH ST FL 14</t>
  </si>
  <si>
    <t>ZORICH, DANIEL, MD</t>
  </si>
  <si>
    <t>E0085298</t>
  </si>
  <si>
    <t>ZORICH DANIEL WAYNE MD</t>
  </si>
  <si>
    <t>MADELINE DYSTER-CAMANN, PRACTICE MGR</t>
  </si>
  <si>
    <t>(716) 298-5862</t>
  </si>
  <si>
    <t>MCAMANN@NIAGARAFAMILYMEDICINE.COM</t>
  </si>
  <si>
    <t>ZORICH DANIEL DR.</t>
  </si>
  <si>
    <t>7300 PORTER RD</t>
  </si>
  <si>
    <t>GUGINO, LAWRENCE, MD</t>
  </si>
  <si>
    <t>E0181647</t>
  </si>
  <si>
    <t>GUGINO LAWRENCE J  MD</t>
  </si>
  <si>
    <t>(716) 649-6500</t>
  </si>
  <si>
    <t>GUGINO LAWRENCE DR.</t>
  </si>
  <si>
    <t>LESSER, CHRISTIE, LCSWR</t>
  </si>
  <si>
    <t>E0394674</t>
  </si>
  <si>
    <t>LESSER CHRISTIE LYNN</t>
  </si>
  <si>
    <t>LESSER, CHRISTIE L., LCSWR</t>
  </si>
  <si>
    <t>LESSER CHRISTIE MRS.</t>
  </si>
  <si>
    <t>1526 WALDEN AVE STE 400</t>
  </si>
  <si>
    <t>SMITH, KEVIN, LCSWR</t>
  </si>
  <si>
    <t>SMITH, KEVIN, CASAC</t>
  </si>
  <si>
    <t>SMITHK@SHSWNY.ORG</t>
  </si>
  <si>
    <t>SMITH KEVIN</t>
  </si>
  <si>
    <t>1280 MAIN ST, SPECTRUM HUMAN SERVICES</t>
  </si>
  <si>
    <t>HOLMLUND, TOMAS, MD</t>
  </si>
  <si>
    <t>E0175610</t>
  </si>
  <si>
    <t>HOLMLUND TOMAS HENRY  MD</t>
  </si>
  <si>
    <t>(716) 250-2000</t>
  </si>
  <si>
    <t>THOLMLUND2@KALEIDAHEALTH.ORG</t>
  </si>
  <si>
    <t>HOLMLUND TOMAS</t>
  </si>
  <si>
    <t>KHALIL-IBRAHIM, MOFID, MD</t>
  </si>
  <si>
    <t>E0102867</t>
  </si>
  <si>
    <t>KHALIL-IBRAHIM MOFID MD</t>
  </si>
  <si>
    <t>(716) 887-4600</t>
  </si>
  <si>
    <t>MKHALIL@KALEIDAHEALTH.ORG</t>
  </si>
  <si>
    <t>KHALIL-IBRAHIM MOFID</t>
  </si>
  <si>
    <t>MORTON, SCOTT, LCSW</t>
  </si>
  <si>
    <t>E0394604</t>
  </si>
  <si>
    <t>MORTON SCOTT M</t>
  </si>
  <si>
    <t>MORTON, SCOTT M., CASACT</t>
  </si>
  <si>
    <t>MORTON SCOTT MR.</t>
  </si>
  <si>
    <t>PATHWAYS, INC.</t>
  </si>
  <si>
    <t>E0198187</t>
  </si>
  <si>
    <t>PATHWAYS FOREST DRIVE ICF</t>
  </si>
  <si>
    <t>ED LUKOMSKI</t>
  </si>
  <si>
    <t>(607) 937-3200</t>
  </si>
  <si>
    <t>ELUKOMSKI@PATHWAYSFORYOU.ORG</t>
  </si>
  <si>
    <t>129 FOREST DR</t>
  </si>
  <si>
    <t>PAINTED POST</t>
  </si>
  <si>
    <t>Ken Osborn PA</t>
  </si>
  <si>
    <t>E0172478</t>
  </si>
  <si>
    <t>OSBORN KENNETH MARK</t>
  </si>
  <si>
    <t>Samantha J. Sessamen, M.S.</t>
  </si>
  <si>
    <t>(716) 698-3469</t>
  </si>
  <si>
    <t>ssessamen@gppconline.com</t>
  </si>
  <si>
    <t>OSBORN KENNETH MR.</t>
  </si>
  <si>
    <t>224 E MAIN ST</t>
  </si>
  <si>
    <t>SPRINGVILLE</t>
  </si>
  <si>
    <t>LOCKPORT PHARMACY INC</t>
  </si>
  <si>
    <t>E0161619</t>
  </si>
  <si>
    <t>LOCKPORT HOME MEDICAL</t>
  </si>
  <si>
    <t>(716) 433-8735</t>
  </si>
  <si>
    <t>21 MAIN ST</t>
  </si>
  <si>
    <t>MEDICAL APPLIANCE DEALER</t>
  </si>
  <si>
    <t>THE GERRY HOMES</t>
  </si>
  <si>
    <t>THE GERRY HOMES DBA ORCHARD GROVE RESIDENCES</t>
  </si>
  <si>
    <t>DSMELTZER@HERITAGE1886.ORG</t>
  </si>
  <si>
    <t>2000 SOUTHWESTERN DR # WE</t>
  </si>
  <si>
    <t>TRILLIZIO, JENNIFER, PAC</t>
  </si>
  <si>
    <t>E0346482</t>
  </si>
  <si>
    <t>TRILLIZIO JENNIFER P</t>
  </si>
  <si>
    <t>TRILLIZIO, JENNIFER, PA-C</t>
  </si>
  <si>
    <t>(716) 204-3200</t>
  </si>
  <si>
    <t>JTRILLIZIO@KALEIDAHEALTH.ORG</t>
  </si>
  <si>
    <t>TRILLIZIO JENNIFER</t>
  </si>
  <si>
    <t>160 FARBER HALL</t>
  </si>
  <si>
    <t>KRZYSTEK, MARC, RPACMS</t>
  </si>
  <si>
    <t>E0350961</t>
  </si>
  <si>
    <t>KRZYSTEK MARC A</t>
  </si>
  <si>
    <t>KRZYSTEK, MARC, PA</t>
  </si>
  <si>
    <t>MKRZYSTEK@KALEIDAHEALTH.ORG</t>
  </si>
  <si>
    <t>KRZYSTEK MARC</t>
  </si>
  <si>
    <t>9 LIMESTONE DR</t>
  </si>
  <si>
    <t>WHITE, ANN,</t>
  </si>
  <si>
    <t>WHITE, ANN, DIR OF OPERATIONS</t>
  </si>
  <si>
    <t>WHITE ANN</t>
  </si>
  <si>
    <t>ERIE COUNTY DEPARTMENT OF SENIOR SERVICES</t>
  </si>
  <si>
    <t>RANDALL A. HOAK</t>
  </si>
  <si>
    <t>(716) 858-6046</t>
  </si>
  <si>
    <t>RANDALL.HOAK@ERIE.GOV</t>
  </si>
  <si>
    <t>95 FRANKLIN ST RM 1329</t>
  </si>
  <si>
    <t>PHICHITH, CATERINA, RPA</t>
  </si>
  <si>
    <t>E0354586</t>
  </si>
  <si>
    <t>PHICHITH CATERINA MIMI</t>
  </si>
  <si>
    <t>PHICHITH, CATERINA, PA</t>
  </si>
  <si>
    <t>CPHICHITH@KALEIDAHEALTH.ORG</t>
  </si>
  <si>
    <t>PHICHITH CATERINA</t>
  </si>
  <si>
    <t>60 MAPLE RD STE 1</t>
  </si>
  <si>
    <t>ECKHERT, KENNETH, MD</t>
  </si>
  <si>
    <t>E0031586</t>
  </si>
  <si>
    <t>ECKHERT KENNETH HARRY III MD</t>
  </si>
  <si>
    <t>(716) 675-7730</t>
  </si>
  <si>
    <t>KECKHERT@KALEIDAHEALTH.ORG</t>
  </si>
  <si>
    <t>ECKHERT KENNETH DR.</t>
  </si>
  <si>
    <t>565 ABBOTT RD</t>
  </si>
  <si>
    <t>LUZI, FRANK, MD</t>
  </si>
  <si>
    <t>E0151183</t>
  </si>
  <si>
    <t>LUZI FRANK A JR MD</t>
  </si>
  <si>
    <t>(716) 636-1470</t>
  </si>
  <si>
    <t>FLUZI@KALEIDAHEALTH.ORG</t>
  </si>
  <si>
    <t>LUZI FRANK</t>
  </si>
  <si>
    <t>4575 MAIN ST</t>
  </si>
  <si>
    <t>SNYDER</t>
  </si>
  <si>
    <t>KHAN, TOSEEF, MD</t>
  </si>
  <si>
    <t>E0033426</t>
  </si>
  <si>
    <t>KHAN TOSEEF MUZAFFUR</t>
  </si>
  <si>
    <t>TKHAN@KALEIDAHEALTH.ORG</t>
  </si>
  <si>
    <t>KHAN TOSEEF DR.</t>
  </si>
  <si>
    <t>7901 BROADWAY</t>
  </si>
  <si>
    <t>ELMHURST</t>
  </si>
  <si>
    <t>ANTHONE, KENNETH, MDFA</t>
  </si>
  <si>
    <t>E0232341</t>
  </si>
  <si>
    <t>ANTHONE KENNETH D          MD</t>
  </si>
  <si>
    <t>ANTHONE, KENNETH, MD</t>
  </si>
  <si>
    <t>(716) 634-6100</t>
  </si>
  <si>
    <t>KANTHONE@KALEIDAHEALTH.ORG</t>
  </si>
  <si>
    <t>ANTHONE KENNETH DR.</t>
  </si>
  <si>
    <t>2211 SHERIDAN DR</t>
  </si>
  <si>
    <t>GILL, LIVELEEN, MD</t>
  </si>
  <si>
    <t>E0215175</t>
  </si>
  <si>
    <t>GILL LIVELEEN MARCO MD</t>
  </si>
  <si>
    <t>(716) 674-4006</t>
  </si>
  <si>
    <t>LGILL@KALEIDAHEALTH.ORG</t>
  </si>
  <si>
    <t>GILL LIVELEEN DR.</t>
  </si>
  <si>
    <t>14 CENTER RD</t>
  </si>
  <si>
    <t>W SENECA</t>
  </si>
  <si>
    <t>MILLS, WILLIAM, MD</t>
  </si>
  <si>
    <t>E0003480</t>
  </si>
  <si>
    <t>MILLS WILLIAM FOWLER</t>
  </si>
  <si>
    <t>MILLS WILLIAM</t>
  </si>
  <si>
    <t>MILLS WILLIAM FOWLER MD</t>
  </si>
  <si>
    <t>NAGY, MARK, MD</t>
  </si>
  <si>
    <t>E0128086</t>
  </si>
  <si>
    <t>NAGY MARK LEOPOLD MD</t>
  </si>
  <si>
    <t>(716) 632-2000</t>
  </si>
  <si>
    <t>MNAGY@KALEIDAHEALTH.ORG</t>
  </si>
  <si>
    <t>NAGY MARK DR.</t>
  </si>
  <si>
    <t>PEASE, CHRISTOPHER, PA</t>
  </si>
  <si>
    <t>E0037547</t>
  </si>
  <si>
    <t>PEASE CHRISTOPHER M RPA</t>
  </si>
  <si>
    <t>(904) 482-1070</t>
  </si>
  <si>
    <t>PEASE CHRISTOPHER</t>
  </si>
  <si>
    <t>PEASE CHRISTOPHER M</t>
  </si>
  <si>
    <t>521 EAST AVE</t>
  </si>
  <si>
    <t>SCHOENE, KAREN, MD</t>
  </si>
  <si>
    <t>E0233774</t>
  </si>
  <si>
    <t>SCHOENE KAREN RUTH         MD</t>
  </si>
  <si>
    <t>(716) 634-3901</t>
  </si>
  <si>
    <t>KSCHOENE@KALEIDAHEALTH.ORG</t>
  </si>
  <si>
    <t>SCHOENE KAREN DR.</t>
  </si>
  <si>
    <t>SCHOENE KAREN R</t>
  </si>
  <si>
    <t>3095 HARLEM RD</t>
  </si>
  <si>
    <t>LINK, ROBERT, RPAC</t>
  </si>
  <si>
    <t>E0086594</t>
  </si>
  <si>
    <t>LINK ROBERT ERIC RPA</t>
  </si>
  <si>
    <t>LINK ROBERT</t>
  </si>
  <si>
    <t>(716) 363-7689</t>
  </si>
  <si>
    <t>LINK ROBERT ERIC</t>
  </si>
  <si>
    <t>OLEAN MEDICAL GRP</t>
  </si>
  <si>
    <t>NOLAN, JAMES, MD</t>
  </si>
  <si>
    <t>E0115792</t>
  </si>
  <si>
    <t>NOLAN JAMES</t>
  </si>
  <si>
    <t>(716) 898-4814</t>
  </si>
  <si>
    <t>JNOLAN@KALEIDAHEALTH.ORG</t>
  </si>
  <si>
    <t>NOLAN JAMES P</t>
  </si>
  <si>
    <t>COSICO, FELIXBERTO, MD</t>
  </si>
  <si>
    <t>E0062541</t>
  </si>
  <si>
    <t>COSICO FELIXBERTO ISON</t>
  </si>
  <si>
    <t>COSICO FELIXBERTO DR.</t>
  </si>
  <si>
    <t>(716) 672-6673</t>
  </si>
  <si>
    <t>50 BRIGHAM RD</t>
  </si>
  <si>
    <t>FREDONIA</t>
  </si>
  <si>
    <t>CARL, GARY, MD</t>
  </si>
  <si>
    <t>E0012310</t>
  </si>
  <si>
    <t>CARL GARY HUDSON MD</t>
  </si>
  <si>
    <t>CARL, GARY,</t>
  </si>
  <si>
    <t>(336) 623-9711</t>
  </si>
  <si>
    <t>SMANIRATH@UAHS.ORG</t>
  </si>
  <si>
    <t>CARL GARY</t>
  </si>
  <si>
    <t>2666 W STATE ST</t>
  </si>
  <si>
    <t>BARCOMB, ALAN, MD</t>
  </si>
  <si>
    <t>E0136154</t>
  </si>
  <si>
    <t>BARCOMB ALAN JAMES MD</t>
  </si>
  <si>
    <t>LINDA FRANKE, PRACTICE FACILITATOR</t>
  </si>
  <si>
    <t>(585) 948-8077</t>
  </si>
  <si>
    <t>FRANKELQMC@GMAIL.COM</t>
  </si>
  <si>
    <t>BARCOMB ALAN DR.</t>
  </si>
  <si>
    <t>41 MAIN ST</t>
  </si>
  <si>
    <t>OAKFIELD</t>
  </si>
  <si>
    <t>DELONG, SUSAN, NP</t>
  </si>
  <si>
    <t>E0057203</t>
  </si>
  <si>
    <t>DELONG SUSAN A</t>
  </si>
  <si>
    <t>DELONG, SUSAN, FNP</t>
  </si>
  <si>
    <t>SDELONG@KALEIDAHEALTH.ORG</t>
  </si>
  <si>
    <t>DELONG SUSAN</t>
  </si>
  <si>
    <t>STE 715</t>
  </si>
  <si>
    <t>PESONO, SHARON, FNP</t>
  </si>
  <si>
    <t>E0112219</t>
  </si>
  <si>
    <t>PESONO SHARON LYNN</t>
  </si>
  <si>
    <t>SPESONO@KALEIDAHEALTH.ORG</t>
  </si>
  <si>
    <t>PESONO SHARON</t>
  </si>
  <si>
    <t>MFG SUB NH</t>
  </si>
  <si>
    <t>CREIGHTON, PAUL, DDS</t>
  </si>
  <si>
    <t>E0199881</t>
  </si>
  <si>
    <t>CREIGHTON PAUL R          DDS</t>
  </si>
  <si>
    <t>(716) 861-3502</t>
  </si>
  <si>
    <t>PCREIGHTON@KALEIDAHEALTH.ORG</t>
  </si>
  <si>
    <t>CREIGHTON PAUL</t>
  </si>
  <si>
    <t>MICCIARIELLO, CHRISTINE, PHYSICIAN</t>
  </si>
  <si>
    <t>E0078382</t>
  </si>
  <si>
    <t>MICCIARELLO CHRISTINE M RPAC</t>
  </si>
  <si>
    <t>MICCIARIELLO, CHRISTINE, PA</t>
  </si>
  <si>
    <t>CMICCIARIELLO@KALEIDAHEALTH.ORG</t>
  </si>
  <si>
    <t>MICCIARIELLO CHRISTINE MS.</t>
  </si>
  <si>
    <t>AHMED, QADEER,</t>
  </si>
  <si>
    <t>E0309341</t>
  </si>
  <si>
    <t>AHMED QADEER</t>
  </si>
  <si>
    <t>AHMED, QADEER, MBBS</t>
  </si>
  <si>
    <t>QAHMED@KALEIDAHEALTH.ORG</t>
  </si>
  <si>
    <t>SKOLIKAS, MARTHA,</t>
  </si>
  <si>
    <t>SKOLIKAS, MARTHA, CTRS</t>
  </si>
  <si>
    <t>SKOLIKASM@SHSWNY.ORG</t>
  </si>
  <si>
    <t>SKOLIKAS MARTHA</t>
  </si>
  <si>
    <t>326 ORCHARD PARK RD</t>
  </si>
  <si>
    <t>FALVO, MARK, MD</t>
  </si>
  <si>
    <t>E0009619</t>
  </si>
  <si>
    <t>FALVO MARK ANTHONY  MD</t>
  </si>
  <si>
    <t>MFALVO@KALEIDAHEALTH.ORG</t>
  </si>
  <si>
    <t>FALVO MARK</t>
  </si>
  <si>
    <t>CRESS, MARSHALL, MD</t>
  </si>
  <si>
    <t>(972) 639-6150</t>
  </si>
  <si>
    <t>MCRESS@KALEIDAHEALTH.ORG</t>
  </si>
  <si>
    <t>CRESS MARSHALL DR.</t>
  </si>
  <si>
    <t>89 W COPELAND DR</t>
  </si>
  <si>
    <t>ORLANDO</t>
  </si>
  <si>
    <t>FL</t>
  </si>
  <si>
    <t>NAGAI, AMY, DDS</t>
  </si>
  <si>
    <t>E0322898</t>
  </si>
  <si>
    <t>NAGAI AMY</t>
  </si>
  <si>
    <t>(716) 861-1610</t>
  </si>
  <si>
    <t>ANAGAI@KALEIDAHEALTH.ORG</t>
  </si>
  <si>
    <t>NAGAI AMY DR.</t>
  </si>
  <si>
    <t>NAGAI AMY STONE</t>
  </si>
  <si>
    <t>BAKER HALL</t>
  </si>
  <si>
    <t>E0318460</t>
  </si>
  <si>
    <t>BAKER HALL INC DBA BAKER VICTORY SE</t>
  </si>
  <si>
    <t>(716) 828-9751</t>
  </si>
  <si>
    <t>JBELL@OLV-BVS.ORG</t>
  </si>
  <si>
    <t>All Other:: Case Management / Health Home:: Clinic</t>
  </si>
  <si>
    <t>1 LEO MOSS DR STE 4010</t>
  </si>
  <si>
    <t>MULTI-TYPE</t>
  </si>
  <si>
    <t>PHILLIPS, MICHAEL, DDS</t>
  </si>
  <si>
    <t>E0104707</t>
  </si>
  <si>
    <t>PHILLIPS MICHAEL LEONARD DDS</t>
  </si>
  <si>
    <t>(716) 627-4366</t>
  </si>
  <si>
    <t>MPHILLIPS2@KALEIDAHEALTH.ORG</t>
  </si>
  <si>
    <t>PHILLIPS MICHAEL DR.</t>
  </si>
  <si>
    <t>ABSOLUT CENTER FOR NURSING AND REHABILITATION AT THREE RIVERS, LLC</t>
  </si>
  <si>
    <t>E0229168</t>
  </si>
  <si>
    <t>ABSOLUT CT NR &amp; REH AT THREE RIVERS</t>
  </si>
  <si>
    <t>HARLIE D. CLARK, LNHA</t>
  </si>
  <si>
    <t>(716) 652-2820</t>
  </si>
  <si>
    <t>HCLARK@ABSOLUTCARE.COM</t>
  </si>
  <si>
    <t>101 CREEKSIDE DR</t>
  </si>
  <si>
    <t>LENZ, REBECCA, PAC</t>
  </si>
  <si>
    <t>E0049680</t>
  </si>
  <si>
    <t>LENZ REBECCA A RPA</t>
  </si>
  <si>
    <t>LENZ, REBECCA, PA</t>
  </si>
  <si>
    <t>(716) 691-8838</t>
  </si>
  <si>
    <t>RLENZ2@KALEIDAHEALTH.ORG</t>
  </si>
  <si>
    <t>LENZ REBECCA</t>
  </si>
  <si>
    <t>JONES, DONNA, PNP</t>
  </si>
  <si>
    <t>E0041956</t>
  </si>
  <si>
    <t>JONES DONNA</t>
  </si>
  <si>
    <t>DJONES@KALEIDAHEALTH.ORG</t>
  </si>
  <si>
    <t>TEMPFER, TAMARA, PNP</t>
  </si>
  <si>
    <t>E0103103</t>
  </si>
  <si>
    <t>TEMPFER TAMARA</t>
  </si>
  <si>
    <t>TEMPFER , TAMARA   , NP</t>
  </si>
  <si>
    <t>TTEMPFER@UPA.CHOB.EDU</t>
  </si>
  <si>
    <t>STACHIW, NATALKA, MD</t>
  </si>
  <si>
    <t>E0322891</t>
  </si>
  <si>
    <t>STACHIW NATALKA</t>
  </si>
  <si>
    <t>(716) 675-5711</t>
  </si>
  <si>
    <t>NSTACHIW@KALEIDAHEALTH.ORG</t>
  </si>
  <si>
    <t>STACHIW NATALKA DR.</t>
  </si>
  <si>
    <t>STACHIW NATALKA D MD</t>
  </si>
  <si>
    <t>3626 SENECA ST</t>
  </si>
  <si>
    <t>RUMMELL, JOAN, LMSW</t>
  </si>
  <si>
    <t>RUMMELLJ@SHSWNY.ORG</t>
  </si>
  <si>
    <t>RUMMELL JOAN</t>
  </si>
  <si>
    <t>CROOKS, RACHEL,</t>
  </si>
  <si>
    <t>CROOKS,  RACHEL, COUNSELOR III</t>
  </si>
  <si>
    <t>CROOKS RACHEL</t>
  </si>
  <si>
    <t>BELL, JUDITH, ANP</t>
  </si>
  <si>
    <t>E0363193</t>
  </si>
  <si>
    <t>BELL JUDITH A</t>
  </si>
  <si>
    <t>(716) 849-8750</t>
  </si>
  <si>
    <t>BELL JUDITH</t>
  </si>
  <si>
    <t>822 CEDAR AVE</t>
  </si>
  <si>
    <t>KNIGHT, TIMOTHY, PA</t>
  </si>
  <si>
    <t>E0065961</t>
  </si>
  <si>
    <t>KNIGHT TIMOTHY C</t>
  </si>
  <si>
    <t>(716) 668-4906</t>
  </si>
  <si>
    <t>TKNIGHT@KALEIDAHEALTH.ORG</t>
  </si>
  <si>
    <t>KNIGHT TIMOTHY</t>
  </si>
  <si>
    <t>OLEAN GENERAL HOSPITAL</t>
  </si>
  <si>
    <t>E0263717</t>
  </si>
  <si>
    <t>OLEAN GENERAL HOSP MAIN</t>
  </si>
  <si>
    <t>(716) 375-6104</t>
  </si>
  <si>
    <t>All Other:: Clinic:: Hospital:: Mental Health:: Pharmacy</t>
  </si>
  <si>
    <t>515 MAIN ST FL 2</t>
  </si>
  <si>
    <t>ORTMAN-NABI, JUDITH, MD</t>
  </si>
  <si>
    <t>E0147873</t>
  </si>
  <si>
    <t>ORTMAN-NABI JUDITH A MD</t>
  </si>
  <si>
    <t>(716) 634-9303</t>
  </si>
  <si>
    <t>JORTMAN-NABI@KALEIDAHEALTH.ORG</t>
  </si>
  <si>
    <t>ORTMAN-NABI JUDITH DR.</t>
  </si>
  <si>
    <t>SISTERS HOSP</t>
  </si>
  <si>
    <t>LAWLER, BARBARA,</t>
  </si>
  <si>
    <t>LAWLER, BARBARA, CRNA</t>
  </si>
  <si>
    <t>BLAWLER@KALEIDAHEALTH.ORG</t>
  </si>
  <si>
    <t>LAWLER BARBARA</t>
  </si>
  <si>
    <t>1001 E 2ND ST</t>
  </si>
  <si>
    <t>COUDERSPORT</t>
  </si>
  <si>
    <t>PA</t>
  </si>
  <si>
    <t>WIDEMAN, VICKY,</t>
  </si>
  <si>
    <t>WIDEMAN, VICKY, CLINICAL SUPERVISOR - HV</t>
  </si>
  <si>
    <t>(716) 833-3622</t>
  </si>
  <si>
    <t>WIDEMAN VICKY</t>
  </si>
  <si>
    <t>OMRDD/BAKER VICTORY SERVICES</t>
  </si>
  <si>
    <t>E0409468</t>
  </si>
  <si>
    <t>BAKER VICTORY SERVICES</t>
  </si>
  <si>
    <t>(518) 402-4333</t>
  </si>
  <si>
    <t>780 RIDGE RD</t>
  </si>
  <si>
    <t>LACKAWANNA</t>
  </si>
  <si>
    <t>OMRDD/CANTALICIAN CENTER</t>
  </si>
  <si>
    <t>E0100426</t>
  </si>
  <si>
    <t>CANTALICIAN CENTER</t>
  </si>
  <si>
    <t>2049 GEORGE URBAN BLVD</t>
  </si>
  <si>
    <t>Chautauqua County Office for Aging</t>
  </si>
  <si>
    <t>E0100345</t>
  </si>
  <si>
    <t>OMRDD/CHAUTAUQUA OFFICE/AGING</t>
  </si>
  <si>
    <t>Dr. Mary Ann Spanos</t>
  </si>
  <si>
    <t>(716) 753-4471</t>
  </si>
  <si>
    <t>spanosm@co.chautauqua.ny.us</t>
  </si>
  <si>
    <t>BASIC</t>
  </si>
  <si>
    <t>MAYVILLE</t>
  </si>
  <si>
    <t>OMRDD/CLADDAGH COMMISSION</t>
  </si>
  <si>
    <t>E0100339</t>
  </si>
  <si>
    <t>CLADDAGH COMMISSION</t>
  </si>
  <si>
    <t>7030 ERIE RD</t>
  </si>
  <si>
    <t>DERBY</t>
  </si>
  <si>
    <t>OMRDD/ERIE CO ARC/HERITAGE CT</t>
  </si>
  <si>
    <t>E0100198</t>
  </si>
  <si>
    <t>ERIE CO ARC/HERITAGE CTR</t>
  </si>
  <si>
    <t>2643 MAIN ST</t>
  </si>
  <si>
    <t>NYS ARC INC CATTARAUG HCBS 8</t>
  </si>
  <si>
    <t>E0100031</t>
  </si>
  <si>
    <t>1439 BUFFALO ST # FFY2265</t>
  </si>
  <si>
    <t>OMRDD/NATIVE AMERICAN COMM SV</t>
  </si>
  <si>
    <t>E0099780</t>
  </si>
  <si>
    <t>OMRDD/NIAGARA COUNTY ARC</t>
  </si>
  <si>
    <t>E0099750</t>
  </si>
  <si>
    <t>NIAGARA COUNTY ARC</t>
  </si>
  <si>
    <t>2393 NIAGARA FALLS BLVD</t>
  </si>
  <si>
    <t>OMRDD/PEOPLE INC</t>
  </si>
  <si>
    <t>E0099601</t>
  </si>
  <si>
    <t>PEOPLE INC</t>
  </si>
  <si>
    <t>1219 NORTH FOREST ROAD</t>
  </si>
  <si>
    <t>OMRDD/RIVERSHORE INC</t>
  </si>
  <si>
    <t>E0099547</t>
  </si>
  <si>
    <t>161146128OMRDD/RIVERSHORE INC</t>
  </si>
  <si>
    <t>RIVERSHORE INC</t>
  </si>
  <si>
    <t>1219 N FOREST RD</t>
  </si>
  <si>
    <t>OMRDD/UCP OF NIAGARA COUNTY</t>
  </si>
  <si>
    <t>E0099526</t>
  </si>
  <si>
    <t>UCP OF NIAGARA COUNTY</t>
  </si>
  <si>
    <t>9812 LOCKPORT RD</t>
  </si>
  <si>
    <t>OMRDD/ASPIRE OF WNY</t>
  </si>
  <si>
    <t>E0099506</t>
  </si>
  <si>
    <t>ASPIRE OF WESTERN NEW YORK INC</t>
  </si>
  <si>
    <t>2356 N FOREST RD</t>
  </si>
  <si>
    <t>GETZVILLE</t>
  </si>
  <si>
    <t>ERIE CO ARC/HERITAGE CT HCBS6</t>
  </si>
  <si>
    <t>E0098865</t>
  </si>
  <si>
    <t>(716) 856-4202</t>
  </si>
  <si>
    <t>101 OAK ST # VVD1479</t>
  </si>
  <si>
    <t>PEOPLE SRVICE TO THE HCBS5</t>
  </si>
  <si>
    <t>E0098862</t>
  </si>
  <si>
    <t>(716) 634-8132</t>
  </si>
  <si>
    <t>1219 N FOREST RD # VVA1441</t>
  </si>
  <si>
    <t>NIAGARA COUNTY ARC HCBS 4</t>
  </si>
  <si>
    <t>E0094516</t>
  </si>
  <si>
    <t>VVD1460</t>
  </si>
  <si>
    <t>SUBURBAN ADULT SER HCBS3</t>
  </si>
  <si>
    <t>E0093289</t>
  </si>
  <si>
    <t>(716) 805-1555</t>
  </si>
  <si>
    <t>VVB1598</t>
  </si>
  <si>
    <t>SARDINIA</t>
  </si>
  <si>
    <t>PEOPLE SVC TO THE DD HCBS6</t>
  </si>
  <si>
    <t>E0091235</t>
  </si>
  <si>
    <t>1219 N FOREST RD # VVB1575</t>
  </si>
  <si>
    <t>ASPIRE OF WNY SMP</t>
  </si>
  <si>
    <t>E0083237</t>
  </si>
  <si>
    <t>(716) 505-5560</t>
  </si>
  <si>
    <t>REGION OUTSIDE NYC</t>
  </si>
  <si>
    <t>HERITAGE CENTERS -SUPPORT SMP</t>
  </si>
  <si>
    <t>E0083124</t>
  </si>
  <si>
    <t>HERITAGE CENTERS - SUPPORT SMP</t>
  </si>
  <si>
    <t>101 OAK ST</t>
  </si>
  <si>
    <t>SUBURBAN ADULT SVCS INC SMP</t>
  </si>
  <si>
    <t>E0083122</t>
  </si>
  <si>
    <t>REGION-OUTSIDE NYC</t>
  </si>
  <si>
    <t>NIAGARA COUNTY ARC SMP</t>
  </si>
  <si>
    <t>E0083071</t>
  </si>
  <si>
    <t>ORLEANS CT CHAPTER NYSARC SMP</t>
  </si>
  <si>
    <t>E0083023</t>
  </si>
  <si>
    <t>ALBION</t>
  </si>
  <si>
    <t>GUIDOT, CHARLES, MD</t>
  </si>
  <si>
    <t>E0053966</t>
  </si>
  <si>
    <t>GUIDOT CHARLES A MD</t>
  </si>
  <si>
    <t>(989) 839-1644</t>
  </si>
  <si>
    <t>CGUIDOT@KALEIDAHEALTH.ORG</t>
  </si>
  <si>
    <t>GUIDOT CHARLES</t>
  </si>
  <si>
    <t>GERBERS, SUSAN, NP</t>
  </si>
  <si>
    <t>E0049564</t>
  </si>
  <si>
    <t>GERBERS SUSAN M</t>
  </si>
  <si>
    <t>GERBERS, SUSAN, WNP</t>
  </si>
  <si>
    <t>(716) 649-2881</t>
  </si>
  <si>
    <t>SGERBERS@KALEIDAHEALTH.ORG</t>
  </si>
  <si>
    <t>GERBERS SUSAN MS.</t>
  </si>
  <si>
    <t>FERGUSON, RICHARD, MD</t>
  </si>
  <si>
    <t>E0142440</t>
  </si>
  <si>
    <t>FERGUSON RICHARD EAMON MD</t>
  </si>
  <si>
    <t>(716) 655-5454</t>
  </si>
  <si>
    <t>RFERGUSON@KALEIDAHEALTH.ORG</t>
  </si>
  <si>
    <t>FERGUSON RICHARD DR.</t>
  </si>
  <si>
    <t>2157 MAIN ST</t>
  </si>
  <si>
    <t>STEGEMANN, PHILIP, MD</t>
  </si>
  <si>
    <t>E0191917</t>
  </si>
  <si>
    <t>STEGEMANN PHILIP MARTIN MD</t>
  </si>
  <si>
    <t>PSTEGEMANN@KALEIDAHEALTH.ORG</t>
  </si>
  <si>
    <t>STEGEMANN PHILIP</t>
  </si>
  <si>
    <t>ERIE CT MED CTR</t>
  </si>
  <si>
    <t>LANDIS, ANDREW, MD</t>
  </si>
  <si>
    <t>E0158587</t>
  </si>
  <si>
    <t>LANDIS ANDREW J MD</t>
  </si>
  <si>
    <t>LANDIS, ANDREW,</t>
  </si>
  <si>
    <t>(716) 679-2233</t>
  </si>
  <si>
    <t>KAREND@MEDICORASSOCIATES.COM</t>
  </si>
  <si>
    <t>LANDIS ANDREW</t>
  </si>
  <si>
    <t>LANDIS ANDREW JAMES</t>
  </si>
  <si>
    <t>12 CENTER ST STE 1</t>
  </si>
  <si>
    <t>LUISI, ANDREW, MD</t>
  </si>
  <si>
    <t>E0038194</t>
  </si>
  <si>
    <t>LUISI ANDREW MD</t>
  </si>
  <si>
    <t>ALUISI@KALEIDAHEALTH.ORG</t>
  </si>
  <si>
    <t>LUISI ANDREW</t>
  </si>
  <si>
    <t>HAQ, SYED, MD</t>
  </si>
  <si>
    <t>E0239031</t>
  </si>
  <si>
    <t>HAQ SYED EAJAZ UL MD PC</t>
  </si>
  <si>
    <t>(716) 833-3697</t>
  </si>
  <si>
    <t>SHAQ@KALEIDAHEALTH.ORG</t>
  </si>
  <si>
    <t>HAQ SYED DR.</t>
  </si>
  <si>
    <t>474 NIAGARA FALLS BLVD</t>
  </si>
  <si>
    <t>CONSTANTINE, JEFFREY, MD</t>
  </si>
  <si>
    <t>E0133946</t>
  </si>
  <si>
    <t>CONSTANTINE JEFFREY C OBGYN P</t>
  </si>
  <si>
    <t>CONSTANTINE JEFFREY DR.</t>
  </si>
  <si>
    <t>PREFERRED HOME CARE INC.</t>
  </si>
  <si>
    <t>E0114500</t>
  </si>
  <si>
    <t>PREFERRED HOME CARE INC</t>
  </si>
  <si>
    <t>6116 STRAUSS RD</t>
  </si>
  <si>
    <t>STANSBERRY, ANDREW, PA</t>
  </si>
  <si>
    <t>E0065963</t>
  </si>
  <si>
    <t>STANSBERRY ANDREW J</t>
  </si>
  <si>
    <t>ASTANSBERRY@KALEIDAHEALTH.ORG</t>
  </si>
  <si>
    <t>STANSBERRY ANDREW</t>
  </si>
  <si>
    <t>DOBSON, JUDY, NP</t>
  </si>
  <si>
    <t>E0002437</t>
  </si>
  <si>
    <t>DOBSON JUDY L</t>
  </si>
  <si>
    <t>DOBSON, JUDY, FNP</t>
  </si>
  <si>
    <t>(716) 297-0803</t>
  </si>
  <si>
    <t>JDOBSON@KALEIDAHEALTH.ORG</t>
  </si>
  <si>
    <t>DOBSON JUDY</t>
  </si>
  <si>
    <t>FEARON, RENE'E, LCSW</t>
  </si>
  <si>
    <t>E0363146</t>
  </si>
  <si>
    <t>FEARON RENEE LEE</t>
  </si>
  <si>
    <t>FEARON, RENEE, LCSW-R</t>
  </si>
  <si>
    <t>(716) 883-1914</t>
  </si>
  <si>
    <t>RFEARON@JFSBUFFALO.ORG</t>
  </si>
  <si>
    <t>FEARON RENE'E MS.</t>
  </si>
  <si>
    <t>70 BARKER ST</t>
  </si>
  <si>
    <t>SAMANT, ARVIND, MD</t>
  </si>
  <si>
    <t>E0128303</t>
  </si>
  <si>
    <t>SAMANT ARVIND RAMCHANDRA</t>
  </si>
  <si>
    <t>ARVIND.SAMANT@NIAGARACOUNTY.COM</t>
  </si>
  <si>
    <t>SAMANT ARVIND DR.</t>
  </si>
  <si>
    <t>400 FOREST AVE</t>
  </si>
  <si>
    <t>CHILD &amp; ADOLESCENT TREATMENT SERVICES INC</t>
  </si>
  <si>
    <t>E0263436</t>
  </si>
  <si>
    <t>CHILD AND ADOLESCENT PSY CL</t>
  </si>
  <si>
    <t>SOUTH, , SATELLITE</t>
  </si>
  <si>
    <t>All Other:: Mental Health</t>
  </si>
  <si>
    <t>UNIV BRANCH CL</t>
  </si>
  <si>
    <t>CIESLA, TERA, RPAC</t>
  </si>
  <si>
    <t>E0049679</t>
  </si>
  <si>
    <t>CIESLA TERA M RPA</t>
  </si>
  <si>
    <t>CIESLA TERA</t>
  </si>
  <si>
    <t>GIGLIOTTI, DINA, PA</t>
  </si>
  <si>
    <t>E0018857</t>
  </si>
  <si>
    <t>GIGLIOTTI DINA MARIE</t>
  </si>
  <si>
    <t>AMINA KITMAN</t>
  </si>
  <si>
    <t>(716) 834-1193</t>
  </si>
  <si>
    <t>AKIRTMAN@KEYSTONEHEALTHCARE.COM</t>
  </si>
  <si>
    <t>GIGLIOTTI DINA</t>
  </si>
  <si>
    <t>127 NORTH ST</t>
  </si>
  <si>
    <t>ALLEN, JEREMY, LCSW</t>
  </si>
  <si>
    <t>E0363481</t>
  </si>
  <si>
    <t>ALLEN JEREMY P</t>
  </si>
  <si>
    <t>ALLEN, JEREMY, LCSW/LMSW</t>
  </si>
  <si>
    <t>ALLEN JEREMY MR.</t>
  </si>
  <si>
    <t>FARRELL, MELISSA, MSLMHC</t>
  </si>
  <si>
    <t>FARRELL, MELISSA, MHC</t>
  </si>
  <si>
    <t>(716) 674-2206</t>
  </si>
  <si>
    <t>FARRELLM@SHSWNY.ORG</t>
  </si>
  <si>
    <t>FARRELL MELISSA</t>
  </si>
  <si>
    <t>4086 SENECA ST</t>
  </si>
  <si>
    <t>PATEL, RAMAN, MD</t>
  </si>
  <si>
    <t>E0235232</t>
  </si>
  <si>
    <t>PATEL RAMAN R</t>
  </si>
  <si>
    <t>(716) 822-3831</t>
  </si>
  <si>
    <t>RPATEL2@KALEIDAHEALTH.ORG</t>
  </si>
  <si>
    <t>PATEL RAMAN</t>
  </si>
  <si>
    <t>1707 ABBOTT RD</t>
  </si>
  <si>
    <t>(716) 951-7000</t>
  </si>
  <si>
    <t>316 CENTRAL AVE</t>
  </si>
  <si>
    <t>FORTMAN, DIANE, DPM</t>
  </si>
  <si>
    <t>E0210015</t>
  </si>
  <si>
    <t>FORTMAN DIANE H DPM</t>
  </si>
  <si>
    <t>(716) 875-7878</t>
  </si>
  <si>
    <t>DFORTMAN@KALEIDAHEALTH.ORG</t>
  </si>
  <si>
    <t>FORTMAN DIANE</t>
  </si>
  <si>
    <t>2448 ELMWOOD AVE</t>
  </si>
  <si>
    <t>PODIATRIST</t>
  </si>
  <si>
    <t>LACKAWANNA CITY SCHOOL DISTRICT</t>
  </si>
  <si>
    <t>E0163053</t>
  </si>
  <si>
    <t>LACKAWANNA CITY SCHOOL DIST</t>
  </si>
  <si>
    <t>(716) 827-6702</t>
  </si>
  <si>
    <t>550 MARTIN RD</t>
  </si>
  <si>
    <t>Stoica, Ana</t>
  </si>
  <si>
    <t>E0285824</t>
  </si>
  <si>
    <t>ANA MARIA STOICA</t>
  </si>
  <si>
    <t>STOICA ANA DR.</t>
  </si>
  <si>
    <t>STOICA ANA MARIA MD</t>
  </si>
  <si>
    <t>4039 ROUTE 219 STE 103</t>
  </si>
  <si>
    <t>SALAMANCA</t>
  </si>
  <si>
    <t>FRISICARO, SUNNY,</t>
  </si>
  <si>
    <t>FRISICARO SUNNY</t>
  </si>
  <si>
    <t>SCHOBER, KRISTEN, NP</t>
  </si>
  <si>
    <t>E0392132</t>
  </si>
  <si>
    <t>SIRACUSE KRISTEN MARIE</t>
  </si>
  <si>
    <t>(716) 672-4600</t>
  </si>
  <si>
    <t>TCCFQHC@GMAIL.COM</t>
  </si>
  <si>
    <t>SIRACUSE KRISTEN</t>
  </si>
  <si>
    <t>KOKSAL, GULSUM,</t>
  </si>
  <si>
    <t>KOKSAL,  GULSUM, SR COUNSELOR LICENSED</t>
  </si>
  <si>
    <t>KOKSAL GULSUM</t>
  </si>
  <si>
    <t>O'MAY, JAMES, RPAC</t>
  </si>
  <si>
    <t>O'MAY, JAMES, PA</t>
  </si>
  <si>
    <t>JO'MAY@KALEIDAHEALTH.ORG</t>
  </si>
  <si>
    <t>O'MAY JAMES</t>
  </si>
  <si>
    <t>192 PARK CLUB LANE SUITE 100</t>
  </si>
  <si>
    <t>TAN, VIVIAN,</t>
  </si>
  <si>
    <t>E0112389</t>
  </si>
  <si>
    <t>TAN VIVIAN CHUA MD</t>
  </si>
  <si>
    <t>TAN VIVIAN</t>
  </si>
  <si>
    <t>ERIE COUNTY ARC RSP</t>
  </si>
  <si>
    <t>E0040557</t>
  </si>
  <si>
    <t>Venture Forthe, Inc.</t>
  </si>
  <si>
    <t>Frank P. Maietta</t>
  </si>
  <si>
    <t>(716) 285-8070</t>
  </si>
  <si>
    <t>fmaietta@ventureforthe.com</t>
  </si>
  <si>
    <t>VENTURE FORTHE, INC.</t>
  </si>
  <si>
    <t>3900 PACKARD RD</t>
  </si>
  <si>
    <t>TEUSCHER, JOSETTE, MD</t>
  </si>
  <si>
    <t>E0115729</t>
  </si>
  <si>
    <t>TEUSCHER JOSETTE A MD</t>
  </si>
  <si>
    <t>TEUSCHER , JOSETTE , MD</t>
  </si>
  <si>
    <t>JTEUSCHER@UPA.CHOB.EDU</t>
  </si>
  <si>
    <t>TEUSCHER JOSETTE</t>
  </si>
  <si>
    <t>PAINTON, JOSEPH, MD</t>
  </si>
  <si>
    <t>E0238142</t>
  </si>
  <si>
    <t>PAINTON J FREDERICK JR</t>
  </si>
  <si>
    <t>PAINTON, J., MD</t>
  </si>
  <si>
    <t>(716) 632-1282</t>
  </si>
  <si>
    <t>JPAINTON@KALEIDAHEALTH.ORG</t>
  </si>
  <si>
    <t>PAINTON JOSEPH</t>
  </si>
  <si>
    <t>CHAUDHURI, ANITA, MD</t>
  </si>
  <si>
    <t>E0057417</t>
  </si>
  <si>
    <t>CHAUDHURI ANITA BARUA MD</t>
  </si>
  <si>
    <t>CHAUDHURI ANITA DR.</t>
  </si>
  <si>
    <t>Michelle A. Silliker, NP</t>
  </si>
  <si>
    <t>E0092341</t>
  </si>
  <si>
    <t>SILLIKER MICHELLE A</t>
  </si>
  <si>
    <t>Daniel Strauch, MHA, CMPE</t>
  </si>
  <si>
    <t>(716) 376-2393</t>
  </si>
  <si>
    <t>dstrauch@oleanmedical.com</t>
  </si>
  <si>
    <t>SILLIKER MICHELLE</t>
  </si>
  <si>
    <t>PIECZONKA, SHEILA, DO</t>
  </si>
  <si>
    <t>E0074324</t>
  </si>
  <si>
    <t>PIECZONKA SHEILA M MD</t>
  </si>
  <si>
    <t>SPIECZONKA@KALEIDAHEALTH.ORG</t>
  </si>
  <si>
    <t>PIECZONKA SHEILA MRS.</t>
  </si>
  <si>
    <t>4845 TRANSIT RD</t>
  </si>
  <si>
    <t>DEMMY, TODD, MD</t>
  </si>
  <si>
    <t>E0065502</t>
  </si>
  <si>
    <t>DEMMY TODD L MD</t>
  </si>
  <si>
    <t>TDEMMY@KALEIDAHEALTH.ORG</t>
  </si>
  <si>
    <t>DEMMY TODD</t>
  </si>
  <si>
    <t>RPCI CLINICAL PRAC P</t>
  </si>
  <si>
    <t>SCRIVANI, STEPHEN, MD</t>
  </si>
  <si>
    <t>E0215693</t>
  </si>
  <si>
    <t>SCRIVANI STEPHEN P MD</t>
  </si>
  <si>
    <t>(716) 632-1400</t>
  </si>
  <si>
    <t>SSCRIVANI@KALEIDAHEALTH.ORG</t>
  </si>
  <si>
    <t>SCRIVANI STEPHEN DR.</t>
  </si>
  <si>
    <t>STE 5</t>
  </si>
  <si>
    <t>LAVIN, DEBORAH, NURSEPRAC</t>
  </si>
  <si>
    <t>E0090573</t>
  </si>
  <si>
    <t>LAVIN DEBORAH KAY</t>
  </si>
  <si>
    <t>LAVIN, DEBORAH, ANP</t>
  </si>
  <si>
    <t>DLAVIN@KALEIDAHEALTH.ORG</t>
  </si>
  <si>
    <t>LAVIN DEBORAH</t>
  </si>
  <si>
    <t>445 TREMONT ST</t>
  </si>
  <si>
    <t>DIMOPOULOS, VASSILIOS, MD</t>
  </si>
  <si>
    <t>E0405367</t>
  </si>
  <si>
    <t>DIMOPOULOS VASSILIOS GEORGIOS</t>
  </si>
  <si>
    <t>VDIMOPOULOS@KALEIDAHEALTH.ORG</t>
  </si>
  <si>
    <t>DIMOPOULOS VASSILIOS DR.</t>
  </si>
  <si>
    <t>3980A SHERIDAN DR</t>
  </si>
  <si>
    <t>ST. JOHN, JULIE,</t>
  </si>
  <si>
    <t>E0396724</t>
  </si>
  <si>
    <t>ST JOHN JULIE ANN</t>
  </si>
  <si>
    <t>ST. JOHN, JULIE, LCSW</t>
  </si>
  <si>
    <t>ST. JOHN JULIE MRS.</t>
  </si>
  <si>
    <t>LOWMAN DELLES, DONNA, PT</t>
  </si>
  <si>
    <t>LOWMAN-DELLES, DONNA, PT</t>
  </si>
  <si>
    <t>(716) 677-2000</t>
  </si>
  <si>
    <t>DLOWMANDELLES2@KALEIDAHEALTH.ORG</t>
  </si>
  <si>
    <t>LOWMAN DELLES DONNA</t>
  </si>
  <si>
    <t>3350 SOUTHWESTERN BLVD</t>
  </si>
  <si>
    <t>WYOMING COUNTY YOUTH BUREAU</t>
  </si>
  <si>
    <t>E0156870</t>
  </si>
  <si>
    <t>WYOMING CO YOUTH BUR PSSHSP</t>
  </si>
  <si>
    <t>(585) 786-8850</t>
  </si>
  <si>
    <t>76 N MAIN ST STE 2</t>
  </si>
  <si>
    <t>NYSARC NIAGARACOUNTY CHAPTER</t>
  </si>
  <si>
    <t>E0195773</t>
  </si>
  <si>
    <t>NIAGARA ARC CAMBRIA ICF</t>
  </si>
  <si>
    <t>3076 SAUNDERS SETTLEMENT RD</t>
  </si>
  <si>
    <t>SANBORN</t>
  </si>
  <si>
    <t>OEHMLER, SUSAN, PNP</t>
  </si>
  <si>
    <t>E0043738</t>
  </si>
  <si>
    <t>OEHMLER SUSAN E NP</t>
  </si>
  <si>
    <t>OEHMLER , SUSAN  , NP</t>
  </si>
  <si>
    <t>SOEHMLER@UPA.CHOB.EDU</t>
  </si>
  <si>
    <t>OEHMLER SUSAN MRS.</t>
  </si>
  <si>
    <t>REED, PAMELA, MD</t>
  </si>
  <si>
    <t>E0165663</t>
  </si>
  <si>
    <t>REED PAMELA DIANE MD</t>
  </si>
  <si>
    <t>CHARA CHEN, PRACTICE MANAGER</t>
  </si>
  <si>
    <t>(716) 961-9900</t>
  </si>
  <si>
    <t>CHARACHE@BUFFALO.EDU</t>
  </si>
  <si>
    <t>REED PAMELA</t>
  </si>
  <si>
    <t>FADEN, HOWARD, MD</t>
  </si>
  <si>
    <t>E0229995</t>
  </si>
  <si>
    <t>FADEN HOWARD               MD</t>
  </si>
  <si>
    <t>FADEN , HOWARD     , MD</t>
  </si>
  <si>
    <t>HFADEN@UPA.CHOB.EDU</t>
  </si>
  <si>
    <t>FADEN HOWARD DR.</t>
  </si>
  <si>
    <t>FADEN HOWARD SYD</t>
  </si>
  <si>
    <t>KUMAR, ASHA, MD</t>
  </si>
  <si>
    <t>E0233039</t>
  </si>
  <si>
    <t>KUMAR ASHA                 MD</t>
  </si>
  <si>
    <t>(716) 838-5162</t>
  </si>
  <si>
    <t>AKUMAR2@KALEIDAHEALTH.ORG</t>
  </si>
  <si>
    <t>KUMAR ASHA</t>
  </si>
  <si>
    <t>501 KENMORE AVE</t>
  </si>
  <si>
    <t>DESOUZA, NOYEL, MD</t>
  </si>
  <si>
    <t>E0193899</t>
  </si>
  <si>
    <t>DESOUZA NOYEL VALERIAN</t>
  </si>
  <si>
    <t>(716) 741-1100</t>
  </si>
  <si>
    <t>DESOUZA NOYEL</t>
  </si>
  <si>
    <t>DIAZ DEL CARPIO, ROBERTO,</t>
  </si>
  <si>
    <t>E0323722</t>
  </si>
  <si>
    <t>DIAZ DEL CARPIO ROBERTO O</t>
  </si>
  <si>
    <t>DIAZ DEL CARPIO, ROBERTO, MD</t>
  </si>
  <si>
    <t>(716) 871-1571</t>
  </si>
  <si>
    <t>RDIAZDELCARPIO@KALEIDAHEALTH.ORG</t>
  </si>
  <si>
    <t>DIAZ DEL CARPIO ROBERTO DR.</t>
  </si>
  <si>
    <t>DIAZ DEL CARPIO ROBERTO ORLANDO</t>
  </si>
  <si>
    <t>CIPOLLA, DAVID, MD</t>
  </si>
  <si>
    <t>E0303552</t>
  </si>
  <si>
    <t>CIPOLLA DAVID PATRICK</t>
  </si>
  <si>
    <t>(516) 472-0042</t>
  </si>
  <si>
    <t>DCIPOLLA@KALEIDAHEALTH.ORG</t>
  </si>
  <si>
    <t>CIPOLLA DAVID</t>
  </si>
  <si>
    <t>DEGENER, COLLEEN, MA</t>
  </si>
  <si>
    <t>STRASSER,  COLLEEN, CLINICAL SYSTEMS SPECIALIST</t>
  </si>
  <si>
    <t>DEGENER COLLEEN MISS</t>
  </si>
  <si>
    <t>1370 NIAGARA FALLS BLVD</t>
  </si>
  <si>
    <t>KAISER, KATHRYN,</t>
  </si>
  <si>
    <t>KAISER,  KATHRYN, PROGRAM DIRECTOR</t>
  </si>
  <si>
    <t>KAISER KATHRYN MRS.</t>
  </si>
  <si>
    <t>Lohoti, Daneesh</t>
  </si>
  <si>
    <t>E0205973</t>
  </si>
  <si>
    <t>LAHOTI DINESH</t>
  </si>
  <si>
    <t>LAHOTI DINESH DR.</t>
  </si>
  <si>
    <t>OLEAN GEN HOSP</t>
  </si>
  <si>
    <t>NAWROCKI, MARGRET, PHYSICALT</t>
  </si>
  <si>
    <t>E0345064</t>
  </si>
  <si>
    <t>MARGRET ANN NAWROCKI</t>
  </si>
  <si>
    <t>(716) 754-7326</t>
  </si>
  <si>
    <t>Clinic:: Practitioner - Non-Primary Care Provider (PCP)</t>
  </si>
  <si>
    <t>NAWROCKI MARGRET</t>
  </si>
  <si>
    <t>WILKOWSKI, SCOTT, MPASRPA</t>
  </si>
  <si>
    <t>E0303844</t>
  </si>
  <si>
    <t>SCOTT J WILKOWSKI</t>
  </si>
  <si>
    <t>WILKOWSKI, SCOTT, PA</t>
  </si>
  <si>
    <t>(716) 681-5933</t>
  </si>
  <si>
    <t>SWILKOWSKI@KALEIDAHEALTH.ORG</t>
  </si>
  <si>
    <t>WILKOWSKI SCOTT</t>
  </si>
  <si>
    <t>WILKOWSKI SCOTT J</t>
  </si>
  <si>
    <t>GUNUKULA, SAMEER, MBBS</t>
  </si>
  <si>
    <t>E0362247</t>
  </si>
  <si>
    <t>GUNUKULA SAMEER</t>
  </si>
  <si>
    <t>GUNUKULA, SAMEER, MD</t>
  </si>
  <si>
    <t>(716) 566-7445</t>
  </si>
  <si>
    <t>SGUNUKULA2@KALEIDAHEALTH.ORG</t>
  </si>
  <si>
    <t>GUNUKULA SAMEER DR.</t>
  </si>
  <si>
    <t>GUNUKULA SAMEER K</t>
  </si>
  <si>
    <t>LANG, ELIZABETH, PNPFNP</t>
  </si>
  <si>
    <t>LANG, ELIZABETH, FNP</t>
  </si>
  <si>
    <t>EPOLONY@KALEIDAHEALTH.ORG</t>
  </si>
  <si>
    <t>LANG ELIZABETH MS.</t>
  </si>
  <si>
    <t>640 ULUKAHIKI ST, DEPARTMENT OF SURGERY</t>
  </si>
  <si>
    <t>KAILUA</t>
  </si>
  <si>
    <t>HI</t>
  </si>
  <si>
    <t>CASS, SHARYN, NP</t>
  </si>
  <si>
    <t>E0347388</t>
  </si>
  <si>
    <t>BRUNNER SHARYN LEE</t>
  </si>
  <si>
    <t>CASS, SHARYN, ANP</t>
  </si>
  <si>
    <t>(716) 859-5600</t>
  </si>
  <si>
    <t>SCASS@KALEIDAHEALTH.ORG</t>
  </si>
  <si>
    <t>CASS SHARYN MRS.</t>
  </si>
  <si>
    <t>CASS SHARYN L</t>
  </si>
  <si>
    <t>STECK, KIMBERLY, NP</t>
  </si>
  <si>
    <t>E0022495</t>
  </si>
  <si>
    <t>WOLENTARSKI KIMBERLY</t>
  </si>
  <si>
    <t>STECK KIMBERLY MRS.</t>
  </si>
  <si>
    <t>STECK KIMBERLY ANN</t>
  </si>
  <si>
    <t>2697 MAIN ST</t>
  </si>
  <si>
    <t>TRAUTMAN, MARK, DDS</t>
  </si>
  <si>
    <t>E0181018</t>
  </si>
  <si>
    <t>TRAUTMAN MARK EUGENE DDS</t>
  </si>
  <si>
    <t>(716) 835-5502</t>
  </si>
  <si>
    <t>MTRAUTMAN@KALEIDAHEALTH.ORG</t>
  </si>
  <si>
    <t>TRAUTMAN MARK DR.</t>
  </si>
  <si>
    <t>956 KENMORE AVE</t>
  </si>
  <si>
    <t>TAYLOR, MARTINA, MD</t>
  </si>
  <si>
    <t>E0359207</t>
  </si>
  <si>
    <t>TAYLOR MARTINA</t>
  </si>
  <si>
    <t>M.TAYLOR@NWBCHCC.ORG</t>
  </si>
  <si>
    <t>TAYLOR MARTINA DR.</t>
  </si>
  <si>
    <t>155 LAWN AVE STE 100</t>
  </si>
  <si>
    <t>WASSON, ALLISON, DO</t>
  </si>
  <si>
    <t>E0371779</t>
  </si>
  <si>
    <t>WASSON ALLISON LEIGH</t>
  </si>
  <si>
    <t>WASSON ALLISON MS.</t>
  </si>
  <si>
    <t>MILLER, MARY, MA</t>
  </si>
  <si>
    <t>MILLER, MARY C., LMHC</t>
  </si>
  <si>
    <t>MILLER MARY</t>
  </si>
  <si>
    <t>463 WILLIAM ST</t>
  </si>
  <si>
    <t>HUFF, DEVON, MD</t>
  </si>
  <si>
    <t>E0342667</t>
  </si>
  <si>
    <t>HUFF DEVON MICHAEL</t>
  </si>
  <si>
    <t>DHUFF2@KALEIDAHEALTH.ORG</t>
  </si>
  <si>
    <t>HUFF DEVON</t>
  </si>
  <si>
    <t>CUBA MEMORIAL HOSPITAL, INC.</t>
  </si>
  <si>
    <t>E0263755</t>
  </si>
  <si>
    <t>CUBA MEMORIAL HSP         INC</t>
  </si>
  <si>
    <t>(585) 968-2000</t>
  </si>
  <si>
    <t>All Other:: Clinic:: Hospital</t>
  </si>
  <si>
    <t>CUBA MEMORIAL HSP INC</t>
  </si>
  <si>
    <t>140 W MAIN ST</t>
  </si>
  <si>
    <t>CUBA</t>
  </si>
  <si>
    <t>RUDLOFF, MARY, PA</t>
  </si>
  <si>
    <t>E0367547</t>
  </si>
  <si>
    <t>RUDLOFF MARY ELIZABETH</t>
  </si>
  <si>
    <t>RUDLOFF, MARY,</t>
  </si>
  <si>
    <t>(716) 595-3001</t>
  </si>
  <si>
    <t>RUDLOFF MARY</t>
  </si>
  <si>
    <t>618 CENTER ST</t>
  </si>
  <si>
    <t>CHERRY CREEK</t>
  </si>
  <si>
    <t>GREEN, DAWN, PA</t>
  </si>
  <si>
    <t>E0083569</t>
  </si>
  <si>
    <t>GREEN DAWN J RPA</t>
  </si>
  <si>
    <t>DGREEN3@KALEIDAHEALTH.ORG</t>
  </si>
  <si>
    <t>GREEN DAWN</t>
  </si>
  <si>
    <t>GREEN DAWN JANINE</t>
  </si>
  <si>
    <t>MCCARTHY, SHANNON, DDS</t>
  </si>
  <si>
    <t>(716) 689-4111</t>
  </si>
  <si>
    <t>SMCCARTHY@KALEIDAHEALTH.ORG</t>
  </si>
  <si>
    <t>MCCARTHY SHANNON DR.</t>
  </si>
  <si>
    <t>5853 TRANSIT RD</t>
  </si>
  <si>
    <t>HAMBRIDGE, JOANNE, NURSEPRAC</t>
  </si>
  <si>
    <t>E0057165</t>
  </si>
  <si>
    <t>HAMBRIDGE JOANNE MD</t>
  </si>
  <si>
    <t>HAMBRIDGE, JOANNE, FNP</t>
  </si>
  <si>
    <t>(716) 773-2494</t>
  </si>
  <si>
    <t>JHAMBRIDGE@KALEIDAHEALTH.ORG</t>
  </si>
  <si>
    <t>HAMBRIDGE JOANNE MS.</t>
  </si>
  <si>
    <t>PATEL, SUKETU, DDS</t>
  </si>
  <si>
    <t>E0034535</t>
  </si>
  <si>
    <t>PATEL SUKETU DDS</t>
  </si>
  <si>
    <t>(716) 242-8200</t>
  </si>
  <si>
    <t>SPATEL4@KALEIDAHEALTH.ORG</t>
  </si>
  <si>
    <t>PATEL SUKETU DR.</t>
  </si>
  <si>
    <t>MULAWKA, JOHN, DO</t>
  </si>
  <si>
    <t>E0071895</t>
  </si>
  <si>
    <t>MULAWKA JOHN</t>
  </si>
  <si>
    <t>MULAWKA, JOHN,</t>
  </si>
  <si>
    <t>(716) 947-2222</t>
  </si>
  <si>
    <t>DSDPEDIATRICS@YAHOO.COM</t>
  </si>
  <si>
    <t>MULAWKA JOHN DR.</t>
  </si>
  <si>
    <t>CHILDS HOSP BUFFALO</t>
  </si>
  <si>
    <t>MCPHADEN, CYNTHIA, MSCRC</t>
  </si>
  <si>
    <t>MCPHADEN, CYNTHIA, LMHC</t>
  </si>
  <si>
    <t>CYNTHIA.MCPHADEN@NIAGARACOUNTY.COM</t>
  </si>
  <si>
    <t>MCPHADEN CYNTHIA</t>
  </si>
  <si>
    <t>699 HERTEL AVE, SUITE 350</t>
  </si>
  <si>
    <t>JORDAN, JEFFREY, MDPHD</t>
  </si>
  <si>
    <t>E0383256</t>
  </si>
  <si>
    <t>JORDAN JEFFREY MICHAEL</t>
  </si>
  <si>
    <t>JORDAN, JEFFREY, MD</t>
  </si>
  <si>
    <t>(716) 898-5186</t>
  </si>
  <si>
    <t>JJORDAN@KALEIDAHEALTH.ORG</t>
  </si>
  <si>
    <t>JORDAN JEFFREY DR.</t>
  </si>
  <si>
    <t>462 GRIDER ST MILLER BLDG</t>
  </si>
  <si>
    <t>VACANTI, VICTOR, MD</t>
  </si>
  <si>
    <t>E0325507</t>
  </si>
  <si>
    <t>VACANTI VICTOR JUDE</t>
  </si>
  <si>
    <t>(716) 909-9501</t>
  </si>
  <si>
    <t>VVACANTI@KALEIDAHEALTH.ORG</t>
  </si>
  <si>
    <t>VACANTI VICTOR DR.</t>
  </si>
  <si>
    <t>BHAT, SEEMA, MD</t>
  </si>
  <si>
    <t>E0323981</t>
  </si>
  <si>
    <t>BHAT SEEMA ALI MD</t>
  </si>
  <si>
    <t>SBHAT@KALEIDAHEALTH.ORG</t>
  </si>
  <si>
    <t>BHAT SEEMA</t>
  </si>
  <si>
    <t>SYMONDS, SUE, MS</t>
  </si>
  <si>
    <t>SYMONDS,  SUSAN, PROGRAM DIRECTOR</t>
  </si>
  <si>
    <t>SYMONDS SUE</t>
  </si>
  <si>
    <t>DRUMSTA, JILL, RPAC</t>
  </si>
  <si>
    <t>E0378587</t>
  </si>
  <si>
    <t>DRUMSTA JILL MARIE</t>
  </si>
  <si>
    <t>DRUMSTA, JILL, PA</t>
  </si>
  <si>
    <t>(716) 859-1993</t>
  </si>
  <si>
    <t>JDRUMSTA@KALEIDAHEALTH.ORG</t>
  </si>
  <si>
    <t>DRUMSTA JILL MRS.</t>
  </si>
  <si>
    <t>KONRAD, KATHRYN, RN</t>
  </si>
  <si>
    <t>E0361506</t>
  </si>
  <si>
    <t>KONRAD KATHRYN ANNE</t>
  </si>
  <si>
    <t>KONRAD,  KATHRYN, RN</t>
  </si>
  <si>
    <t>(716) 831-1818</t>
  </si>
  <si>
    <t>KONRAD KATHRYN MS.</t>
  </si>
  <si>
    <t>THOMPSON, PHILIP, FNP</t>
  </si>
  <si>
    <t>E0007581</t>
  </si>
  <si>
    <t>THOMPSON PHILIP</t>
  </si>
  <si>
    <t>(716) 836-8042</t>
  </si>
  <si>
    <t>PTHOMPSON@KALEIDAHEALTH.ORG</t>
  </si>
  <si>
    <t>THOMPSON PHILIP JOHN</t>
  </si>
  <si>
    <t>FREDERICK, PETER, MD</t>
  </si>
  <si>
    <t>E0309127</t>
  </si>
  <si>
    <t>FREDERICK PETER JONATHAN MD</t>
  </si>
  <si>
    <t>PFREDERICK@KALEIDAHEALTH.ORG</t>
  </si>
  <si>
    <t>FREDERICK PETER</t>
  </si>
  <si>
    <t>KHULPATEEA, BEMAN, MD</t>
  </si>
  <si>
    <t>E0339556</t>
  </si>
  <si>
    <t>KHULPATEEA BEMAN ROY</t>
  </si>
  <si>
    <t>(516) 510-9048</t>
  </si>
  <si>
    <t>KHULPATEEA BEMAN DR.</t>
  </si>
  <si>
    <t>FALLETTA, THOMAS, NP</t>
  </si>
  <si>
    <t>E0369243</t>
  </si>
  <si>
    <t>FALLETTA THOMAS</t>
  </si>
  <si>
    <t>FALLETTA, THOMAS, ANP</t>
  </si>
  <si>
    <t>TFALLETTA@KALEIDAHEALTH.ORG</t>
  </si>
  <si>
    <t>DORETY, KAITLYN,</t>
  </si>
  <si>
    <t>ERB,  KAITLYN , SR COUNSELOR LICENSED</t>
  </si>
  <si>
    <t>DORETY KAITLYN</t>
  </si>
  <si>
    <t>KRIEGER, JOANN,</t>
  </si>
  <si>
    <t>KRIEGER, JOANN, CASACT</t>
  </si>
  <si>
    <t>KRIEGER JOANN MRS.</t>
  </si>
  <si>
    <t>1131 BROADWAY</t>
  </si>
  <si>
    <t>CRISTINA, ELIZABETH, LCSW</t>
  </si>
  <si>
    <t>E0393629</t>
  </si>
  <si>
    <t>CRISTINA ELIZABETH M</t>
  </si>
  <si>
    <t>CRISTINA,  ELIZABETH, CLINICAL SUPERVISOR</t>
  </si>
  <si>
    <t>(716) 831-0200</t>
  </si>
  <si>
    <t>CRISTINA ELIZABETH</t>
  </si>
  <si>
    <t>SMITH, RYAN, LMSW</t>
  </si>
  <si>
    <t>E0308162</t>
  </si>
  <si>
    <t>SMITH RYAN</t>
  </si>
  <si>
    <t>(716) 488-1971</t>
  </si>
  <si>
    <t>RSMITH@CLAKE.ORG</t>
  </si>
  <si>
    <t>SMITH RYAN MR.</t>
  </si>
  <si>
    <t>332 E 4TH ST</t>
  </si>
  <si>
    <t>RAMESH, SUJATHA, MD</t>
  </si>
  <si>
    <t>E0142385</t>
  </si>
  <si>
    <t>RAMESH SUJATHA MD</t>
  </si>
  <si>
    <t>RAMESH, SUJATHA, MBBS</t>
  </si>
  <si>
    <t>SRAMESH@KALEIDAHEALTH.ORG</t>
  </si>
  <si>
    <t>RAMESH SUJATHA DR.</t>
  </si>
  <si>
    <t>ZIMMER, WENDY, MD</t>
  </si>
  <si>
    <t>E0142443</t>
  </si>
  <si>
    <t>ZIMMER WENDY E MD</t>
  </si>
  <si>
    <t>WZIMMER@KALEIDAHEALTH.ORG</t>
  </si>
  <si>
    <t>ZIMMER WENDY DR.</t>
  </si>
  <si>
    <t>NYSARC NIAGARA CO CHAP RSP</t>
  </si>
  <si>
    <t>E0040405</t>
  </si>
  <si>
    <t>2393 NIA FLS LPO 360</t>
  </si>
  <si>
    <t>DIFONZO, CAROLYN, FNP</t>
  </si>
  <si>
    <t>E0022492</t>
  </si>
  <si>
    <t>DIFONZO CAROLYN</t>
  </si>
  <si>
    <t>ZORNEK, NICHOLAS, MD</t>
  </si>
  <si>
    <t>E0236435</t>
  </si>
  <si>
    <t>ZORNEK NICHOLAS FRANK JR   MD</t>
  </si>
  <si>
    <t>(716) 297-5990</t>
  </si>
  <si>
    <t>NZORNEK@KALEIDAHEALTH.ORG</t>
  </si>
  <si>
    <t>ZORNEK NICHOLAS DR.</t>
  </si>
  <si>
    <t>5320 MILITARY RD</t>
  </si>
  <si>
    <t>MCADAM, FREDERICK, MD</t>
  </si>
  <si>
    <t>E0191865</t>
  </si>
  <si>
    <t>MCADAM FREDERICK B MD</t>
  </si>
  <si>
    <t>(716) 626-0093</t>
  </si>
  <si>
    <t>FMCADAM@KALEIDAHEALTH.ORG</t>
  </si>
  <si>
    <t>MCADAM FREDERICK DR.</t>
  </si>
  <si>
    <t>65 WEHRLE DR</t>
  </si>
  <si>
    <t>KINKEL, PETER,</t>
  </si>
  <si>
    <t>E0209352</t>
  </si>
  <si>
    <t>KINKEL PETER R             MD</t>
  </si>
  <si>
    <t>KINKEL, PETER, MD</t>
  </si>
  <si>
    <t>PKINKEL@KALEIDAHEALTH.ORG</t>
  </si>
  <si>
    <t>KINKEL PETER</t>
  </si>
  <si>
    <t>3055 SOUTHWESTERN BLVD</t>
  </si>
  <si>
    <t>HOEPLINGER, MARK, MD</t>
  </si>
  <si>
    <t>E0213981</t>
  </si>
  <si>
    <t>HOEPLINGER MARK A C MD</t>
  </si>
  <si>
    <t>MHOEPLINGER@KALEIDAHEALTH.ORG</t>
  </si>
  <si>
    <t>BERNAT, SHERRIE, NP</t>
  </si>
  <si>
    <t>E0065771</t>
  </si>
  <si>
    <t>BERNAT SHERRIE H</t>
  </si>
  <si>
    <t>BERNAT SHERRIE</t>
  </si>
  <si>
    <t>BERNAT SHERRIE HALIK</t>
  </si>
  <si>
    <t>CLEARY, KEVIN, MD</t>
  </si>
  <si>
    <t>E0134307</t>
  </si>
  <si>
    <t>CLEARY KEVIN G MD</t>
  </si>
  <si>
    <t>(716) 608-7040</t>
  </si>
  <si>
    <t>KCLEARY2@KALEIDAHEALTH.ORG</t>
  </si>
  <si>
    <t>CLEARY KEVIN</t>
  </si>
  <si>
    <t>CLEARY KEVIN G</t>
  </si>
  <si>
    <t>ARONICA, MICHAEL, MD</t>
  </si>
  <si>
    <t>E0125633</t>
  </si>
  <si>
    <t>ARONICA MICHAEL JOSEPH MD</t>
  </si>
  <si>
    <t>(716) 874-4500</t>
  </si>
  <si>
    <t>MARONICA@KALEIDAHEALTH.ORG</t>
  </si>
  <si>
    <t>ARONICA MICHAEL DR.</t>
  </si>
  <si>
    <t>UNIV PHYS OFFICE</t>
  </si>
  <si>
    <t>CARREL, JEFFREY, DPM</t>
  </si>
  <si>
    <t>E0240819</t>
  </si>
  <si>
    <t>CARREL JEFFREY M DPM</t>
  </si>
  <si>
    <t>(716) 839-3930</t>
  </si>
  <si>
    <t>JCARREL@KALEIDAHEALTH.ORG</t>
  </si>
  <si>
    <t>CARREL JEFFREY DR.</t>
  </si>
  <si>
    <t>409 BRISBANE BLDG</t>
  </si>
  <si>
    <t>OSULA, COLLINS, MD</t>
  </si>
  <si>
    <t>E0113869</t>
  </si>
  <si>
    <t>OSULA COLLINS O MD</t>
  </si>
  <si>
    <t>SAMANTHA SESSAMEN, PRACTICE FACILITATOR</t>
  </si>
  <si>
    <t>(716) 366-5222</t>
  </si>
  <si>
    <t>SSESSAMEN@GPPCONLINE.COM</t>
  </si>
  <si>
    <t>OSULA COLLINS</t>
  </si>
  <si>
    <t>CORNING</t>
  </si>
  <si>
    <t>TOMASZEWSKI, GARIN, MD</t>
  </si>
  <si>
    <t>E0046716</t>
  </si>
  <si>
    <t>TOMASZEWSKI GARIN MICHAEL MD</t>
  </si>
  <si>
    <t>GTOMASZEWSKI@KALEIDAHEALTH.ORG</t>
  </si>
  <si>
    <t>TOMASZEWSKI GARIN</t>
  </si>
  <si>
    <t>RPCI CLIN PRTC PLAN</t>
  </si>
  <si>
    <t>BOYLE, MICHELE, PAC</t>
  </si>
  <si>
    <t>E0287670</t>
  </si>
  <si>
    <t>BOYLE MICHELE MARIE</t>
  </si>
  <si>
    <t>BOYLE, MICHELE, PA</t>
  </si>
  <si>
    <t>(716) 828-2623</t>
  </si>
  <si>
    <t>MBOYLE@KALEIDAHEALTH.ORG</t>
  </si>
  <si>
    <t>BOYLE MICHELE</t>
  </si>
  <si>
    <t>JAIN LALIT DR.</t>
  </si>
  <si>
    <t>E0191096</t>
  </si>
  <si>
    <t>JAIN LALIT K MD</t>
  </si>
  <si>
    <t>47 BATAVIA CITY CTR</t>
  </si>
  <si>
    <t>MEYERS, SUZANNE, MD</t>
  </si>
  <si>
    <t>E0193930</t>
  </si>
  <si>
    <t>MEYERS SUZANNE J</t>
  </si>
  <si>
    <t>(716) 831-0102</t>
  </si>
  <si>
    <t>SMEYERS2@KALEIDAHEALTH.ORG</t>
  </si>
  <si>
    <t>MEYERS SUZANNE DR.</t>
  </si>
  <si>
    <t>STE 140</t>
  </si>
  <si>
    <t>PATTERSON, DANIEL, DO</t>
  </si>
  <si>
    <t>E0044627</t>
  </si>
  <si>
    <t>PATTERSON DANIEL JOHN DO</t>
  </si>
  <si>
    <t>DPATTERSON@KALEIDAHEALTH.ORG</t>
  </si>
  <si>
    <t>PATTERSON DANIEL DR.</t>
  </si>
  <si>
    <t>PATTERSON DANIEL JOHN</t>
  </si>
  <si>
    <t>310 STERLING DR</t>
  </si>
  <si>
    <t>KAUL, TEJ, MD</t>
  </si>
  <si>
    <t>E0203605</t>
  </si>
  <si>
    <t>KAUL TEJ N MD</t>
  </si>
  <si>
    <t>TKAUL@KALEIDAHEALTH.ORG</t>
  </si>
  <si>
    <t>KAUL TEJ DR.</t>
  </si>
  <si>
    <t>909 PINE AVE</t>
  </si>
  <si>
    <t>HERITAGE VILLAGE REHAB &amp; SKILLED NURSING INC</t>
  </si>
  <si>
    <t>E0263564</t>
  </si>
  <si>
    <t>HERITAGE VILLAGE REH &amp; SKILLED NRS</t>
  </si>
  <si>
    <t>(716) 985-6811</t>
  </si>
  <si>
    <t>4570 ROUTE 60</t>
  </si>
  <si>
    <t>GERRY</t>
  </si>
  <si>
    <t>WOODS, KARA, RPAC</t>
  </si>
  <si>
    <t>E0037566</t>
  </si>
  <si>
    <t>WOODS KARA A</t>
  </si>
  <si>
    <t>WOODS, KARA , PA</t>
  </si>
  <si>
    <t>(716) 668-7051</t>
  </si>
  <si>
    <t>KARA.WOODS@FAMILYCHOICENY.COM</t>
  </si>
  <si>
    <t>WOODS KARA</t>
  </si>
  <si>
    <t>WOODS KARA ANNE</t>
  </si>
  <si>
    <t>3332 WALDEN AVE STE 110</t>
  </si>
  <si>
    <t>SZARPA, KRISTIE, ANP</t>
  </si>
  <si>
    <t>E0344776</t>
  </si>
  <si>
    <t>SZARPA KRISTIE L</t>
  </si>
  <si>
    <t>KSZARPA@KALEIDAHEALTH.ORG</t>
  </si>
  <si>
    <t>SZARPA KRISTIE</t>
  </si>
  <si>
    <t>NELSON, KATHRYN, PA</t>
  </si>
  <si>
    <t>E0326527</t>
  </si>
  <si>
    <t>NELSON KATHRYN ANNE</t>
  </si>
  <si>
    <t>NELSON, KATHRYN,</t>
  </si>
  <si>
    <t>NELSON KATHRYN</t>
  </si>
  <si>
    <t>623 MAIN ST STE 200</t>
  </si>
  <si>
    <t>LILLEBY, JENNIFER,</t>
  </si>
  <si>
    <t>LILLEBY,  JENNIFER, COUNSELOR III</t>
  </si>
  <si>
    <t>LILLEBY JENNIFER</t>
  </si>
  <si>
    <t>BYBEE, JENNIFER,</t>
  </si>
  <si>
    <t>E0371477</t>
  </si>
  <si>
    <t>BYBEE JENNIFER</t>
  </si>
  <si>
    <t>BYBEE, JENNIFER, ANP</t>
  </si>
  <si>
    <t>(716) 405-7115</t>
  </si>
  <si>
    <t>JBYBEE@KALEIDAHEALTH.ORG</t>
  </si>
  <si>
    <t>NEBBIA, STEPHAN, MD</t>
  </si>
  <si>
    <t>E0152466</t>
  </si>
  <si>
    <t>NEBBIA STEPHAN P MD</t>
  </si>
  <si>
    <t>(716) 878-7701</t>
  </si>
  <si>
    <t>SNEBBIA@KALEIDAHEALTH.ORG</t>
  </si>
  <si>
    <t>NEBBIA STEPHAN</t>
  </si>
  <si>
    <t>ZIMMER, GREGG, MD</t>
  </si>
  <si>
    <t>E0153346</t>
  </si>
  <si>
    <t>ZIMMER GREGG L MD</t>
  </si>
  <si>
    <t>(716) 691-3500</t>
  </si>
  <si>
    <t>GZIMMER@KALEIDAHEALTH.ORG</t>
  </si>
  <si>
    <t>ZIMMER GREGG</t>
  </si>
  <si>
    <t>MANGANO, ANTHONY, MD</t>
  </si>
  <si>
    <t>E0061203</t>
  </si>
  <si>
    <t>MANGANO ANTHONY ROBERT MD</t>
  </si>
  <si>
    <t>AMANGANO@KALEIDAHEALTH.ORG</t>
  </si>
  <si>
    <t>MANGANO ANTHONY DR.</t>
  </si>
  <si>
    <t>HOHENSEE, JAMES, MD</t>
  </si>
  <si>
    <t>E0175200</t>
  </si>
  <si>
    <t>HOHENSEE JAMES E  MD</t>
  </si>
  <si>
    <t>ED GLOWCZAK</t>
  </si>
  <si>
    <t>(716) 751-3991</t>
  </si>
  <si>
    <t>EGLOWCZAK@ENHS.ORG</t>
  </si>
  <si>
    <t>HOHENSEE JAMES</t>
  </si>
  <si>
    <t>335 HIGH ST</t>
  </si>
  <si>
    <t>WILSON</t>
  </si>
  <si>
    <t>MACK CINDY</t>
  </si>
  <si>
    <t>E0084806</t>
  </si>
  <si>
    <t>MACK CINDY JANE CNM</t>
  </si>
  <si>
    <t>OLEAN GENERAL HOSP</t>
  </si>
  <si>
    <t>HURVITZ, EVELYN, MD</t>
  </si>
  <si>
    <t>E0195625</t>
  </si>
  <si>
    <t>HURVITZ EVELYN DEBORAH     MD</t>
  </si>
  <si>
    <t>EHURVITZ@KALEIDAHEALTH.ORG</t>
  </si>
  <si>
    <t>HURVITZ EVELYN DR.</t>
  </si>
  <si>
    <t>HURVITZ EVELYN DEBORAH  MD</t>
  </si>
  <si>
    <t>GIYANANI, RAVI, MD</t>
  </si>
  <si>
    <t>E0317104</t>
  </si>
  <si>
    <t>GIYANANI RAVI</t>
  </si>
  <si>
    <t>RGIYANANI@KALEIDAHEALTH.ORG</t>
  </si>
  <si>
    <t>301 E MAIN ST</t>
  </si>
  <si>
    <t>BAY SHORE</t>
  </si>
  <si>
    <t>CHOI, HEE, MD</t>
  </si>
  <si>
    <t>E0239011</t>
  </si>
  <si>
    <t>CHOI HEE K MD</t>
  </si>
  <si>
    <t>HEE K. CHOI</t>
  </si>
  <si>
    <t>(716) 285-2826</t>
  </si>
  <si>
    <t>HEEKCHOI@YAHOO.COM</t>
  </si>
  <si>
    <t>CHOI HEE DR.</t>
  </si>
  <si>
    <t>549 4TH ST</t>
  </si>
  <si>
    <t>CUDDAHEE, KEVIN, FNP</t>
  </si>
  <si>
    <t>E0336872</t>
  </si>
  <si>
    <t>CUDDAHEE KEVIN J</t>
  </si>
  <si>
    <t>KCUDDAHEE@KALEIDAHEALTH.ORG</t>
  </si>
  <si>
    <t>CUDDAHEE KEVIN</t>
  </si>
  <si>
    <t>RATLIFF, DAVID, MD</t>
  </si>
  <si>
    <t>E0325518</t>
  </si>
  <si>
    <t>RATLIFF DAVID</t>
  </si>
  <si>
    <t>DRATLIFF@KALEIDAHEALTH.ORG</t>
  </si>
  <si>
    <t>8750 TRANSIT RD</t>
  </si>
  <si>
    <t>LIBERTY RC INC</t>
  </si>
  <si>
    <t>E0327757</t>
  </si>
  <si>
    <t>NIAGARA FALLS KIDNEY CARE CENTER</t>
  </si>
  <si>
    <t>THOMAS DEGUEHERY</t>
  </si>
  <si>
    <t>(615) 320-4414</t>
  </si>
  <si>
    <t>THOMAS.DEGUEHERY@DAVITA.COM</t>
  </si>
  <si>
    <t>CLEVE HILL DIALYSIS CTR NIAG FALLS</t>
  </si>
  <si>
    <t>EZZO, MEGAN, PA</t>
  </si>
  <si>
    <t>E0351931</t>
  </si>
  <si>
    <t>EZZO MEGAN DEANNA</t>
  </si>
  <si>
    <t>(716) 834-1191</t>
  </si>
  <si>
    <t>MEZZO@KALEIDAHEALTH.ORG</t>
  </si>
  <si>
    <t>LAURIENZO MEGAN</t>
  </si>
  <si>
    <t>LAURIENZO MEGAN DEANNA</t>
  </si>
  <si>
    <t>HERITAGE MANOR OF RANSOMVILLE</t>
  </si>
  <si>
    <t>3509 RANSOMVILLE RD</t>
  </si>
  <si>
    <t>RANSOMVILLE</t>
  </si>
  <si>
    <t>BENEDICT, LAURA, PHD</t>
  </si>
  <si>
    <t>E0103745</t>
  </si>
  <si>
    <t>BENEDICT LAURA</t>
  </si>
  <si>
    <t>(716) 667-7031</t>
  </si>
  <si>
    <t>LBENEDICT@KALEIDAHEALTH.ORG</t>
  </si>
  <si>
    <t>CLINICAL PSYCHOLOGIST</t>
  </si>
  <si>
    <t>SALEEB, SAMUEL, MD</t>
  </si>
  <si>
    <t>E0055763</t>
  </si>
  <si>
    <t>SALEEB SAMUEL</t>
  </si>
  <si>
    <t>(716) 633-1112</t>
  </si>
  <si>
    <t>SSALEEB@KALEIDAHEALTH.ORG</t>
  </si>
  <si>
    <t>LIPPES, HOWARD, MD</t>
  </si>
  <si>
    <t>E0190992</t>
  </si>
  <si>
    <t>LIPPES HOWARD A</t>
  </si>
  <si>
    <t>HLIPPES@KALEIDAHEALTH.ORG</t>
  </si>
  <si>
    <t>LIPPES HOWARD</t>
  </si>
  <si>
    <t>125 HODGE AVE</t>
  </si>
  <si>
    <t>MILLER, THOMAS, CASAC</t>
  </si>
  <si>
    <t>MILLER,  SHELLEY, SR COUN QHP - H</t>
  </si>
  <si>
    <t>MILLER THOMAS</t>
  </si>
  <si>
    <t>ZMUDA, JOYCE, MD</t>
  </si>
  <si>
    <t>E0344828</t>
  </si>
  <si>
    <t>ZMUDA JOYCE LEANNE</t>
  </si>
  <si>
    <t>JZMUDA@KALEIDAHEALTH.ORG</t>
  </si>
  <si>
    <t>ZMUDA JOYCE</t>
  </si>
  <si>
    <t>4845 TRANSIT RD STE A</t>
  </si>
  <si>
    <t>LOMBARDO, AMY, WHNP</t>
  </si>
  <si>
    <t>E0065405</t>
  </si>
  <si>
    <t>LINDSLEY AMY B</t>
  </si>
  <si>
    <t>LOMBARDO, AMY, CNM</t>
  </si>
  <si>
    <t>(716) 439-9183</t>
  </si>
  <si>
    <t>ALOMBARDO@KALEIDAHEALTH.ORG</t>
  </si>
  <si>
    <t>LOMBARDO AMY</t>
  </si>
  <si>
    <t>LOMBARDO AMY BETH  CNM</t>
  </si>
  <si>
    <t>DURRANT, AUDREY, MD</t>
  </si>
  <si>
    <t>E0348038</t>
  </si>
  <si>
    <t>DURRANT AUDREY</t>
  </si>
  <si>
    <t>(210) 558-6288</t>
  </si>
  <si>
    <t>ADURRANT@KALEIDAHEALTH.ORG</t>
  </si>
  <si>
    <t>BRAWN, ROBERT, DO</t>
  </si>
  <si>
    <t>E0293158</t>
  </si>
  <si>
    <t>BRAWN ROBERT PATRICK</t>
  </si>
  <si>
    <t>(716) 859-4234</t>
  </si>
  <si>
    <t>RBRAWN@KALEIDAHEALTH.ORG</t>
  </si>
  <si>
    <t>BRAWN ROBERT DR.</t>
  </si>
  <si>
    <t>SCHAEFFER, REBECCA, MD</t>
  </si>
  <si>
    <t>E0373276</t>
  </si>
  <si>
    <t>SCHAEFFER REBECCA L</t>
  </si>
  <si>
    <t>(716) 544-1788</t>
  </si>
  <si>
    <t>RSCHAEFFER@KALEIDAHEALTH.ORG</t>
  </si>
  <si>
    <t>SCHAEFFER REBECCA</t>
  </si>
  <si>
    <t>462 GRIDER ST RM 1168</t>
  </si>
  <si>
    <t>WYMER, DANA, DO</t>
  </si>
  <si>
    <t>E0308303</t>
  </si>
  <si>
    <t>WYMER DANA LYNN DO</t>
  </si>
  <si>
    <t>DWYMER@KALEIDAHEALTH.ORG</t>
  </si>
  <si>
    <t>WYMER DANA DR.</t>
  </si>
  <si>
    <t>BOWBACK, ANN, CASAC</t>
  </si>
  <si>
    <t>BOWBACKA@SHSWNY.ORG</t>
  </si>
  <si>
    <t>BOWBACK ANN</t>
  </si>
  <si>
    <t>1235 MAIN STREET, MICA</t>
  </si>
  <si>
    <t>Prumbs, Louis</t>
  </si>
  <si>
    <t>E0117010</t>
  </si>
  <si>
    <t>PRUMBS LOUIS MD</t>
  </si>
  <si>
    <t>PRUMBS LOUIS DR.</t>
  </si>
  <si>
    <t>OLEAN GEN HSP</t>
  </si>
  <si>
    <t>DAETSCH, EILEEN, NP</t>
  </si>
  <si>
    <t>E0118432</t>
  </si>
  <si>
    <t>DAETSCH METZ EILEEN</t>
  </si>
  <si>
    <t>DAETSCH, EILEEN, ANP</t>
  </si>
  <si>
    <t>(716) 882-6544</t>
  </si>
  <si>
    <t>EDAETSCH@KALEIDAHEALTH.ORG</t>
  </si>
  <si>
    <t>DAETSCH EILEEN</t>
  </si>
  <si>
    <t>DAETSCH EILEEN METZ</t>
  </si>
  <si>
    <t>CHIPMAN, JULIE, LCSW</t>
  </si>
  <si>
    <t>CHIPMAN, JULIE, LCSW-R</t>
  </si>
  <si>
    <t>JCHIPMAN@LIVE.COM</t>
  </si>
  <si>
    <t>CHIPMAN JULIE</t>
  </si>
  <si>
    <t>NIAGARA HOSPICE, INC.</t>
  </si>
  <si>
    <t>E0192023</t>
  </si>
  <si>
    <t>NIAGARA HOSPICE INC</t>
  </si>
  <si>
    <t>CARLO FIGLIOMENI</t>
  </si>
  <si>
    <t>(716) 439-4417</t>
  </si>
  <si>
    <t>CARLO@WNYHEALTHCARE.ORG</t>
  </si>
  <si>
    <t>4675 SUNSET DR</t>
  </si>
  <si>
    <t>SURACE, BARBARA, PNP</t>
  </si>
  <si>
    <t>E0143141</t>
  </si>
  <si>
    <t>SURACE BARBARA ANN</t>
  </si>
  <si>
    <t>(716) 478-4404</t>
  </si>
  <si>
    <t>BSURACE@KALEIDAHEALTH.ORG</t>
  </si>
  <si>
    <t>SURACE BARBARA MRS.</t>
  </si>
  <si>
    <t>ARNOLD, RYAN,</t>
  </si>
  <si>
    <t>E0377975</t>
  </si>
  <si>
    <t>ARNOLD RYAN CHRISTOPHER</t>
  </si>
  <si>
    <t>ARNOLD, RYAN, MD</t>
  </si>
  <si>
    <t>RARNOLD@KALEIDAHEALTH.ORG</t>
  </si>
  <si>
    <t>ARNOLD RYAN</t>
  </si>
  <si>
    <t>240 RED TAIL RD STE 5</t>
  </si>
  <si>
    <t>BORGOGELLI, LYNN, LMSW</t>
  </si>
  <si>
    <t>BORGOGELLIL@SHSWNY.ORG</t>
  </si>
  <si>
    <t>BORGOGELLI LYNN MRS.</t>
  </si>
  <si>
    <t>GATEWOOD, DESSIE,</t>
  </si>
  <si>
    <t>GATEWOOD, DESSIE, RN - HV</t>
  </si>
  <si>
    <t>GATEWOOD DESSIE</t>
  </si>
  <si>
    <t>BARBOUR, LYNLEE,</t>
  </si>
  <si>
    <t>BARBOUR,  LYNLEE, SR COUNSELOR LICENSED</t>
  </si>
  <si>
    <t>BARBOUR LYNLEE</t>
  </si>
  <si>
    <t>KAWINSKI, BOHDAN, MD</t>
  </si>
  <si>
    <t>E0227467</t>
  </si>
  <si>
    <t>KAWINSKI BOHDAN JERZY MD</t>
  </si>
  <si>
    <t>(716) 649-0887</t>
  </si>
  <si>
    <t>BKAWINSKI@KALEIDAHEALTH.ORG</t>
  </si>
  <si>
    <t>KAWINSKI BOHDAN</t>
  </si>
  <si>
    <t>MARTINEZ, ANTHONY, MD</t>
  </si>
  <si>
    <t>E0284152</t>
  </si>
  <si>
    <t>MARTINEZ ANTHONY</t>
  </si>
  <si>
    <t>(716) 859-2202</t>
  </si>
  <si>
    <t>AMARTINEZ@KALEIDAHEALTH.ORG</t>
  </si>
  <si>
    <t>MARTINEZ ANTHONY DR.</t>
  </si>
  <si>
    <t>MARTINEZ ANTHONY DUNNING</t>
  </si>
  <si>
    <t>462 GRIDER STREET</t>
  </si>
  <si>
    <t>DOYLE, CAROLYN,</t>
  </si>
  <si>
    <t>E0061741</t>
  </si>
  <si>
    <t>DOYLE CAROLYN SUE</t>
  </si>
  <si>
    <t>DOYLE, CAROLYN, FNP</t>
  </si>
  <si>
    <t>(716) 859-7528</t>
  </si>
  <si>
    <t>CDOYLE@KALEIDAHEALTH.ORG</t>
  </si>
  <si>
    <t>DOYLE CAROLYN</t>
  </si>
  <si>
    <t>100 HIGH ST E2</t>
  </si>
  <si>
    <t>DEZASTRO, TIMOTHY, MD</t>
  </si>
  <si>
    <t>E0139255</t>
  </si>
  <si>
    <t>DE ZASTRO TIMOTHY G MD</t>
  </si>
  <si>
    <t>DEZASTRO TIMOTHY</t>
  </si>
  <si>
    <t>CZYRNY, JAMES, MD</t>
  </si>
  <si>
    <t>E0215365</t>
  </si>
  <si>
    <t>CZYRNY JAMES J             MD</t>
  </si>
  <si>
    <t>(716) 898-3106</t>
  </si>
  <si>
    <t>JCZYRNY@KALEIDAHEALTH.ORG</t>
  </si>
  <si>
    <t>CZYRNY JAMES</t>
  </si>
  <si>
    <t>WINKELSTEIN, PETER, MD</t>
  </si>
  <si>
    <t>E0153887</t>
  </si>
  <si>
    <t>WINKELSTEIN PETER MD</t>
  </si>
  <si>
    <t>WINKELSTEIN, PETER, MD, MS, MBA</t>
  </si>
  <si>
    <t>PWINKELSTEIN@KALEIDAHEALTH.ORG</t>
  </si>
  <si>
    <t>WINKELSTEIN PETER DR.</t>
  </si>
  <si>
    <t>NORMAN, ALLYN, DO</t>
  </si>
  <si>
    <t>E0210256</t>
  </si>
  <si>
    <t>NORMAN ALLYN MICHAEL       MD</t>
  </si>
  <si>
    <t>(716) 204-4532</t>
  </si>
  <si>
    <t>ANORMAN@KALEIDAHEALTH.ORG</t>
  </si>
  <si>
    <t>NORMAN ALLYN DR.</t>
  </si>
  <si>
    <t>NORMAN ALLYN MICHAEL</t>
  </si>
  <si>
    <t>1825 MAPLE RD</t>
  </si>
  <si>
    <t>BOEPPLE, HARTWIG, MD</t>
  </si>
  <si>
    <t>E0220908</t>
  </si>
  <si>
    <t>BOEPPLE HARTWIG O          MD</t>
  </si>
  <si>
    <t>(716) 631-8863</t>
  </si>
  <si>
    <t>HBOEPPLE@KALEIDAHEALTH.ORG</t>
  </si>
  <si>
    <t>BOEPPLE HARTWIG DR.</t>
  </si>
  <si>
    <t>ELKIN, PETER, MD</t>
  </si>
  <si>
    <t>E0362983</t>
  </si>
  <si>
    <t>ELKIN PETER L</t>
  </si>
  <si>
    <t>(212) 860-3837</t>
  </si>
  <si>
    <t>PELKIN@KALEIDAHEALTH.ORG</t>
  </si>
  <si>
    <t>ELKIN PETER DR.</t>
  </si>
  <si>
    <t>3980 SHERIDAN DR FL 6</t>
  </si>
  <si>
    <t>MOSCATI, RONALD, MD</t>
  </si>
  <si>
    <t>E0146147</t>
  </si>
  <si>
    <t>MOSCATI RONALD MD</t>
  </si>
  <si>
    <t>(716) 898-3478</t>
  </si>
  <si>
    <t>MOSCATI RONALD</t>
  </si>
  <si>
    <t>BURNETT, GEORGE, MD</t>
  </si>
  <si>
    <t>E0217419</t>
  </si>
  <si>
    <t>BURNETT GEORGE J           MD</t>
  </si>
  <si>
    <t>(716) 565-3605</t>
  </si>
  <si>
    <t>GBURNETT@KALEIDAHEALTH.ORG</t>
  </si>
  <si>
    <t>BURNETT GEORGE</t>
  </si>
  <si>
    <t>11 W SPRING ST</t>
  </si>
  <si>
    <t>PALLIATIVE HOME CARE OF NIAGARA, INC.</t>
  </si>
  <si>
    <t>E0328529</t>
  </si>
  <si>
    <t>PALLIATIVE HOME CARE OF NIAGARA INC</t>
  </si>
  <si>
    <t>(716) 215-2085</t>
  </si>
  <si>
    <t>2186 LIBERTY DR</t>
  </si>
  <si>
    <t>HICAR, MARK, MD</t>
  </si>
  <si>
    <t>E0333233</t>
  </si>
  <si>
    <t>HICAR MARK DANIEL</t>
  </si>
  <si>
    <t>HICAR, MARK, MD PHD</t>
  </si>
  <si>
    <t>(615) 322-3573</t>
  </si>
  <si>
    <t>MHICAR@KALEIDAHEALTH.ORG</t>
  </si>
  <si>
    <t>HICAR MARK DR.</t>
  </si>
  <si>
    <t>KANDEL AMATYA, SIRISA, MD</t>
  </si>
  <si>
    <t>E0364105</t>
  </si>
  <si>
    <t>KANDEL AMATYA SIRISA</t>
  </si>
  <si>
    <t>KANDEL-AMATYA, SIRISA, MD</t>
  </si>
  <si>
    <t>(716) 859-3760</t>
  </si>
  <si>
    <t>SKANDELAMATYA@KALEIDAHEALTH.ORG</t>
  </si>
  <si>
    <t>KANDEL AMATYA SIRISA DR.</t>
  </si>
  <si>
    <t>KIJOWSKI, CHRISTOPHER, LCSWR</t>
  </si>
  <si>
    <t>E0297261</t>
  </si>
  <si>
    <t>KIJOWSKI CHRISTOPHE</t>
  </si>
  <si>
    <t>KIJOWSKI, CHRISTOPHER, LCSW</t>
  </si>
  <si>
    <t>C.KIJOWSKI@NWBCHCC.ORG</t>
  </si>
  <si>
    <t>KIJOWSKI CHRISTOPHER</t>
  </si>
  <si>
    <t>KIJOWSKI CHRISTOPHER E.</t>
  </si>
  <si>
    <t>FRUSTINO, JENNIFER, DDSPHD</t>
  </si>
  <si>
    <t>E0313270</t>
  </si>
  <si>
    <t>FRUSTINO JENNIFER LIMINA</t>
  </si>
  <si>
    <t>FRUSTINO, JENNIFER, DDS, PHD</t>
  </si>
  <si>
    <t>(617) 525-8412</t>
  </si>
  <si>
    <t>JFRUSTINO@ECMC.EDU</t>
  </si>
  <si>
    <t>FRUSTINO JENNIFER</t>
  </si>
  <si>
    <t>ECKERT, DHALIAH, ANP</t>
  </si>
  <si>
    <t>E0287989</t>
  </si>
  <si>
    <t>SAFY DHALIAH MARIE</t>
  </si>
  <si>
    <t>(716) 432-5749</t>
  </si>
  <si>
    <t>DECKERT@KALEIDAHEALTH.ORG</t>
  </si>
  <si>
    <t>ECKERT DHALIAH MISS</t>
  </si>
  <si>
    <t>ECKERT DHALIAH MARIE</t>
  </si>
  <si>
    <t>RIVERO, MARIEL, MD</t>
  </si>
  <si>
    <t>E0371998</t>
  </si>
  <si>
    <t>RIVERO MARIEL</t>
  </si>
  <si>
    <t>MRIVERO@KALEIDAHEALTH.ORG</t>
  </si>
  <si>
    <t>SHEPHERD, MARISA, CASAC</t>
  </si>
  <si>
    <t>SHEPHERD,  MARISA, SR. PROGRAM DIRECTOR</t>
  </si>
  <si>
    <t>SHEPHERD MARISA MS.</t>
  </si>
  <si>
    <t>GATEWAY-LONGVIEW, INC</t>
  </si>
  <si>
    <t>E0263549</t>
  </si>
  <si>
    <t>GATEWAY LONGVIEW</t>
  </si>
  <si>
    <t>AL DIRSCHBERGER</t>
  </si>
  <si>
    <t>(716) 883-4531</t>
  </si>
  <si>
    <t>ADIRSCHBERGER@GATEWAY-LONGVIEW.ORG</t>
  </si>
  <si>
    <t>All Other:: Case Management / Health Home:: Mental Health</t>
  </si>
  <si>
    <t>OPER CERT C-116 T10</t>
  </si>
  <si>
    <t>CAPUSON, LISSA, NP</t>
  </si>
  <si>
    <t>E0290975</t>
  </si>
  <si>
    <t>LISSA FRANCES CAPUSON</t>
  </si>
  <si>
    <t>CAPUSON, LISSA, FNP</t>
  </si>
  <si>
    <t>(716) 298-8133</t>
  </si>
  <si>
    <t>LCAPUSON@KALEIDAHEALTH.ORG</t>
  </si>
  <si>
    <t>CAPUSON LISSA MS.</t>
  </si>
  <si>
    <t>CAPUSON LISSA FRANCES NP</t>
  </si>
  <si>
    <t>DAURIA, DANIELLE, MD</t>
  </si>
  <si>
    <t>E0374703</t>
  </si>
  <si>
    <t>DAURIA DANIELLE MARIE</t>
  </si>
  <si>
    <t>(305) 866-9951</t>
  </si>
  <si>
    <t>DDAURIA@KALEIDAHEALTH.ORG</t>
  </si>
  <si>
    <t>DAURIA DANIELLE DR.</t>
  </si>
  <si>
    <t>6932 WILLIAMS RD STE 1700</t>
  </si>
  <si>
    <t>SIEZEGA, ROCHELLE, PA</t>
  </si>
  <si>
    <t>E0364629</t>
  </si>
  <si>
    <t>SIEZEGA ROCHELLE NICOLE</t>
  </si>
  <si>
    <t>RSIEZEGA@KALEIDAHEALTH.ORG</t>
  </si>
  <si>
    <t>SIEZEGA ROCHELLE</t>
  </si>
  <si>
    <t>85 HIGH ST</t>
  </si>
  <si>
    <t>KIRSTEIN, RUTA, ANP</t>
  </si>
  <si>
    <t>E0317661</t>
  </si>
  <si>
    <t>KIRSTEIN RUTA MARIE</t>
  </si>
  <si>
    <t>RUDA, KIRSTEIN ,</t>
  </si>
  <si>
    <t>(716) 543-3255</t>
  </si>
  <si>
    <t>KIRSTEIN RUTA</t>
  </si>
  <si>
    <t>KANALEY, JUSTIN, MD</t>
  </si>
  <si>
    <t>E0022565</t>
  </si>
  <si>
    <t>KANALEY JUSTIN C MD</t>
  </si>
  <si>
    <t>JKANALEY@KALEIDAHEALTH.ORG</t>
  </si>
  <si>
    <t>KANALEY JUSTIN</t>
  </si>
  <si>
    <t>3950 E ROBINSON RD</t>
  </si>
  <si>
    <t>CHMIEL, JAMES, MD</t>
  </si>
  <si>
    <t>E0093566</t>
  </si>
  <si>
    <t>CHMIEL JAMES F MD</t>
  </si>
  <si>
    <t>JCHMIEL@KALEIDAHEALTH.ORG</t>
  </si>
  <si>
    <t>CHMIEL JAMES</t>
  </si>
  <si>
    <t>BURNS, DANIEL, MD</t>
  </si>
  <si>
    <t>E0175345</t>
  </si>
  <si>
    <t>BURNS DANIEL ANTHONY MD</t>
  </si>
  <si>
    <t>(716) 825-1398</t>
  </si>
  <si>
    <t>DBURNS@KALEIDAHEALTH.ORG</t>
  </si>
  <si>
    <t>BURNS DANIEL</t>
  </si>
  <si>
    <t>MILLER, SHARON, NP</t>
  </si>
  <si>
    <t>E0065462</t>
  </si>
  <si>
    <t>MILLER SHARON L</t>
  </si>
  <si>
    <t>MILLER, SHARON, ANP</t>
  </si>
  <si>
    <t>(716) 773-3100</t>
  </si>
  <si>
    <t>SMILLER@KALEIDAHEALTH.ORG</t>
  </si>
  <si>
    <t>MILLER SHARON</t>
  </si>
  <si>
    <t>225 COMO PARK BLVD</t>
  </si>
  <si>
    <t>PURIZHANSKY, POLINA, MD</t>
  </si>
  <si>
    <t>E0150499</t>
  </si>
  <si>
    <t>PURIZHANSKY POLINA MD</t>
  </si>
  <si>
    <t>PPURIZHANSKY@KALEIDAHEALTH.ORG</t>
  </si>
  <si>
    <t>PURIZHANSKY POLINA DR.</t>
  </si>
  <si>
    <t>BERKELHAMER, SARA, MD</t>
  </si>
  <si>
    <t>E0022333</t>
  </si>
  <si>
    <t>BERKELHAMER SARA KAY MD</t>
  </si>
  <si>
    <t>BERKELHAMER , SARA, MD</t>
  </si>
  <si>
    <t>(516) 663-2532</t>
  </si>
  <si>
    <t>SBERKELHAMER@UPA.CHOB.EDU</t>
  </si>
  <si>
    <t>BERKELHAMER SARA</t>
  </si>
  <si>
    <t>BERKELHAMER SARA KAY</t>
  </si>
  <si>
    <t>CAMERON, MELINDA, MD</t>
  </si>
  <si>
    <t>E0180334</t>
  </si>
  <si>
    <t>CAMERON MELINDA S MD</t>
  </si>
  <si>
    <t>CAMERON , MELINDA , MD</t>
  </si>
  <si>
    <t>MCAMERON@UPA.CHOB.EDU</t>
  </si>
  <si>
    <t>CAMERON MELINDA</t>
  </si>
  <si>
    <t>MAHESHWARI, YOGESH, MD</t>
  </si>
  <si>
    <t>E0101969</t>
  </si>
  <si>
    <t>MAHESHWARI YOGESH MD</t>
  </si>
  <si>
    <t>YMAHESHWARI@KALEIDAHEALTH.ORG</t>
  </si>
  <si>
    <t>MAHESHWARI YOGESH</t>
  </si>
  <si>
    <t>GASTRO ASSOC LLP</t>
  </si>
  <si>
    <t>RIGA, PETER, DO</t>
  </si>
  <si>
    <t>E0345197</t>
  </si>
  <si>
    <t>RIGA PETER JOHN</t>
  </si>
  <si>
    <t>(716) 859-1499</t>
  </si>
  <si>
    <t>PRIGA@KALEIDAHEALTH.ORG</t>
  </si>
  <si>
    <t>RIGA PETER DR.</t>
  </si>
  <si>
    <t>PERVEZ, YASMIN, MD</t>
  </si>
  <si>
    <t>E0120482</t>
  </si>
  <si>
    <t>PERVEZ YASMIN MD</t>
  </si>
  <si>
    <t>(716) 692-7156</t>
  </si>
  <si>
    <t>YPERVEZ273@GMAIL.COM</t>
  </si>
  <si>
    <t>PERVEZ YASMIN</t>
  </si>
  <si>
    <t>277 DIVISION ST</t>
  </si>
  <si>
    <t>COMSTOCK, GORDON, MD</t>
  </si>
  <si>
    <t>E0239304</t>
  </si>
  <si>
    <t>COMSTOCK GORDON F</t>
  </si>
  <si>
    <t>(585) 496-5007</t>
  </si>
  <si>
    <t>COMSTOCK GORDON DR.</t>
  </si>
  <si>
    <t>263 LIBERTY ST</t>
  </si>
  <si>
    <t>ARCADE</t>
  </si>
  <si>
    <t>REINER, BRUCE, MD</t>
  </si>
  <si>
    <t>E0310695</t>
  </si>
  <si>
    <t>REINER BRUCE</t>
  </si>
  <si>
    <t>BREINER@KALEIDAHEALTH.ORG</t>
  </si>
  <si>
    <t>REINER BRUCE DR.</t>
  </si>
  <si>
    <t>234 EAST 149TH STREE</t>
  </si>
  <si>
    <t>BRONX</t>
  </si>
  <si>
    <t>HOSPICE BUFFALO, INC.</t>
  </si>
  <si>
    <t>E0204191</t>
  </si>
  <si>
    <t>HOSPICE BUFFALO           INC</t>
  </si>
  <si>
    <t>DR. CHRISTOPHER KERR</t>
  </si>
  <si>
    <t>(716) 686-1900</t>
  </si>
  <si>
    <t>CKERR@PALLIATIVECARE.ORG</t>
  </si>
  <si>
    <t>All Other:: Hospice</t>
  </si>
  <si>
    <t>PCU UNIT</t>
  </si>
  <si>
    <t>CHARY, KANDALA, MD</t>
  </si>
  <si>
    <t>E0238528</t>
  </si>
  <si>
    <t>CHARY KANDALA KRISHNA      MD</t>
  </si>
  <si>
    <t>(716) 565-0355</t>
  </si>
  <si>
    <t>KCHARY@KALEIDAHEALTH.ORG</t>
  </si>
  <si>
    <t>CHARY KANDALA</t>
  </si>
  <si>
    <t>1616 KENSINGTON AVE</t>
  </si>
  <si>
    <t>BOTTICELLI, JACQUELYN, NP</t>
  </si>
  <si>
    <t>E0288452</t>
  </si>
  <si>
    <t>BOTTICELLI JACQUELYN PARKE</t>
  </si>
  <si>
    <t>BOTTICELLI, JACQUELYN , NP</t>
  </si>
  <si>
    <t>JACKI.BOTTICELLI@FAMILYCHOICENY.COM</t>
  </si>
  <si>
    <t>BOTTICELLI JACQUELYN MRS.</t>
  </si>
  <si>
    <t>BOTTICELLI JACQUELYN PARKE NP</t>
  </si>
  <si>
    <t>2875 UNION RD STE 8</t>
  </si>
  <si>
    <t>DYSON, KATHLEEN, MD</t>
  </si>
  <si>
    <t>E0072772</t>
  </si>
  <si>
    <t>DYSON KATHLEEN MARIE MD</t>
  </si>
  <si>
    <t>DYSON-BUDZINSKI, KATHLEEN, MD</t>
  </si>
  <si>
    <t>(716) 662-2300</t>
  </si>
  <si>
    <t>KDYSONBUDZINSKI@KALEIDAHEALTH.ORG</t>
  </si>
  <si>
    <t>DYSON KATHLEEN</t>
  </si>
  <si>
    <t>3725 N BUFFALO ST</t>
  </si>
  <si>
    <t>EHS, INC.</t>
  </si>
  <si>
    <t>E0128886</t>
  </si>
  <si>
    <t>AIDS COMMUNITY SER WNY</t>
  </si>
  <si>
    <t>(716) 847-0212</t>
  </si>
  <si>
    <t>All Other:: Case Management / Health Home:: Clinic:: Substance Abuse</t>
  </si>
  <si>
    <t>EHS, INC</t>
  </si>
  <si>
    <t>206 S ELMWOOD AVE</t>
  </si>
  <si>
    <t>SHUTTS, GREGG, PA</t>
  </si>
  <si>
    <t>E0110683</t>
  </si>
  <si>
    <t>SHUTTS GREGG LINCOLN</t>
  </si>
  <si>
    <t>G.SHUTTS@NWBCHCC.ORG</t>
  </si>
  <si>
    <t>SHUTTS GREGG MR.</t>
  </si>
  <si>
    <t>155 LAWN AVENUE</t>
  </si>
  <si>
    <t>LANCE, NANCY, RPAC</t>
  </si>
  <si>
    <t>E0359459</t>
  </si>
  <si>
    <t>LANCE NANCY MORDAN</t>
  </si>
  <si>
    <t>LANCE NANCY</t>
  </si>
  <si>
    <t>(716) 549-5690</t>
  </si>
  <si>
    <t>10988 BENNETT STATE RD</t>
  </si>
  <si>
    <t>FORESTVILLE</t>
  </si>
  <si>
    <t>SANTA MARIA, MICHAEL, PHD</t>
  </si>
  <si>
    <t>E0081421</t>
  </si>
  <si>
    <t>SANTA MARIA MICHAEL PHILLIP</t>
  </si>
  <si>
    <t>(716) 690-2560</t>
  </si>
  <si>
    <t>MSANTAMARIA@KALEIDAHEALTH.ORG</t>
  </si>
  <si>
    <t>SANTA MARIA MICHAEL DR.</t>
  </si>
  <si>
    <t>BECK, HIROKO, MD</t>
  </si>
  <si>
    <t>E0347487</t>
  </si>
  <si>
    <t>BECK HIROKO</t>
  </si>
  <si>
    <t>(716) 888-4749</t>
  </si>
  <si>
    <t>HBECK@KALEIDAHEALTH.ORG</t>
  </si>
  <si>
    <t>FACKLAM, ARNOLD,</t>
  </si>
  <si>
    <t>E0290229</t>
  </si>
  <si>
    <t>ARNOLD WILLIAM FACKLAM III</t>
  </si>
  <si>
    <t>FACKLAM, ARNOLD, FNP</t>
  </si>
  <si>
    <t>(585) 275-9555</t>
  </si>
  <si>
    <t>AFACKLAM@KALEIDAHEALTH.ORG</t>
  </si>
  <si>
    <t>FACKLAM ARNOLD MR.</t>
  </si>
  <si>
    <t>FACKLAM ARNOLD WILLIAM III</t>
  </si>
  <si>
    <t>601 ELMWOOD AVE</t>
  </si>
  <si>
    <t>ROCHESTER</t>
  </si>
  <si>
    <t>BURRUANO, JAMES, DPM</t>
  </si>
  <si>
    <t>E0180030</t>
  </si>
  <si>
    <t>BURRUANO JAMES C  DPM</t>
  </si>
  <si>
    <t>(716) 874-5540</t>
  </si>
  <si>
    <t>J.BURRUANO@NWBCHCC.ORG</t>
  </si>
  <si>
    <t>BURRUANO JAMES DR.</t>
  </si>
  <si>
    <t>4459 BAILEY AVENUE OPERATING COMPANY LLC</t>
  </si>
  <si>
    <t>E0372254</t>
  </si>
  <si>
    <t>4459 BAILEY AVE OPERATING CO LLC</t>
  </si>
  <si>
    <t>LARRY PISELLI</t>
  </si>
  <si>
    <t>(908) 236-8712</t>
  </si>
  <si>
    <t>LPISELLI@ELDERWOOD.COM</t>
  </si>
  <si>
    <t>4459 BAILEY AVE</t>
  </si>
  <si>
    <t>BROGAN, MICHAEL, PA</t>
  </si>
  <si>
    <t>E0325345</t>
  </si>
  <si>
    <t>BROGAN MICHAEL M</t>
  </si>
  <si>
    <t>BROGAN , MICHAEL, PA</t>
  </si>
  <si>
    <t>MBROGAN@UPA.CHOB.EDU</t>
  </si>
  <si>
    <t>BROGAN MICHAEL</t>
  </si>
  <si>
    <t>DICARA, NICOLE,</t>
  </si>
  <si>
    <t>DICARA, NICOLE, LCSWP</t>
  </si>
  <si>
    <t>DICARA NICOLE</t>
  </si>
  <si>
    <t>5360 GENESEE ST</t>
  </si>
  <si>
    <t>BOWMANSVILLE</t>
  </si>
  <si>
    <t>SHAH, SUMERA, MD</t>
  </si>
  <si>
    <t>E0308545</t>
  </si>
  <si>
    <t>SHAH SUMERA</t>
  </si>
  <si>
    <t>RYAN, SHAVAWN, PA</t>
  </si>
  <si>
    <t>E0371767</t>
  </si>
  <si>
    <t>RYAN SHAVAWN</t>
  </si>
  <si>
    <t>(740) 450-6147</t>
  </si>
  <si>
    <t>SRYAN2@KALEIDAHEALTH.ORG</t>
  </si>
  <si>
    <t>RYAN SHAVAWN KELLY</t>
  </si>
  <si>
    <t>FOY, CRYSTAL, MSED</t>
  </si>
  <si>
    <t>FOY, CRYSTAL,</t>
  </si>
  <si>
    <t>(716) 896-7350</t>
  </si>
  <si>
    <t>FOY CRYSTAL MS.</t>
  </si>
  <si>
    <t>1526 WALDEN AVENUE, SUITE 400</t>
  </si>
  <si>
    <t>LEE, TAT SUM, MD</t>
  </si>
  <si>
    <t>E0239611</t>
  </si>
  <si>
    <t>LEE TAT SUM                MD</t>
  </si>
  <si>
    <t>LEE TAT SUM DR.</t>
  </si>
  <si>
    <t>(716) 363-2233</t>
  </si>
  <si>
    <t>LEE TAT- SUM DR.</t>
  </si>
  <si>
    <t>LEE TAT SUM</t>
  </si>
  <si>
    <t>TRACY, JERRY,</t>
  </si>
  <si>
    <t>E0068315</t>
  </si>
  <si>
    <t>TRACY JERRY JOSEPH III MD</t>
  </si>
  <si>
    <t>TRACY, JERRY, MD</t>
  </si>
  <si>
    <t>(716) 626-9900</t>
  </si>
  <si>
    <t>JTRACY2@KALEIDAHEALTH.ORG</t>
  </si>
  <si>
    <t>TRACY JERRY DR.</t>
  </si>
  <si>
    <t>STE 220</t>
  </si>
  <si>
    <t>LANGAN, MARSHA, PNP</t>
  </si>
  <si>
    <t>E0103419</t>
  </si>
  <si>
    <t>LANGAN MARSHA</t>
  </si>
  <si>
    <t>LANGAN , MARSHA   , NP</t>
  </si>
  <si>
    <t>MLAGAN@UPA.CHOB.EDU</t>
  </si>
  <si>
    <t>ERK, SUSAN, DO</t>
  </si>
  <si>
    <t>E0180494</t>
  </si>
  <si>
    <t>ERK SUSAN CATHERINE MD</t>
  </si>
  <si>
    <t>(716) 631-8212</t>
  </si>
  <si>
    <t>SERK@KALEIDAHEALTH.ORG</t>
  </si>
  <si>
    <t>ERK SUSAN DR.</t>
  </si>
  <si>
    <t>1835 MAPLE RD</t>
  </si>
  <si>
    <t>TURKOVICH, STEPHEN, MD</t>
  </si>
  <si>
    <t>E0024548</t>
  </si>
  <si>
    <t>TURKOVICH STEPHEN J MD</t>
  </si>
  <si>
    <t>TURKOVICH , STEPHEN , MD</t>
  </si>
  <si>
    <t>STURKOVICH@UPA.CHOB.EDU</t>
  </si>
  <si>
    <t>TURKOVICH STEPHEN</t>
  </si>
  <si>
    <t>TOMASZEWSKI, JOHN, MD</t>
  </si>
  <si>
    <t>E0331642</t>
  </si>
  <si>
    <t>TOMASZEWSKI JOHN</t>
  </si>
  <si>
    <t>JTOMASZEWSKI@KALEIDAHEALTH.ORG</t>
  </si>
  <si>
    <t>HARMON, CARROLL, MD</t>
  </si>
  <si>
    <t>E0368532</t>
  </si>
  <si>
    <t>HARMON CARROLL MCWILLIAMS</t>
  </si>
  <si>
    <t>(205) 731-9701</t>
  </si>
  <si>
    <t>CHARMON@KALEIDAHEALTH.ORG</t>
  </si>
  <si>
    <t>HARMON CARROLL</t>
  </si>
  <si>
    <t>LUZI, LORI, MD</t>
  </si>
  <si>
    <t>E0158591</t>
  </si>
  <si>
    <t>LUZI LORI MD</t>
  </si>
  <si>
    <t>AMANDA GLOWACKI, PRACTICE MANAGER</t>
  </si>
  <si>
    <t>(716) 636-7979</t>
  </si>
  <si>
    <t>AGLOWACKI@HIGHGATEMEDICAL.COM</t>
  </si>
  <si>
    <t>LUZI LORI DR.</t>
  </si>
  <si>
    <t>HIGHGATE MEDICAL GRP</t>
  </si>
  <si>
    <t>CONDINO, DALINDA, MD</t>
  </si>
  <si>
    <t>E0158302</t>
  </si>
  <si>
    <t>CONDINO DALINDA A MD</t>
  </si>
  <si>
    <t>CONDINO,  DALINDA  , MD</t>
  </si>
  <si>
    <t>DCONDINO@UPA.CHOB.EDU</t>
  </si>
  <si>
    <t>CONDINO DALINDA DR.</t>
  </si>
  <si>
    <t>CALIGIURI, THERESE, MD</t>
  </si>
  <si>
    <t>E0083551</t>
  </si>
  <si>
    <t>CALIGIURI THERESE MARIE MD</t>
  </si>
  <si>
    <t>(716) 688-1277</t>
  </si>
  <si>
    <t>TCALIGIURI@KALEIDAHEALTH.ORG</t>
  </si>
  <si>
    <t>CALIGIURI THERESE</t>
  </si>
  <si>
    <t>MILLARD FILLMORE SUB</t>
  </si>
  <si>
    <t>NEWALL, JANET, MSNC</t>
  </si>
  <si>
    <t>E0026849</t>
  </si>
  <si>
    <t>NEWALL JANET FAY CNM</t>
  </si>
  <si>
    <t>NEWALL, JANET, WHNP</t>
  </si>
  <si>
    <t>JNEWALL2@KALEIDAHEALTH.ORG</t>
  </si>
  <si>
    <t>NEWALL JANET MRS.</t>
  </si>
  <si>
    <t>600 FITCH ST</t>
  </si>
  <si>
    <t>ELMIRA</t>
  </si>
  <si>
    <t>GERBASI, THOMAS, MD</t>
  </si>
  <si>
    <t>E0240992</t>
  </si>
  <si>
    <t>GERBASI THOMAS R MD        PC</t>
  </si>
  <si>
    <t>(716) 297-0052</t>
  </si>
  <si>
    <t>TGERBASI@KALEIDAHEALTH.ORG</t>
  </si>
  <si>
    <t>GERBASI THOMAS MR.</t>
  </si>
  <si>
    <t>GERBASI THOMAS R</t>
  </si>
  <si>
    <t>MILLER, PAULA, RPAC</t>
  </si>
  <si>
    <t>E0030159</t>
  </si>
  <si>
    <t>MILLER PAULA M RPA</t>
  </si>
  <si>
    <t>MILLER, PAULA, PA-C</t>
  </si>
  <si>
    <t>PMILLER3@KALEIDAHEALTH.ORG</t>
  </si>
  <si>
    <t>MILLER PAULA</t>
  </si>
  <si>
    <t>550 ORCHARD PARK RD STE A103</t>
  </si>
  <si>
    <t>GUYETT, LANCE, ACNP</t>
  </si>
  <si>
    <t>E0033792</t>
  </si>
  <si>
    <t>GUYETT LANCE CHRISTOPHER</t>
  </si>
  <si>
    <t>LGUYETT2@KALEIDAHEALTH.ORG</t>
  </si>
  <si>
    <t>GUYETT LANCE</t>
  </si>
  <si>
    <t>6460 MAIN ST</t>
  </si>
  <si>
    <t>CONNELLY, LARA, MSRPAC</t>
  </si>
  <si>
    <t>E0383671</t>
  </si>
  <si>
    <t>CONNELLY LARA</t>
  </si>
  <si>
    <t>CONNELLY, LARA, PA</t>
  </si>
  <si>
    <t>(716) 523-2090</t>
  </si>
  <si>
    <t>LCONNELLY@KALEIDAHEALTH.ORG</t>
  </si>
  <si>
    <t>CONNELLY LARA MRS.</t>
  </si>
  <si>
    <t>CONNELLY LARA A</t>
  </si>
  <si>
    <t>GOMEZ, JORGE, MD</t>
  </si>
  <si>
    <t>E0188781</t>
  </si>
  <si>
    <t>GOMEZ SUESCUN JORGE A MD</t>
  </si>
  <si>
    <t>GOMEZ, SUESCUN, MD</t>
  </si>
  <si>
    <t>SGOMEZ@KALEIDAHEALTH.ORG</t>
  </si>
  <si>
    <t>GOMEZ JORGE</t>
  </si>
  <si>
    <t>MERCY HOSP RAD THERP</t>
  </si>
  <si>
    <t>ROCKVILLE CENTRE</t>
  </si>
  <si>
    <t>MASON, PAUL, MD</t>
  </si>
  <si>
    <t>E0057870</t>
  </si>
  <si>
    <t>MASON PAUL J</t>
  </si>
  <si>
    <t>PMASON3@KALEIDAHEALTH.ORG</t>
  </si>
  <si>
    <t>MASON PAUL DR.</t>
  </si>
  <si>
    <t>ALTMAN, DAVID, MD</t>
  </si>
  <si>
    <t>E0072788</t>
  </si>
  <si>
    <t>ALTMAN DAVID</t>
  </si>
  <si>
    <t>(716) 810-0610</t>
  </si>
  <si>
    <t>DALTMAN@KALEIDAHEALTH.ORG</t>
  </si>
  <si>
    <t>ESSEX, STACY, LCSWR</t>
  </si>
  <si>
    <t>E0367915</t>
  </si>
  <si>
    <t>ESSEX STACY BETH</t>
  </si>
  <si>
    <t>ESSEX,  STACY, LCSW-R</t>
  </si>
  <si>
    <t>SESSEX@CATSWNY.ORG</t>
  </si>
  <si>
    <t>ESSEX STACY MS.</t>
  </si>
  <si>
    <t>WEBB, MARY, LCSWR</t>
  </si>
  <si>
    <t>E0060167</t>
  </si>
  <si>
    <t>WEBB MARY</t>
  </si>
  <si>
    <t>WEBB, MARY, LCSW-R</t>
  </si>
  <si>
    <t>(716) 278-1940</t>
  </si>
  <si>
    <t>MARY.WEBB@NIAGARACOUNTY.COM</t>
  </si>
  <si>
    <t>WEBB MARY MRS.</t>
  </si>
  <si>
    <t>WEBB MARY C</t>
  </si>
  <si>
    <t>1001 11TH ST FL 2</t>
  </si>
  <si>
    <t>GENGO, FRANCIS, PHARMAD</t>
  </si>
  <si>
    <t>GENGO, FRANCIS, PHARMACIST</t>
  </si>
  <si>
    <t>FGENGO@KALEIDAHEALTH.ORG</t>
  </si>
  <si>
    <t>GENGO FRANCIS</t>
  </si>
  <si>
    <t>3980 SHERIDAN DR, SUITE 200</t>
  </si>
  <si>
    <t>HOLYNSKI, CAMILLE, ANPC</t>
  </si>
  <si>
    <t>E0044232</t>
  </si>
  <si>
    <t>HOLYNSKI CAMILLE</t>
  </si>
  <si>
    <t>HOLYNSKI, CAMILLE, NP</t>
  </si>
  <si>
    <t>(716) 449-6022</t>
  </si>
  <si>
    <t>CAMILLE.HOLYNSKI@FAMILYCHOICENY.COM</t>
  </si>
  <si>
    <t>76 BUFFALO ST</t>
  </si>
  <si>
    <t>HAMBURG</t>
  </si>
  <si>
    <t>SALMAN, NAJMUL, MD</t>
  </si>
  <si>
    <t>(601) 984-5200</t>
  </si>
  <si>
    <t>NSALMAN@KALEIDAHEALTH.ORG</t>
  </si>
  <si>
    <t>SALMAN NAJMUL DR.</t>
  </si>
  <si>
    <t>2500 N STATE ST</t>
  </si>
  <si>
    <t>JACKSON</t>
  </si>
  <si>
    <t>MS</t>
  </si>
  <si>
    <t>BALIAH, TADLA, MD</t>
  </si>
  <si>
    <t>E0250621</t>
  </si>
  <si>
    <t>BALIAH TADLA               MD</t>
  </si>
  <si>
    <t>(716) 837-3484</t>
  </si>
  <si>
    <t>TBALIAH@KALEIDAHEALTH.ORG</t>
  </si>
  <si>
    <t>BALIAH TADLA DR.</t>
  </si>
  <si>
    <t>ROEHMHOLDT, SHELIAH, MD</t>
  </si>
  <si>
    <t>E0153074</t>
  </si>
  <si>
    <t>ROEHMHOLDT SHELIAH J MD</t>
  </si>
  <si>
    <t>(716) 633-6988</t>
  </si>
  <si>
    <t>SROEHMHOLDT@KALEIDAHEALTH.ORG</t>
  </si>
  <si>
    <t>ROEHMHOLDT SHELIAH DR.</t>
  </si>
  <si>
    <t>DIVAN, NITA, MD</t>
  </si>
  <si>
    <t>E0134305</t>
  </si>
  <si>
    <t>DIVAN NITA KUMARI MD</t>
  </si>
  <si>
    <t>(716) 688-7344</t>
  </si>
  <si>
    <t>NDIVAN@KALEIDAHEALTH.ORG</t>
  </si>
  <si>
    <t>DIVAN NITA DR.</t>
  </si>
  <si>
    <t>WANG, EUNICE, MD</t>
  </si>
  <si>
    <t>E0056930</t>
  </si>
  <si>
    <t>WANG EUNICE SUE MD</t>
  </si>
  <si>
    <t>EWANG@KALEIDAHEALTH.ORG</t>
  </si>
  <si>
    <t>WANG EUNICE</t>
  </si>
  <si>
    <t>EDELSON, JONATHAN, MD</t>
  </si>
  <si>
    <t>E0034270</t>
  </si>
  <si>
    <t>EDELSON JONATHAN MD</t>
  </si>
  <si>
    <t>JEDELSON@KALEIDAHEALTH.ORG</t>
  </si>
  <si>
    <t>EDELSON JONATHAN DR.</t>
  </si>
  <si>
    <t>EDELSON JONATHAN S</t>
  </si>
  <si>
    <t>2605 HARLEM RD</t>
  </si>
  <si>
    <t>PERELSTEIN, DAVID, DPM</t>
  </si>
  <si>
    <t>E0182168</t>
  </si>
  <si>
    <t>PERELSTEIN DAVID MICHAEL DPM</t>
  </si>
  <si>
    <t>DPERELSTEIN@KALEIDAHEALTH.ORG</t>
  </si>
  <si>
    <t>PERELSTEIN DAVID DR.</t>
  </si>
  <si>
    <t>3475 GENESEE ST</t>
  </si>
  <si>
    <t>SYMONS, ANDREW, MDMS</t>
  </si>
  <si>
    <t>E0033170</t>
  </si>
  <si>
    <t>SYMONS ANDREW B  MD</t>
  </si>
  <si>
    <t>SYMONS, ANDREW, MD</t>
  </si>
  <si>
    <t>(716) 898-6206</t>
  </si>
  <si>
    <t>ASYMONS@KALEIDAHEALTH.ORG</t>
  </si>
  <si>
    <t>SYMONS ANDREW DR.</t>
  </si>
  <si>
    <t>3680 EGGERT RD</t>
  </si>
  <si>
    <t>NICOSIA, BETHANN, LPN</t>
  </si>
  <si>
    <t>E0361238</t>
  </si>
  <si>
    <t>NICOSIA BETHANN R</t>
  </si>
  <si>
    <t>NICOSIAB@SHSWNY.ORG</t>
  </si>
  <si>
    <t>NICOSIA BETHANN</t>
  </si>
  <si>
    <t>NICOSIA BETHANN ROSE</t>
  </si>
  <si>
    <t>1235 MAIN ST</t>
  </si>
  <si>
    <t>STUBENBORD, JOHN, MD</t>
  </si>
  <si>
    <t>E0215401</t>
  </si>
  <si>
    <t>STUBENBORD JOHN C          MD</t>
  </si>
  <si>
    <t>(716) 655-0024</t>
  </si>
  <si>
    <t>JSTUBENBORD@KALEIDAHEALTH.ORG</t>
  </si>
  <si>
    <t>STUBENBORD JOHN DR.</t>
  </si>
  <si>
    <t>19 CENTER ST</t>
  </si>
  <si>
    <t>EAST AURORA</t>
  </si>
  <si>
    <t>GYVES-RAY, KATHERINE, MD</t>
  </si>
  <si>
    <t>E0293005</t>
  </si>
  <si>
    <t>GYVES-RAY KATHERRINE</t>
  </si>
  <si>
    <t>(330) 655-1874</t>
  </si>
  <si>
    <t>KGYVESRAY@KALEIDAHEALTH.ORG</t>
  </si>
  <si>
    <t>GYVES-RAY KATHERINE</t>
  </si>
  <si>
    <t>GYVES-RAY KATHERRINE MD</t>
  </si>
  <si>
    <t>ZIMMERMANN, ANNMARIE, MD</t>
  </si>
  <si>
    <t>E0117579</t>
  </si>
  <si>
    <t>ZIMMERMANN ANNMARIE MD</t>
  </si>
  <si>
    <t>ZIMMERMANN ANNMARIE</t>
  </si>
  <si>
    <t>135 N UNION ST</t>
  </si>
  <si>
    <t>LANGAN, THOMAS, MD</t>
  </si>
  <si>
    <t>E0203012</t>
  </si>
  <si>
    <t>LANGAN THOMAS J            MD</t>
  </si>
  <si>
    <t>(716) 878-7848</t>
  </si>
  <si>
    <t>TLANGAN@KALEIDAHEALTH.ORG</t>
  </si>
  <si>
    <t>LANGAN THOMAS</t>
  </si>
  <si>
    <t>MCAULIFFE, BETTYJO, RPAC</t>
  </si>
  <si>
    <t>E0094129</t>
  </si>
  <si>
    <t>MC AULIFFE BETTY JO</t>
  </si>
  <si>
    <t>MCAULIFFE, BETTY JO, PA</t>
  </si>
  <si>
    <t>BMCAULIFFE@KALEIDAHEALTH.ORG</t>
  </si>
  <si>
    <t>MCAULIFFE BETTYJO</t>
  </si>
  <si>
    <t>5305 MAIN ST</t>
  </si>
  <si>
    <t>MCDONNELL, KEVIN, MD</t>
  </si>
  <si>
    <t>E0047106</t>
  </si>
  <si>
    <t>MCDONNELL KEVIN M MD</t>
  </si>
  <si>
    <t>KMCDONNELL@KALEIDAHEALTH.ORG</t>
  </si>
  <si>
    <t>MCDONNELL KEVIN DR.</t>
  </si>
  <si>
    <t>3307 9TH AVENUE CT NW</t>
  </si>
  <si>
    <t>GIG HARBOR</t>
  </si>
  <si>
    <t>WA</t>
  </si>
  <si>
    <t>LE, NGA, MD</t>
  </si>
  <si>
    <t>E0143630</t>
  </si>
  <si>
    <t>LE NGA THI THANH MD</t>
  </si>
  <si>
    <t>NLE@KALEIDAHEALTH.ORG</t>
  </si>
  <si>
    <t>LE NGA</t>
  </si>
  <si>
    <t>LE NGA THI THANH</t>
  </si>
  <si>
    <t>AMHERST PED ASSOC</t>
  </si>
  <si>
    <t>KRABAK, MICHAEL, MD</t>
  </si>
  <si>
    <t>E0087162</t>
  </si>
  <si>
    <t>KRABAK MICHAEL J MD</t>
  </si>
  <si>
    <t>MKRABAK@KALEIDAHEALTH.ORG</t>
  </si>
  <si>
    <t>KRABAK MICHAEL</t>
  </si>
  <si>
    <t>CENTURY MED ASSOC PC</t>
  </si>
  <si>
    <t>KURTZ, KATHY, FNP</t>
  </si>
  <si>
    <t>E0065567</t>
  </si>
  <si>
    <t>KURTZ KATHY ANNE</t>
  </si>
  <si>
    <t>KKURTZ@KALEIDAHEALTH.ORG</t>
  </si>
  <si>
    <t>KURTZ KATHY</t>
  </si>
  <si>
    <t>SANTALUCIA, PETER, MD</t>
  </si>
  <si>
    <t>E0115716</t>
  </si>
  <si>
    <t>SANTALUCIA PETER</t>
  </si>
  <si>
    <t>SANTA LUCIA, PETER, MD</t>
  </si>
  <si>
    <t>(716) 648-2770</t>
  </si>
  <si>
    <t>PSANTALUCIA@KALEIDAHEALTH.ORG</t>
  </si>
  <si>
    <t>RAJCZAK, SUSAN, ANP</t>
  </si>
  <si>
    <t>E0114307</t>
  </si>
  <si>
    <t>RAJCZAK SUSAN CHRISTINE</t>
  </si>
  <si>
    <t>SRAJCZAK@KALEIDAHEALTH.ORG</t>
  </si>
  <si>
    <t>RAJCZAK SUSAN</t>
  </si>
  <si>
    <t>100 HIGH ST DEPT. C-368</t>
  </si>
  <si>
    <t>Spitale, Marion, Chautauqua County Chapter NYSARC Inc/dba The Resource Center</t>
  </si>
  <si>
    <t>Denise R. Jones</t>
  </si>
  <si>
    <t>(716) 661-1093</t>
  </si>
  <si>
    <t>heather.brown@resourcecenter.org</t>
  </si>
  <si>
    <t>SPITALE MARIAN</t>
  </si>
  <si>
    <t>75 JONES AND GIFFORD AVE</t>
  </si>
  <si>
    <t>Stroth, Cassandra, Chautauqua County Chapter NYSARC Inc/dba The Resource Center</t>
  </si>
  <si>
    <t>(716) 661-1094</t>
  </si>
  <si>
    <t>STROTH CASSANDRA</t>
  </si>
  <si>
    <t>200 DUNHAM AVE</t>
  </si>
  <si>
    <t>Theisen, Timothy, Chautauqua County Chapter NYSARC Inc/dba The Resource Center</t>
  </si>
  <si>
    <t>E0350451</t>
  </si>
  <si>
    <t>THEISEN TIMOTHY</t>
  </si>
  <si>
    <t>(716) 661-1095</t>
  </si>
  <si>
    <t>THEISEN TIMOTHY MR.</t>
  </si>
  <si>
    <t>Greater Buffalo United Ministries LLC</t>
  </si>
  <si>
    <t>Kinzer Pointer</t>
  </si>
  <si>
    <t>(716) 362-3111</t>
  </si>
  <si>
    <t>mail@grumbuffalo.org</t>
  </si>
  <si>
    <t>CBO</t>
  </si>
  <si>
    <t>70 Niagara Street</t>
  </si>
  <si>
    <t>Buffalo</t>
  </si>
  <si>
    <t>No NPI or MMIS</t>
  </si>
  <si>
    <t xml:space="preserve">Asamblea de Iglesias Cristianas, Inc. </t>
  </si>
  <si>
    <t>Pastor Samuel Rivera</t>
  </si>
  <si>
    <t>(716) 824-2850</t>
  </si>
  <si>
    <t xml:space="preserve">213 Ontario Street </t>
  </si>
  <si>
    <t xml:space="preserve">Ascending Baptist Church, Inc. </t>
  </si>
  <si>
    <t>Pastor Bruce R. Burton</t>
  </si>
  <si>
    <t>(716) 886-0768</t>
  </si>
  <si>
    <t>302 North Hampton Street</t>
  </si>
  <si>
    <t xml:space="preserve">Bethel Mrican Methodist Episcopal Church, Inc. </t>
  </si>
  <si>
    <t>Pastor Richard Allen Stenhouse</t>
  </si>
  <si>
    <t>(716) 886-1650</t>
  </si>
  <si>
    <t>1525 Michigan Avenue</t>
  </si>
  <si>
    <t>Bethesda World Harvest International Church, Inc.</t>
  </si>
  <si>
    <t>Pastor Michael Badger</t>
  </si>
  <si>
    <t>(716) 884-3607</t>
  </si>
  <si>
    <t>1365 Main Street</t>
  </si>
  <si>
    <t xml:space="preserve">Bethlehem Baptist Church, Inc. </t>
  </si>
  <si>
    <t xml:space="preserve"> Pastor John Elliott, Sr.</t>
  </si>
  <si>
    <t>(716) 896-9010</t>
  </si>
  <si>
    <t>165 Doat Street</t>
  </si>
  <si>
    <t xml:space="preserve">Calvary Baptist Church, Inc.  </t>
  </si>
  <si>
    <t>Pastor Quinton Chad Foster, Sr.</t>
  </si>
  <si>
    <t>(716) 895-3642</t>
  </si>
  <si>
    <t>1184 Genesee Street</t>
  </si>
  <si>
    <t xml:space="preserve">Cold Spring Bible Chapel, Inc. </t>
  </si>
  <si>
    <t>Pastor Kenneth Simmons</t>
  </si>
  <si>
    <t>(716) 883-8073</t>
  </si>
  <si>
    <t>100 Northland Avenue</t>
  </si>
  <si>
    <t xml:space="preserve">Delaine-Waring African Methodist Episcopal Church, Inc. </t>
  </si>
  <si>
    <t xml:space="preserve"> Pastor Gregory P. Nelson</t>
  </si>
  <si>
    <t>(716) 842-6747</t>
  </si>
  <si>
    <t>680 Swan Street</t>
  </si>
  <si>
    <t xml:space="preserve">Delaware Avenue Baptist Church, Inc. </t>
  </si>
  <si>
    <t>Pastor Michael J. Robinson</t>
  </si>
  <si>
    <t>(716) 884-0070</t>
  </si>
  <si>
    <t>965 Delaware Avenue</t>
  </si>
  <si>
    <t xml:space="preserve">Ebenezer Baptist Church, Inc. </t>
  </si>
  <si>
    <t xml:space="preserve"> Pastor Wendell Hamner, Sr</t>
  </si>
  <si>
    <t>(716) 822-68579</t>
  </si>
  <si>
    <t>195 Ridge Road</t>
  </si>
  <si>
    <t>Lackawana</t>
  </si>
  <si>
    <t xml:space="preserve">Edison Street Community Church, Inc: </t>
  </si>
  <si>
    <t>Pastor Ted Howard</t>
  </si>
  <si>
    <t>(716) 895-8337</t>
  </si>
  <si>
    <t>28 Edison Street</t>
  </si>
  <si>
    <t xml:space="preserve">Elim Christian Fellowship, Inc. </t>
  </si>
  <si>
    <t>Pastor T. Anthony Bronner</t>
  </si>
  <si>
    <t>(716) 832-7698</t>
  </si>
  <si>
    <t>70 Chalmers Avenue</t>
  </si>
  <si>
    <t>Ephesus Ministries, Inc.</t>
  </si>
  <si>
    <t>Pastor Jeff Carter</t>
  </si>
  <si>
    <t>(716) 464-3640</t>
  </si>
  <si>
    <t>80 Durham Avenue</t>
  </si>
  <si>
    <t xml:space="preserve">Evangelistic Temple Community Church, Inc. </t>
  </si>
  <si>
    <t>Pastor George DuBois</t>
  </si>
  <si>
    <t>(716) 882-1432</t>
  </si>
  <si>
    <t>92 Hedley Place</t>
  </si>
  <si>
    <t xml:space="preserve">Fillmore Community Church SBC, Inc. </t>
  </si>
  <si>
    <t>Pastor Brian D. Robinson</t>
  </si>
  <si>
    <t>(716) 896-6295</t>
  </si>
  <si>
    <t>821 Filmore Avenue</t>
  </si>
  <si>
    <t>First Baptist Church, Inc.</t>
  </si>
  <si>
    <t>Pastor Michael Woods</t>
  </si>
  <si>
    <t>(716) 939-2533</t>
  </si>
  <si>
    <t>320 Ingram Avenue</t>
  </si>
  <si>
    <t xml:space="preserve">First Centennial Baptist Church, Inc. </t>
  </si>
  <si>
    <t>Pastor Alan R. Core</t>
  </si>
  <si>
    <t>(716) 884-7925</t>
  </si>
  <si>
    <t>273 High Street</t>
  </si>
  <si>
    <t>First Shiloh Baptist Church, Inc.</t>
  </si>
  <si>
    <t xml:space="preserve"> Pastor Jonathan Staples</t>
  </si>
  <si>
    <t>(716) 847-6555</t>
  </si>
  <si>
    <t>15 Pine Street</t>
  </si>
  <si>
    <t xml:space="preserve">Friendship Baptist Church, Inc. </t>
  </si>
  <si>
    <t>Pastor Edward Jackson</t>
  </si>
  <si>
    <t>(716) 847-1020</t>
  </si>
  <si>
    <t>402 Clinton Street</t>
  </si>
  <si>
    <t xml:space="preserve">Greater Love Fellowship, Inc. </t>
  </si>
  <si>
    <t>Pastor George Herring</t>
  </si>
  <si>
    <t>(716) 597-0360</t>
  </si>
  <si>
    <t>2205 Genesee Street</t>
  </si>
  <si>
    <t>Greater Saint Matthew Baptist Church, Inc.</t>
  </si>
  <si>
    <t>Pastor Carl A. Hill</t>
  </si>
  <si>
    <t>(716) 855-3746</t>
  </si>
  <si>
    <t>450 William Street</t>
  </si>
  <si>
    <t xml:space="preserve">Greater? Works Christian Fellowship, Inc. </t>
  </si>
  <si>
    <t>Pastor L. Darnell Donalson</t>
  </si>
  <si>
    <t>(716) 887-2303</t>
  </si>
  <si>
    <t>210 South Hampton</t>
  </si>
  <si>
    <t>Humboldt Parkway Baptist Church, Inc.</t>
  </si>
  <si>
    <t>Pastor John T. Hilliard</t>
  </si>
  <si>
    <t>(716) 896-4363</t>
  </si>
  <si>
    <t>790 Humbolt Parkway</t>
  </si>
  <si>
    <t xml:space="preserve">Iglesia Cristiana Principe de Paz </t>
  </si>
  <si>
    <t>Pastor Angel Gauthier</t>
  </si>
  <si>
    <t>(716) 844-8717</t>
  </si>
  <si>
    <t>190 Albany Street</t>
  </si>
  <si>
    <t xml:space="preserve">Jordan Grove Baptist Church, Inc. </t>
  </si>
  <si>
    <t>Pastor C. C. Cox</t>
  </si>
  <si>
    <t>(716) 833-6100</t>
  </si>
  <si>
    <t>1264 Kensington Avenue</t>
  </si>
  <si>
    <t xml:space="preserve">Jordan River Baptist Church, Inc. </t>
  </si>
  <si>
    <t>Pastor Dennis Gray</t>
  </si>
  <si>
    <t>(716) 837-2302</t>
  </si>
  <si>
    <t>440 Leroy Avenue</t>
  </si>
  <si>
    <t>Liberty Baptist Church, Inc.</t>
  </si>
  <si>
    <t>Pastor Jessie D. Jones, Sr.</t>
  </si>
  <si>
    <t>(716) 856-3582</t>
  </si>
  <si>
    <t>172 Johnson Street</t>
  </si>
  <si>
    <t>Lincoln Memorial United Methodist Church, Inc.</t>
  </si>
  <si>
    <t>Pastor George F. Nicholas</t>
  </si>
  <si>
    <t>(716) 884-7664</t>
  </si>
  <si>
    <t>641 Masten Avenue</t>
  </si>
  <si>
    <t>Macedonia Baptist Church,Inc</t>
  </si>
  <si>
    <t>Pastor Herman Alston Jr.</t>
  </si>
  <si>
    <t>(716) 886-3489</t>
  </si>
  <si>
    <t>237 East North Street</t>
  </si>
  <si>
    <t xml:space="preserve">Midtown Bible Church, Inc. </t>
  </si>
  <si>
    <t>Pastor Brent McCalister</t>
  </si>
  <si>
    <t>(716) 884-5203</t>
  </si>
  <si>
    <t>1722 Main street</t>
  </si>
  <si>
    <t xml:space="preserve">Miracle Missions Baptist Church, Inc. </t>
  </si>
  <si>
    <t>Pastor James A Lewis, ill</t>
  </si>
  <si>
    <t>(716) 842-2809</t>
  </si>
  <si>
    <t>406 Sycamore Avenue</t>
  </si>
  <si>
    <t xml:space="preserve">Mount Aaron Baptist, Inc.  </t>
  </si>
  <si>
    <t xml:space="preserve"> Pastor Dwayne Jones</t>
  </si>
  <si>
    <t>(716) 856-8035</t>
  </si>
  <si>
    <t>540 Genesee Street</t>
  </si>
  <si>
    <t xml:space="preserve">Mount Hope Church, Inc.  </t>
  </si>
  <si>
    <t>Pastor Charles Walker II</t>
  </si>
  <si>
    <t>(716) 362-1118</t>
  </si>
  <si>
    <t>1326 Broadway Street</t>
  </si>
  <si>
    <t xml:space="preserve">Mount Olive Baptist Church, Inc.  </t>
  </si>
  <si>
    <t>Pastor Keith Mobley</t>
  </si>
  <si>
    <t>(716) 895-7494</t>
  </si>
  <si>
    <t>66 Wasson Avenue</t>
  </si>
  <si>
    <t xml:space="preserve">Mount Olive Development Corporation, Inc.  </t>
  </si>
  <si>
    <t>Pastor William Gillison, Jr</t>
  </si>
  <si>
    <t>701 East Delavan Avenue</t>
  </si>
  <si>
    <t>Mount Zion Baptist Church, Inc.</t>
  </si>
  <si>
    <t>Pastor Timothy Brown</t>
  </si>
  <si>
    <t>(716) 828-3655</t>
  </si>
  <si>
    <t xml:space="preserve">1334 Calumet Avenue </t>
  </si>
  <si>
    <t>HORN, STEVEN, MD</t>
  </si>
  <si>
    <t>E0048450</t>
  </si>
  <si>
    <t>HORN STEVEN JOSEPH MD</t>
  </si>
  <si>
    <t>(716) 580-3810</t>
  </si>
  <si>
    <t>SHORN@KALEIDAHEALTH.ORG</t>
  </si>
  <si>
    <t>HORN STEVEN</t>
  </si>
  <si>
    <t>CARDIO READING PANEL</t>
  </si>
  <si>
    <t>KERR, SUSAN, MD</t>
  </si>
  <si>
    <t>E0163443</t>
  </si>
  <si>
    <t>KERR SUSAN L MD</t>
  </si>
  <si>
    <t>(716) 878-7840</t>
  </si>
  <si>
    <t>SKERR@KALEIDAHEALTH.ORG</t>
  </si>
  <si>
    <t>KERR SUSAN</t>
  </si>
  <si>
    <t>PIWKO, JENNIFER, MD</t>
  </si>
  <si>
    <t>E0079811</t>
  </si>
  <si>
    <t>PIWKO JENNIFER GENNUSO</t>
  </si>
  <si>
    <t>JPIWKO@KALEIDAHEALTH.ORG</t>
  </si>
  <si>
    <t>PIWKO JENNIFER DR.</t>
  </si>
  <si>
    <t>STE 205</t>
  </si>
  <si>
    <t>BOMMARAJU, MAHESH, MD</t>
  </si>
  <si>
    <t>E0143582</t>
  </si>
  <si>
    <t>BOMMARAJU MAHESH MD</t>
  </si>
  <si>
    <t>BOMMARAJU , MAHESH , MD</t>
  </si>
  <si>
    <t>(716) 878-7673</t>
  </si>
  <si>
    <t>MBOMMARAJU@UPA.DHOB.EDU</t>
  </si>
  <si>
    <t>BOMMARAJU MAHESH</t>
  </si>
  <si>
    <t>CHOB DEPT OF NEN</t>
  </si>
  <si>
    <t>WUTZ, CHERYL, RPAC</t>
  </si>
  <si>
    <t>E0172357</t>
  </si>
  <si>
    <t>WUTZ CHERYL ANN</t>
  </si>
  <si>
    <t>WUTZ, CHERYL, PA</t>
  </si>
  <si>
    <t>CWUTZ@KALEIDAHEALTH.ORG</t>
  </si>
  <si>
    <t>WUTZ CHERYL</t>
  </si>
  <si>
    <t>1000 YOUNGS RD</t>
  </si>
  <si>
    <t>GARSON, DAVID, MD</t>
  </si>
  <si>
    <t>E0175756</t>
  </si>
  <si>
    <t>GARSON DAVID S MD</t>
  </si>
  <si>
    <t>DGARSON@KALEIDAHEALTH.ORG</t>
  </si>
  <si>
    <t>GARSON DAVID</t>
  </si>
  <si>
    <t>STE 300</t>
  </si>
  <si>
    <t>BERNDTSON, JEFFREY, MD</t>
  </si>
  <si>
    <t>E0072059</t>
  </si>
  <si>
    <t>BERNDTSON JEFFREY WILLIAM MD</t>
  </si>
  <si>
    <t>JBERNDTSON@KALEIDAHEALTH.ORG</t>
  </si>
  <si>
    <t>BERNDTSON JEFFREY</t>
  </si>
  <si>
    <t>FRONTIER SURGERY LLP</t>
  </si>
  <si>
    <t>CATTARAUGUS COUNTY HOME &amp; INFIRMARY</t>
  </si>
  <si>
    <t>E0268191</t>
  </si>
  <si>
    <t>PINES HLTHCR &amp; REH CNT MACHIA</t>
  </si>
  <si>
    <t>(716) 353-4316</t>
  </si>
  <si>
    <t>9822 ROUTE 16</t>
  </si>
  <si>
    <t>MACHIAS</t>
  </si>
  <si>
    <t>CAPACCIO, DAVID, DO</t>
  </si>
  <si>
    <t>E0115697</t>
  </si>
  <si>
    <t>CAPACCIO DAVID</t>
  </si>
  <si>
    <t>(716) 826-7000</t>
  </si>
  <si>
    <t>DCAPACCIO@KALEIDAHEALTH.ORG</t>
  </si>
  <si>
    <t>CAPACCIO DAVID LIVINGSTON</t>
  </si>
  <si>
    <t>565 ABBOTT ROAD</t>
  </si>
  <si>
    <t>MOY, OWEN, MD</t>
  </si>
  <si>
    <t>E0180447</t>
  </si>
  <si>
    <t>MOY OWEN JAMES MD</t>
  </si>
  <si>
    <t>(716) 250-9999</t>
  </si>
  <si>
    <t>OMOY@KALEIDAHEALTH.ORG</t>
  </si>
  <si>
    <t>MOY OWEN</t>
  </si>
  <si>
    <t>BENNETT, MARY, MD</t>
  </si>
  <si>
    <t>E0120537</t>
  </si>
  <si>
    <t>BENNETT MARY K MD</t>
  </si>
  <si>
    <t>(716) 859-3482</t>
  </si>
  <si>
    <t>MBENNETT@KALEIDAHEALTH.ORG</t>
  </si>
  <si>
    <t>BENNETT MARY</t>
  </si>
  <si>
    <t>UNITED MEM MED CTR</t>
  </si>
  <si>
    <t>ELGERSMA, GRETCHEN, PA</t>
  </si>
  <si>
    <t>E0083429</t>
  </si>
  <si>
    <t>FRANK GRETCHEN A RPA</t>
  </si>
  <si>
    <t>GELGERSMA@KALEIDAHEALTH.ORG</t>
  </si>
  <si>
    <t>ELGERSMA GRETCHEN</t>
  </si>
  <si>
    <t>ELGERSMA GRETCHEN A RPA</t>
  </si>
  <si>
    <t>POLECHETTI, JOHN, CRNA</t>
  </si>
  <si>
    <t>E0037211</t>
  </si>
  <si>
    <t>POLECHETTI JOHN S</t>
  </si>
  <si>
    <t>POLECHETTI JOHN</t>
  </si>
  <si>
    <t>(716) 674-8189</t>
  </si>
  <si>
    <t>HENRY-GAME, GILLIAN, LMSW</t>
  </si>
  <si>
    <t>HENRY-GAME, GILLIAN, LCSW</t>
  </si>
  <si>
    <t>(716) 853-1335</t>
  </si>
  <si>
    <t>GILLIAN.HENRY-GAME@NIAGARACOUNTY.COM</t>
  </si>
  <si>
    <t>HENRY-GAME GILLIAN MRS.</t>
  </si>
  <si>
    <t>430 NIAGARA ST</t>
  </si>
  <si>
    <t>LINDER, CHRISTINE, FNP</t>
  </si>
  <si>
    <t>E0005720</t>
  </si>
  <si>
    <t>WANTUCK CHRISTINE</t>
  </si>
  <si>
    <t>LINDER, CHRISTINE, NP</t>
  </si>
  <si>
    <t>(716) 651-0911</t>
  </si>
  <si>
    <t>BELLAROSE5403@YAHOO.COM</t>
  </si>
  <si>
    <t>LINDER CHRISTINE MRS.</t>
  </si>
  <si>
    <t>LINDER CHRISTINE ELIZABETH</t>
  </si>
  <si>
    <t>150 BENNETT RD</t>
  </si>
  <si>
    <t>SINGH, ANURAG, MD</t>
  </si>
  <si>
    <t>E0011045</t>
  </si>
  <si>
    <t>SINGH ANURAG KISHOR MD</t>
  </si>
  <si>
    <t>ASINGH@KALEIDAHEALTH.ORG</t>
  </si>
  <si>
    <t>SINGH ANURAG</t>
  </si>
  <si>
    <t>WIECH, CAROLYN, MD</t>
  </si>
  <si>
    <t>E0307982</t>
  </si>
  <si>
    <t>WIECH CAROLYN ANNE MD</t>
  </si>
  <si>
    <t>(919) 966-1072</t>
  </si>
  <si>
    <t>CWIECH@KALEIDAHEALTH.ORG</t>
  </si>
  <si>
    <t>WIECH CAROLYN</t>
  </si>
  <si>
    <t>HANNAHOE, BRIGID, MD</t>
  </si>
  <si>
    <t>E0012493</t>
  </si>
  <si>
    <t>HANNAHOE BRIGID</t>
  </si>
  <si>
    <t>BHANNAHOE@KALEIDAHEALTH.ORG</t>
  </si>
  <si>
    <t>BANGSIL, EDGAR, MD</t>
  </si>
  <si>
    <t>E0225582</t>
  </si>
  <si>
    <t>BANGSIL EDGAR LACSON       MD</t>
  </si>
  <si>
    <t>BANGSIL EDGAR DR.</t>
  </si>
  <si>
    <t>(716) 662-2358</t>
  </si>
  <si>
    <t>194 CENTRAL AVE</t>
  </si>
  <si>
    <t>SILVER CREEK</t>
  </si>
  <si>
    <t>WENNER, DARRYL, DO</t>
  </si>
  <si>
    <t>E0370064</t>
  </si>
  <si>
    <t>WENNER DARRYL CHARLES DANIEL</t>
  </si>
  <si>
    <t>(716) 863-7948</t>
  </si>
  <si>
    <t>WENNER DARRYL DR.</t>
  </si>
  <si>
    <t>MATICAN, PAMELA,</t>
  </si>
  <si>
    <t>MATICAN, PAMELA, LMSW</t>
  </si>
  <si>
    <t>SCOTT PAMELA MRS.</t>
  </si>
  <si>
    <t>HAMILTON, PAULA, NP</t>
  </si>
  <si>
    <t>E0302569</t>
  </si>
  <si>
    <t>HAMILTON PAULA J</t>
  </si>
  <si>
    <t>HAMILTON, PAULA, ANP</t>
  </si>
  <si>
    <t>(716) 634-1940</t>
  </si>
  <si>
    <t>PHAMILTON@KALEIDAHEALTH.ORG</t>
  </si>
  <si>
    <t>HAMILTON PAULA MS.</t>
  </si>
  <si>
    <t>RICHARDSON, LINDA, NP</t>
  </si>
  <si>
    <t>E0339593</t>
  </si>
  <si>
    <t>RICHARDSON LINDA ANN</t>
  </si>
  <si>
    <t>RICHARDSON, LINDA, ANP</t>
  </si>
  <si>
    <t>LRICHARDSON@KALEIDAHEALTH.ORG</t>
  </si>
  <si>
    <t>RICHARDSON LINDA</t>
  </si>
  <si>
    <t>DONLEY, COLLEEN, ACNP</t>
  </si>
  <si>
    <t>E0005942</t>
  </si>
  <si>
    <t>DONLEY COLLEEN A</t>
  </si>
  <si>
    <t>DONLEY, COLLEEN, ANP</t>
  </si>
  <si>
    <t>(716) 675-1915</t>
  </si>
  <si>
    <t>CDONLEY@KALEIDAHEALTH.ORG</t>
  </si>
  <si>
    <t>DONLEY COLLEEN</t>
  </si>
  <si>
    <t>LAL, IANA,</t>
  </si>
  <si>
    <t>LAL, IANA, LMHC</t>
  </si>
  <si>
    <t>(917) 202-5305</t>
  </si>
  <si>
    <t>ILAL@CFSBNY.ORG</t>
  </si>
  <si>
    <t>LAL IANA MRS.</t>
  </si>
  <si>
    <t>2470 WALDEN AVE</t>
  </si>
  <si>
    <t>Morrelle, Joseph</t>
  </si>
  <si>
    <t>E0317957</t>
  </si>
  <si>
    <t>MORRELL JOSEPH</t>
  </si>
  <si>
    <t>STOLL, HOWARD, MD</t>
  </si>
  <si>
    <t>E0119942</t>
  </si>
  <si>
    <t>STOLL HOWARD LESTER III MD</t>
  </si>
  <si>
    <t>STOLL HOWARD</t>
  </si>
  <si>
    <t>(317) 805-2311</t>
  </si>
  <si>
    <t>SOUTHTOWNS RAD ASSOC</t>
  </si>
  <si>
    <t>MARGARONE, JOSEPH, DDS</t>
  </si>
  <si>
    <t>E0165979</t>
  </si>
  <si>
    <t>MARGARONE JOSEPH E III DDS</t>
  </si>
  <si>
    <t>(716) 631-2800</t>
  </si>
  <si>
    <t>JMARGARONE@KALEIDAHEALTH.ORG</t>
  </si>
  <si>
    <t>MARGARONE JOSEPH</t>
  </si>
  <si>
    <t>MARGARONE JOSEPH EDWARD III</t>
  </si>
  <si>
    <t>CONLEY, JAMES, NP</t>
  </si>
  <si>
    <t>E0041991</t>
  </si>
  <si>
    <t>CONLEY JAMES JASON</t>
  </si>
  <si>
    <t>CONLEY, JAMES, FNP</t>
  </si>
  <si>
    <t>(716) 630-1050</t>
  </si>
  <si>
    <t>JCONLEY2@KALEIDAHEALTH.ORG</t>
  </si>
  <si>
    <t>CONLEY JAMES</t>
  </si>
  <si>
    <t>MAIN UROLOGY ASSOC</t>
  </si>
  <si>
    <t>ALBINI, CHRISTINE, MDPH</t>
  </si>
  <si>
    <t>E0194040</t>
  </si>
  <si>
    <t>ALBINI CHRISTINE</t>
  </si>
  <si>
    <t>ALBINI , CHRISTINE , MD</t>
  </si>
  <si>
    <t>CALBINI@UPA.CHOB.EDU</t>
  </si>
  <si>
    <t>ALBINI CHRISTINE DR.</t>
  </si>
  <si>
    <t>HANAHAN, LAURA, MD</t>
  </si>
  <si>
    <t>E0347041</t>
  </si>
  <si>
    <t>HANAHAN LAURA JANE</t>
  </si>
  <si>
    <t>(573) 882-2259</t>
  </si>
  <si>
    <t>LHANAHAN@KALEIDAHEALTH.ORG</t>
  </si>
  <si>
    <t>HANAHAN LAURA</t>
  </si>
  <si>
    <t>CAMPBELL, LORNE, MD</t>
  </si>
  <si>
    <t>E0195522</t>
  </si>
  <si>
    <t>CAMPBELL LORNE RICHARD SR  MD</t>
  </si>
  <si>
    <t>CAMPBELL,  KIERA, OFFICE MANAGER</t>
  </si>
  <si>
    <t>(716) 247-5281</t>
  </si>
  <si>
    <t>CAMPBELL LORNE</t>
  </si>
  <si>
    <t>CAMPBELL LORNE RICHARD SR MD</t>
  </si>
  <si>
    <t>1461 KENSINGTON AVE</t>
  </si>
  <si>
    <t>NAJAR, GULAM, MD</t>
  </si>
  <si>
    <t>E0217874</t>
  </si>
  <si>
    <t>NAJAR GULAM MOHMAD         MD</t>
  </si>
  <si>
    <t>(716) 837-7424</t>
  </si>
  <si>
    <t>GNAJAR@KALEIDAHEALTH.ORG</t>
  </si>
  <si>
    <t>NAJAR GULAM DR.</t>
  </si>
  <si>
    <t>30 AMSTERDAM AVE</t>
  </si>
  <si>
    <t>RANA, MUZAMIL, MD</t>
  </si>
  <si>
    <t>E0289202</t>
  </si>
  <si>
    <t>RANA MUZAMIL</t>
  </si>
  <si>
    <t>MRANA@KALEIDAHEALTH.ORG</t>
  </si>
  <si>
    <t>RANA MUZAMIL DR.</t>
  </si>
  <si>
    <t>3495 BAILEY AVE</t>
  </si>
  <si>
    <t>FLYNN, WILLIAM, MD</t>
  </si>
  <si>
    <t>E0173821</t>
  </si>
  <si>
    <t>FLYNN WILLIAM J JR MD</t>
  </si>
  <si>
    <t>WFLYNN@KALEIDAHEALTH.ORG</t>
  </si>
  <si>
    <t>FLYNN WILLIAM DR.</t>
  </si>
  <si>
    <t>UNIV SURG ASSOC</t>
  </si>
  <si>
    <t>SHAMAN, MAJID, MD</t>
  </si>
  <si>
    <t>E0294566</t>
  </si>
  <si>
    <t>SHAMAN MAJID MD</t>
  </si>
  <si>
    <t>MEREDITH SNYDER, PRACTICE FACILITATOR</t>
  </si>
  <si>
    <t>(716) 878-7263</t>
  </si>
  <si>
    <t>MRSNYDER4@GMAIL.COM</t>
  </si>
  <si>
    <t>SHAMAN MAJID DR.</t>
  </si>
  <si>
    <t>PERICAK, JASON, MD</t>
  </si>
  <si>
    <t>E0303719</t>
  </si>
  <si>
    <t>PERICAK JASON ROBERT</t>
  </si>
  <si>
    <t>(813) 844-7412</t>
  </si>
  <si>
    <t>JPERICAK@KALEIDAHEALTH.ORG</t>
  </si>
  <si>
    <t>PERICAK JASON</t>
  </si>
  <si>
    <t>WIERZBOWSKI, SARAH,</t>
  </si>
  <si>
    <t>E0367934</t>
  </si>
  <si>
    <t>WIERZBOWSKI SARAH L</t>
  </si>
  <si>
    <t>WIERCZBOWSKI, SARAH, LCSWR</t>
  </si>
  <si>
    <t>(716) 681-6611</t>
  </si>
  <si>
    <t>SWIERCZBOWSKI@CATSWNY.ORG</t>
  </si>
  <si>
    <t>WIERZBOWSKI SARAH</t>
  </si>
  <si>
    <t>CHILD AND FAMILY SERVICES OF ERIE COUNTY</t>
  </si>
  <si>
    <t>E0159394</t>
  </si>
  <si>
    <t>CHILD &amp; FAMILY SERVICES</t>
  </si>
  <si>
    <t>(716) 881-2591</t>
  </si>
  <si>
    <t>107 DELAWARE AVE # FBT/7511430</t>
  </si>
  <si>
    <t>MILLARD FILLMORE SURGERY CENTER, LLC</t>
  </si>
  <si>
    <t>E0290160</t>
  </si>
  <si>
    <t>MILLARD FILLMORE SURGERY CTR LLC</t>
  </si>
  <si>
    <t>(716) 859-8383</t>
  </si>
  <si>
    <t>215 KLEIN RD</t>
  </si>
  <si>
    <t>ERIE COUNTY MEDICAL CENTER CORPORATION</t>
  </si>
  <si>
    <t>E0273851</t>
  </si>
  <si>
    <t>ERIE COUNTY MEDICAL CTR</t>
  </si>
  <si>
    <t>JUAN SANTIAGO</t>
  </si>
  <si>
    <t>(716) 898-5931</t>
  </si>
  <si>
    <t>JSANTIAG@ECMC.EDU</t>
  </si>
  <si>
    <t>All Other:: Case Management / Health Home:: Clinic:: Hospital:: Mental Health:: Substance Abuse</t>
  </si>
  <si>
    <t>DOH/OMH/CL</t>
  </si>
  <si>
    <t>STEEPROCK, SHELLEY, FNP</t>
  </si>
  <si>
    <t>E0339877</t>
  </si>
  <si>
    <t>STEEPROCK SHELLEY DAWN</t>
  </si>
  <si>
    <t>STEEPROCK, SHELLEY, NP</t>
  </si>
  <si>
    <t>(716) 549-0861</t>
  </si>
  <si>
    <t>STEEPROCK SHELLEY</t>
  </si>
  <si>
    <t>GANNON, NICOLE, ANP</t>
  </si>
  <si>
    <t>E0439099</t>
  </si>
  <si>
    <t>GANNON NICOLE RENEE</t>
  </si>
  <si>
    <t>NGANNON@KALEIDAHEALTH.ORG</t>
  </si>
  <si>
    <t>GANNON NICOLE</t>
  </si>
  <si>
    <t>POPE, TYLICA, CASACT</t>
  </si>
  <si>
    <t>POPE, TYLICA, CASAC-T</t>
  </si>
  <si>
    <t>POPET@SHSWNY.ORG</t>
  </si>
  <si>
    <t>POPE TYLICA</t>
  </si>
  <si>
    <t>ADDAGATLA, SUJATHA, MD</t>
  </si>
  <si>
    <t>E0136940</t>
  </si>
  <si>
    <t>ADDAGATLA SUJATHA MD</t>
  </si>
  <si>
    <t>(716) 298-1868</t>
  </si>
  <si>
    <t>SADDAGATLA@KALEIDAHEALTH.ORG</t>
  </si>
  <si>
    <t>ADDAGATLA SUJATHA DR.</t>
  </si>
  <si>
    <t>ACADEMIC MED SL</t>
  </si>
  <si>
    <t>KIRST, PATRICIA, NP</t>
  </si>
  <si>
    <t>E0047717</t>
  </si>
  <si>
    <t>KIRST PATRICIA</t>
  </si>
  <si>
    <t>KIRST, PATRICIA, PNP</t>
  </si>
  <si>
    <t>PKIRSTPNP@YAHOO.COM</t>
  </si>
  <si>
    <t>KIRST PATRICIA E</t>
  </si>
  <si>
    <t>BROWNING, JARED, MD</t>
  </si>
  <si>
    <t>E0295572</t>
  </si>
  <si>
    <t>JARED CORBETT BROWNING</t>
  </si>
  <si>
    <t>JBROWNING@KALEIDAHEALTH.ORG</t>
  </si>
  <si>
    <t>BROWNING JARED</t>
  </si>
  <si>
    <t>BROWNING JARED CORBETT</t>
  </si>
  <si>
    <t>19819 ZEPHYR CV</t>
  </si>
  <si>
    <t>GARDEN RIDGE</t>
  </si>
  <si>
    <t>TX</t>
  </si>
  <si>
    <t>ASKAR, JOE, MD</t>
  </si>
  <si>
    <t>E0130686</t>
  </si>
  <si>
    <t>ASKAR JOE I MD</t>
  </si>
  <si>
    <t>ASKAR JOE</t>
  </si>
  <si>
    <t>(716) 366-4545</t>
  </si>
  <si>
    <t>608 CENTRAL AVE</t>
  </si>
  <si>
    <t>SCHWARTZ, STANLEY, MD</t>
  </si>
  <si>
    <t>E0162366</t>
  </si>
  <si>
    <t>SCHWARTZ STANLEY A MD</t>
  </si>
  <si>
    <t>(716) 859-2985</t>
  </si>
  <si>
    <t>SASCHWARTZ@KALEIDAHEALTH.ORG</t>
  </si>
  <si>
    <t>SCHWARTZ STANLEY</t>
  </si>
  <si>
    <t>OSTAPOFF, KATHERINE, MD</t>
  </si>
  <si>
    <t>(214) 590-8058</t>
  </si>
  <si>
    <t>KOSTAPOFF@KALEIDAHEALTH.ORG</t>
  </si>
  <si>
    <t>OSTAPOFF KATHERINE</t>
  </si>
  <si>
    <t>5201 HARRY HINES BLVD, HOUSE STAFF &amp; GME</t>
  </si>
  <si>
    <t>DALLAS</t>
  </si>
  <si>
    <t>WYOMING COUNTY COMMUNITY HOSPITAL</t>
  </si>
  <si>
    <t>E0324099</t>
  </si>
  <si>
    <t>WYOMING COUNTY</t>
  </si>
  <si>
    <t>DONALD EICHENAUER</t>
  </si>
  <si>
    <t>(585) 786-8940</t>
  </si>
  <si>
    <t>DEICHENAUER@WCCHS.NBET</t>
  </si>
  <si>
    <t>400 N MAIN ST</t>
  </si>
  <si>
    <t>CIESLAK, LYNN, MD</t>
  </si>
  <si>
    <t>E0122470</t>
  </si>
  <si>
    <t>CIESLAK LYNN MD</t>
  </si>
  <si>
    <t>(716) 481-7384</t>
  </si>
  <si>
    <t>LCIESLAK@KALEIDAHEALTH.ORG</t>
  </si>
  <si>
    <t>CIESLAK LYNN DR.</t>
  </si>
  <si>
    <t>2950 ELMWOOD AVE</t>
  </si>
  <si>
    <t>PANZARELLA, JAMES, DO</t>
  </si>
  <si>
    <t>E0173077</t>
  </si>
  <si>
    <t>PANZARELLA JAMES JOHN  DO</t>
  </si>
  <si>
    <t>(716) 833-2200</t>
  </si>
  <si>
    <t>JPANZARELLA@KALEIDAHEALTH.ORG</t>
  </si>
  <si>
    <t>PANZARELLA JAMES DR.</t>
  </si>
  <si>
    <t>DEPT OF FAMILY MED</t>
  </si>
  <si>
    <t>ERIE COUNTY MEDICAL CENTER</t>
  </si>
  <si>
    <t>BONNIE SLOMA</t>
  </si>
  <si>
    <t>BSLOMA1@ECMC.EDU</t>
  </si>
  <si>
    <t>BAHK, BENEDICTUS, MD</t>
  </si>
  <si>
    <t>E0240721</t>
  </si>
  <si>
    <t>BAHK BENEDICTUS SOO IL     MD</t>
  </si>
  <si>
    <t>BBAHK@KALEIDAHEALTH.ORG</t>
  </si>
  <si>
    <t>BAHK BENEDICTUS DR.</t>
  </si>
  <si>
    <t>HINDS, RALPH, MD</t>
  </si>
  <si>
    <t>E0187418</t>
  </si>
  <si>
    <t>HINDS RALPH W III MD</t>
  </si>
  <si>
    <t>RHINDS@KALEIDAHEALTH.ORG</t>
  </si>
  <si>
    <t>HINDS RALPH DR.</t>
  </si>
  <si>
    <t>KHALAF, MOHAMED, MD</t>
  </si>
  <si>
    <t>E0136407</t>
  </si>
  <si>
    <t>KHALAF MOHAMED ABDEL H MD</t>
  </si>
  <si>
    <t>(716) 438-3546</t>
  </si>
  <si>
    <t>MKHALAF@KALEIDAHEALTH.ORG</t>
  </si>
  <si>
    <t>KHALAF MOHAMED DR.</t>
  </si>
  <si>
    <t>REDEN, PETER, MD</t>
  </si>
  <si>
    <t>E0183942</t>
  </si>
  <si>
    <t>REDEN PETER J MD</t>
  </si>
  <si>
    <t>REDEN PETER</t>
  </si>
  <si>
    <t>(716) 664-8120</t>
  </si>
  <si>
    <t>REDEN PETER JOSEPH</t>
  </si>
  <si>
    <t>207 FOOTE AVE</t>
  </si>
  <si>
    <t>MASON, VERONICA, FNP</t>
  </si>
  <si>
    <t>E0032151</t>
  </si>
  <si>
    <t>MASON VERONICA RN</t>
  </si>
  <si>
    <t>(716) 216-4424</t>
  </si>
  <si>
    <t>Pharmacy:: Practitioner - Non-Primary Care Provider (PCP)</t>
  </si>
  <si>
    <t>MASON VERONICA</t>
  </si>
  <si>
    <t>MASON VERONICA VICTORIA</t>
  </si>
  <si>
    <t>7024 DEIDRE CT</t>
  </si>
  <si>
    <t>SMART, TIFFANY, MHC</t>
  </si>
  <si>
    <t>SMART, TIFFANY, LCSWP</t>
  </si>
  <si>
    <t>SMART TIFFANY</t>
  </si>
  <si>
    <t>1131 BROADWAY ST</t>
  </si>
  <si>
    <t>MELISZ, LYNN, PNP</t>
  </si>
  <si>
    <t>E0362210</t>
  </si>
  <si>
    <t>MELISZ LYNN</t>
  </si>
  <si>
    <t>(716) 986-4140</t>
  </si>
  <si>
    <t>LMELISZ@KALEIDAHEALTH.ORG</t>
  </si>
  <si>
    <t>DLUGOSZ, MICHAEL, MD</t>
  </si>
  <si>
    <t>E0386216</t>
  </si>
  <si>
    <t>DLUGOSZ MICHAEL</t>
  </si>
  <si>
    <t>(716) 713-3475</t>
  </si>
  <si>
    <t>MDLUGOSZ@KALEIDAHEALTH.ORG</t>
  </si>
  <si>
    <t>DLUGOSZ MICHAEL DR.</t>
  </si>
  <si>
    <t>DLUGOSZ MICHAEL ROBERT</t>
  </si>
  <si>
    <t>1150 YOUNGS RD STE 104</t>
  </si>
  <si>
    <t>2600 NIAGARA FALLS BOULEVARD OPERATING COMPANY LLC</t>
  </si>
  <si>
    <t>E0396641</t>
  </si>
  <si>
    <t>2600 NIAGARA FALLS BLVD OPERATING C</t>
  </si>
  <si>
    <t>Anna Foy</t>
  </si>
  <si>
    <t>(716) 215-8000</t>
  </si>
  <si>
    <t>afoy@elderwood.com</t>
  </si>
  <si>
    <t>2600 NIAGARA FALLS BLVD # B</t>
  </si>
  <si>
    <t>LAKEWOOD HEALTH CARE CENTER INC.</t>
  </si>
  <si>
    <t>(716) 633-0021</t>
  </si>
  <si>
    <t>5775 MAELOU DR</t>
  </si>
  <si>
    <t>KOPP, CHRISTOPHER, MD</t>
  </si>
  <si>
    <t>E0161894</t>
  </si>
  <si>
    <t>KOPP CHRISTOPHER F MD</t>
  </si>
  <si>
    <t>CKOPP@KALEIDAHEALTH.ORG</t>
  </si>
  <si>
    <t>KOPP CHRISTOPHER DR.</t>
  </si>
  <si>
    <t>3040 AMSDELL RD</t>
  </si>
  <si>
    <t>KHAN, MEHDI, DO</t>
  </si>
  <si>
    <t>E0031549</t>
  </si>
  <si>
    <t>KHAN MEHDI A MD</t>
  </si>
  <si>
    <t>MKHAN3@KALEIDAHEALTH.ORG</t>
  </si>
  <si>
    <t>KHAN MEHDI DR.</t>
  </si>
  <si>
    <t>6637 MAIN ST</t>
  </si>
  <si>
    <t>RIVERWOOD HEALTH CARE CENTER, INC.</t>
  </si>
  <si>
    <t>2850 GRAND ISLAND BLVD</t>
  </si>
  <si>
    <t>GRAND ISLAND</t>
  </si>
  <si>
    <t>ZAKRZEWSKI, SUSAN, NP</t>
  </si>
  <si>
    <t>E0048771</t>
  </si>
  <si>
    <t>ZAKRZEWSKI SUSAN M</t>
  </si>
  <si>
    <t>ZAKRZEWSKI, SUSAN, FNP</t>
  </si>
  <si>
    <t>SZAKRZEWSKI@KALEIDAHEALTH.ORG</t>
  </si>
  <si>
    <t>ZAKRZEWSKI SUSAN</t>
  </si>
  <si>
    <t>CAPUTI, RICHARD, DPM</t>
  </si>
  <si>
    <t>E0221202</t>
  </si>
  <si>
    <t>CAPUTI RICHARD ALLAN DPM</t>
  </si>
  <si>
    <t>(716) 632-5352</t>
  </si>
  <si>
    <t>RICKAPUTI@AOL.COM</t>
  </si>
  <si>
    <t>CAPUTI RICHARD DR.</t>
  </si>
  <si>
    <t>CAPUTI RICHARD ALLAN</t>
  </si>
  <si>
    <t>3407 DELAWARE AVE</t>
  </si>
  <si>
    <t>THOTAKURA, RAMAKRISHNA,</t>
  </si>
  <si>
    <t>E0338315</t>
  </si>
  <si>
    <t>THOTAKURA RAMAKRISHNA</t>
  </si>
  <si>
    <t>THOTAKURA, RAMAKRISHNA, MD</t>
  </si>
  <si>
    <t>(716) 445-9555</t>
  </si>
  <si>
    <t>RTHOTAKURA@KALEIDAHEALTH.ORG</t>
  </si>
  <si>
    <t>CHAUTAUQUA COUNTY DEPARTMENT OF HEALTH</t>
  </si>
  <si>
    <t>E0290676</t>
  </si>
  <si>
    <t>CHAUTAUQUA CO DEPT OF HLTH PSSHSP</t>
  </si>
  <si>
    <t>(716) 753-4314</t>
  </si>
  <si>
    <t>7 N ERIE ST FL 4</t>
  </si>
  <si>
    <t>ZEMLA, VICKIE, BSCASAC</t>
  </si>
  <si>
    <t>ZEMLA, VICKIE, CASAC</t>
  </si>
  <si>
    <t>ZEMLAV@SHSWNY.ORG</t>
  </si>
  <si>
    <t>ZEMLA VICKIE</t>
  </si>
  <si>
    <t>VIJAY, DHANYA, MD</t>
  </si>
  <si>
    <t>E0368723</t>
  </si>
  <si>
    <t>VIJAY DHANYA BHAVANA</t>
  </si>
  <si>
    <t>(412) 608-7124</t>
  </si>
  <si>
    <t>DVIJAY@KALEIDAHEALTH.ORG</t>
  </si>
  <si>
    <t>VIJAY DHANYA</t>
  </si>
  <si>
    <t>1829 MAPLE RD STE 101</t>
  </si>
  <si>
    <t>COVEL, CHRISTINE, CNM</t>
  </si>
  <si>
    <t>E0324354</t>
  </si>
  <si>
    <t>COVEL CHRISTINE</t>
  </si>
  <si>
    <t>(585) 948-8202</t>
  </si>
  <si>
    <t>CCOVEL@KALEIDAHEALTH.ORG</t>
  </si>
  <si>
    <t>COVEL CHRISTINE MRS.</t>
  </si>
  <si>
    <t>E0186884</t>
  </si>
  <si>
    <t>BAKER VICTORY SERVICES ICF</t>
  </si>
  <si>
    <t>MARIAN HOUSE ICF</t>
  </si>
  <si>
    <t>HLUBIK, PATRICK, MD</t>
  </si>
  <si>
    <t>E0300431</t>
  </si>
  <si>
    <t>HLUBIK PATRICK</t>
  </si>
  <si>
    <t>PHLUBIK@KALEIDAHEALTH.ORG</t>
  </si>
  <si>
    <t>KUHADIYA, NITESH, MDMPH</t>
  </si>
  <si>
    <t>E0350225</t>
  </si>
  <si>
    <t>KUHADIYA NITESH D</t>
  </si>
  <si>
    <t>KUHADIYA, NITESH, MD</t>
  </si>
  <si>
    <t>NKUHADIYA@KALEIDAHEALTH.ORG</t>
  </si>
  <si>
    <t>KUHADIYA NITESH DR.</t>
  </si>
  <si>
    <t>3980 SHERIDAN DR</t>
  </si>
  <si>
    <t>JACK, HEATHER,</t>
  </si>
  <si>
    <t>JACK,  HEATHER, SR COUNSELOR LICENSED</t>
  </si>
  <si>
    <t>JACK HEATHER</t>
  </si>
  <si>
    <t>CALEY, ANGELIQUE, LCSW</t>
  </si>
  <si>
    <t>E0358513</t>
  </si>
  <si>
    <t>CALEY ANGELIQUE</t>
  </si>
  <si>
    <t>(716) 681-5718</t>
  </si>
  <si>
    <t>ACALEY@CFSBNY.ORG</t>
  </si>
  <si>
    <t>GREENE, PATRICK,</t>
  </si>
  <si>
    <t>GREENE,  PATRICK, COUNSELOR III</t>
  </si>
  <si>
    <t>GREENE PATRICK</t>
  </si>
  <si>
    <t>WALSH, ANDREA, MD</t>
  </si>
  <si>
    <t>E0363346</t>
  </si>
  <si>
    <t>WALSH ANDREA HENDRIKA</t>
  </si>
  <si>
    <t>AWALSH@KALEIDAHEALTH.ORG</t>
  </si>
  <si>
    <t>WALSH ANDREA DR.</t>
  </si>
  <si>
    <t>CLARK, COLEEN, ANP</t>
  </si>
  <si>
    <t>E0307495</t>
  </si>
  <si>
    <t>CLARK COLEEN MARIE</t>
  </si>
  <si>
    <t>CLARK, COLEEN, NP</t>
  </si>
  <si>
    <t>COLEEN.CLARK@FAMILYCHOICENY.COM</t>
  </si>
  <si>
    <t>CLARK COLEEN</t>
  </si>
  <si>
    <t>462 GRIDER ST FL 9</t>
  </si>
  <si>
    <t>TANSKI, CHERYL, PAC</t>
  </si>
  <si>
    <t>E0327758</t>
  </si>
  <si>
    <t>TANSKI CHERYL LYNN</t>
  </si>
  <si>
    <t>TANSKI, CHERYL, PA</t>
  </si>
  <si>
    <t>CTANSKI2@KALEIDAHEALTH.ORG</t>
  </si>
  <si>
    <t>OWCZARZAK CHERYL MRS.</t>
  </si>
  <si>
    <t>HAYES, DALE,</t>
  </si>
  <si>
    <t>HAYES, DALE, CRNA</t>
  </si>
  <si>
    <t>DHAYES2@KALEIDAHEALTH.ORG</t>
  </si>
  <si>
    <t>HAYES DALE</t>
  </si>
  <si>
    <t>30 S CAYUGA RD</t>
  </si>
  <si>
    <t>SICKELS, ERIC, MD</t>
  </si>
  <si>
    <t>E0209926</t>
  </si>
  <si>
    <t>SICKELS ERIC MD</t>
  </si>
  <si>
    <t>(716) 895-2590</t>
  </si>
  <si>
    <t>ESICKELS@KALEIDAHEALTH.ORG</t>
  </si>
  <si>
    <t>SICKELS ERIC DR.</t>
  </si>
  <si>
    <t>GENESEE PEDIATRIC AS</t>
  </si>
  <si>
    <t>KROLCZYK, STEVEN, PA</t>
  </si>
  <si>
    <t>E0089924</t>
  </si>
  <si>
    <t>KROLCZYK STEVEN RPA</t>
  </si>
  <si>
    <t>KROLCZYK STEVEN</t>
  </si>
  <si>
    <t>UNIV EMERG MED SVS</t>
  </si>
  <si>
    <t>ERTL TELBAN, ERIKA, NNP</t>
  </si>
  <si>
    <t>E0373141</t>
  </si>
  <si>
    <t>ERTL TELBAN ERIKA ANNE</t>
  </si>
  <si>
    <t>(716) 668-3397</t>
  </si>
  <si>
    <t>EERTL-TELBAN@KALEIDAHEALTH.ORG</t>
  </si>
  <si>
    <t>ERTL TELBAN ERIKA MRS.</t>
  </si>
  <si>
    <t>319 BRYANT ST</t>
  </si>
  <si>
    <t>LEVY, SANFORD, MD</t>
  </si>
  <si>
    <t>E0181834</t>
  </si>
  <si>
    <t>LEVY SANFORD H MD</t>
  </si>
  <si>
    <t>SLEVY@KALEIDAHEALTH.ORG</t>
  </si>
  <si>
    <t>LEVY SANFORD DR.</t>
  </si>
  <si>
    <t>CLEVELAND HILL MED</t>
  </si>
  <si>
    <t>LILLIS, ANN, ANP</t>
  </si>
  <si>
    <t>E0049889</t>
  </si>
  <si>
    <t>LILLIS ANN F</t>
  </si>
  <si>
    <t>ALILLIS@KALEIDAHEALTH.ORG</t>
  </si>
  <si>
    <t>LILLIS ANN</t>
  </si>
  <si>
    <t>6044 MAIN ST</t>
  </si>
  <si>
    <t>SHERIFF, FUAD, MD</t>
  </si>
  <si>
    <t>E0122865</t>
  </si>
  <si>
    <t>SHERIFF FUAD HABIB MD</t>
  </si>
  <si>
    <t>(716) 834-4266</t>
  </si>
  <si>
    <t>FSHERIFF@KALEIDAHEALTH.ORG</t>
  </si>
  <si>
    <t>SHERIFF FUAD</t>
  </si>
  <si>
    <t>ASHTON, ADAM, MD</t>
  </si>
  <si>
    <t>E0128486</t>
  </si>
  <si>
    <t>ASHTON ADAM KELLER MD</t>
  </si>
  <si>
    <t>(716) 689-3333</t>
  </si>
  <si>
    <t>AASHTON@KALEIDAHEALTH.ORG</t>
  </si>
  <si>
    <t>ASHTON ADAM DR.</t>
  </si>
  <si>
    <t>ASHTON ADAM KELLER</t>
  </si>
  <si>
    <t>85 BRYANT WOODS S</t>
  </si>
  <si>
    <t>PRINTUP, ELIZABETH, FNP</t>
  </si>
  <si>
    <t>E0017067</t>
  </si>
  <si>
    <t>PRINTUP ELIZABETH NP</t>
  </si>
  <si>
    <t>PRINTUP, ELIZABETH ,</t>
  </si>
  <si>
    <t>(716) 297-0310</t>
  </si>
  <si>
    <t>PRINTUP ELIZABETH MS.</t>
  </si>
  <si>
    <t>PRINTUP ELIZABETH MARIE</t>
  </si>
  <si>
    <t>38 N MAIN ST</t>
  </si>
  <si>
    <t>DELEVAN</t>
  </si>
  <si>
    <t>KERR KATHLEEN</t>
  </si>
  <si>
    <t>E0153740</t>
  </si>
  <si>
    <t>KERR KATHLEEN M RPA</t>
  </si>
  <si>
    <t>SUDDABY, LOUBERT, MD</t>
  </si>
  <si>
    <t>E0153831</t>
  </si>
  <si>
    <t>SUDDABY LOUBERT S MD</t>
  </si>
  <si>
    <t>(716) 631-3555</t>
  </si>
  <si>
    <t>LSUDDABY@KALEIDAHEALTH.ORG</t>
  </si>
  <si>
    <t>SUDDABY LOUBERT DR.</t>
  </si>
  <si>
    <t>550 ORCHARD PARK RD</t>
  </si>
  <si>
    <t>VALVO, LAURIE, PNP</t>
  </si>
  <si>
    <t>E0067745</t>
  </si>
  <si>
    <t>VALVO LAURIE COHEN</t>
  </si>
  <si>
    <t>(716) 932-6064</t>
  </si>
  <si>
    <t>LVALVO@KALEIDAHEALTH.ORG</t>
  </si>
  <si>
    <t>VALVO LAURIE</t>
  </si>
  <si>
    <t>VALVO LAURIE E</t>
  </si>
  <si>
    <t>RUSH, THERESA, MD</t>
  </si>
  <si>
    <t>E0151157</t>
  </si>
  <si>
    <t>RUSH THERESA A MD</t>
  </si>
  <si>
    <t>(716) 639-4034</t>
  </si>
  <si>
    <t>TRUSH@KALEIDAHEALTH.ORG</t>
  </si>
  <si>
    <t>RUSH THERESA</t>
  </si>
  <si>
    <t>AUDUBON WOMENS MED</t>
  </si>
  <si>
    <t>MRUZ, LISA, DDS</t>
  </si>
  <si>
    <t>E0117405</t>
  </si>
  <si>
    <t>MRUZ LISA M</t>
  </si>
  <si>
    <t>LMRUZ@KALEIDAHEALTH.ORG</t>
  </si>
  <si>
    <t>MRUZ LISA DR.</t>
  </si>
  <si>
    <t>DAVIS, MATTHEW, LMSW</t>
  </si>
  <si>
    <t>E0362884</t>
  </si>
  <si>
    <t>DAVIS MATTHEW HUNT</t>
  </si>
  <si>
    <t>DAVIS, MATTHEW, LCSW</t>
  </si>
  <si>
    <t>(585) 948-5139</t>
  </si>
  <si>
    <t>DAVIS MATTHEW MR.</t>
  </si>
  <si>
    <t>WASHINGTON, ROSE, MSW</t>
  </si>
  <si>
    <t>WASHINGTON, ROSE,</t>
  </si>
  <si>
    <t>WASHINGTON ROSE MISS</t>
  </si>
  <si>
    <t>DELINE, CHRISTOPHER, MD</t>
  </si>
  <si>
    <t>E0352963</t>
  </si>
  <si>
    <t>DELINE CHRISTOPHER JAMES</t>
  </si>
  <si>
    <t>CDELINE@KALEIDAHEALTH.ORG</t>
  </si>
  <si>
    <t>DELINE CHRISTOPHER DR.</t>
  </si>
  <si>
    <t>NYS OFFICE OF MENTAL HEALTH</t>
  </si>
  <si>
    <t>E0003283</t>
  </si>
  <si>
    <t>BUFFALO PC ACT TEAM RISP CNSTA</t>
  </si>
  <si>
    <t>CELIA SPACONE, PH.D.</t>
  </si>
  <si>
    <t>CELIA.SPACONE@OMH.NY.GOV</t>
  </si>
  <si>
    <t>BUFFALO PSYCHIATRIC CENTER</t>
  </si>
  <si>
    <t>400 FOREST AVE BLDG 51</t>
  </si>
  <si>
    <t>CLARK, SCOTT, ANP</t>
  </si>
  <si>
    <t>E0022990</t>
  </si>
  <si>
    <t>CLARK SCOTT D NP</t>
  </si>
  <si>
    <t>(716) 898-6995</t>
  </si>
  <si>
    <t>SCLARK@KALEIDAHEALTH.ORG</t>
  </si>
  <si>
    <t>CLARK SCOTT</t>
  </si>
  <si>
    <t>CLARK SCOTT DANIEL</t>
  </si>
  <si>
    <t>KOZOWER, MICHAEL, MD</t>
  </si>
  <si>
    <t>E0238270</t>
  </si>
  <si>
    <t>KOZOWER MICHAEL MD</t>
  </si>
  <si>
    <t>MKOZOWER@KALEIDAHEALTH.ORG</t>
  </si>
  <si>
    <t>KOZOWER MICHAEL</t>
  </si>
  <si>
    <t>MIQDADI, JEHAD, MD</t>
  </si>
  <si>
    <t>E0129087</t>
  </si>
  <si>
    <t>MIQDADI JEHAD AHMAD MD</t>
  </si>
  <si>
    <t>JMIQDADI@KALEIDAHEALTH.ORG</t>
  </si>
  <si>
    <t>MIQDADI JEHAD DR.</t>
  </si>
  <si>
    <t>CUMBO, THOMAS, MD</t>
  </si>
  <si>
    <t>E0231922</t>
  </si>
  <si>
    <t>CUMBO THOMAS JOHN          MD</t>
  </si>
  <si>
    <t>(716) 873-8311</t>
  </si>
  <si>
    <t>TCUMBO2@KALEIDAHEALTH.ORG</t>
  </si>
  <si>
    <t>CUMBO THOMAS DR.</t>
  </si>
  <si>
    <t>354 LINCOLN PKWY</t>
  </si>
  <si>
    <t>KANAAN, CAMILLE, MD</t>
  </si>
  <si>
    <t>E0141493</t>
  </si>
  <si>
    <t>KANAAN CAMILLE M MD</t>
  </si>
  <si>
    <t>(518) 262-5100</t>
  </si>
  <si>
    <t>CKANAAN@KALEIDAHEALTH.ORG</t>
  </si>
  <si>
    <t>KANAAN CAMILLE DR.</t>
  </si>
  <si>
    <t>U MA MEDICAL CENTER</t>
  </si>
  <si>
    <t>WORCESTER</t>
  </si>
  <si>
    <t>MA</t>
  </si>
  <si>
    <t>WESTNER, THOMAS, MD</t>
  </si>
  <si>
    <t>E0172552</t>
  </si>
  <si>
    <t>WESTNER THOMAS G  MD</t>
  </si>
  <si>
    <t>WESTNER THOMAS DR.</t>
  </si>
  <si>
    <t>BANAS, KENNETH, DDS</t>
  </si>
  <si>
    <t>E0216269</t>
  </si>
  <si>
    <t>BANAS KENNETH RICHARD     DDS</t>
  </si>
  <si>
    <t>(716) 674-0924</t>
  </si>
  <si>
    <t>KBANAS@KALEIDAHEALTH.ORG</t>
  </si>
  <si>
    <t>BANAS KENNETH DR.</t>
  </si>
  <si>
    <t>3615 SENECA ST</t>
  </si>
  <si>
    <t>LEWIS MARY BETH MISS</t>
  </si>
  <si>
    <t>E0100687</t>
  </si>
  <si>
    <t>LEWIS MARY BETH HOPPE</t>
  </si>
  <si>
    <t>LEWIS MARYBETH HOPPE</t>
  </si>
  <si>
    <t>1150 YOUNGS RD STE 208</t>
  </si>
  <si>
    <t>CALLAHAN, JOHN, MD</t>
  </si>
  <si>
    <t>E0115722</t>
  </si>
  <si>
    <t>CALLAHAN JOHN</t>
  </si>
  <si>
    <t>JCALLAHAN@KALEIDAHEALTH.ORG</t>
  </si>
  <si>
    <t>CALLAHAN JOHN MD</t>
  </si>
  <si>
    <t>MELI-CORNWELL, REBECCA, PA</t>
  </si>
  <si>
    <t>E0032189</t>
  </si>
  <si>
    <t>MELI REBECCA F RPA</t>
  </si>
  <si>
    <t>MELI, REBECCA, PA</t>
  </si>
  <si>
    <t>(716) 572-1692</t>
  </si>
  <si>
    <t>RMELI@KALEIDAHEALTH.ORG</t>
  </si>
  <si>
    <t>MELI-CORNWELL REBECCA MRS.</t>
  </si>
  <si>
    <t>1 ATWELL RD</t>
  </si>
  <si>
    <t>COOPERSTOWN</t>
  </si>
  <si>
    <t>MEILMAN, JEFFREY, MD</t>
  </si>
  <si>
    <t>E0231542</t>
  </si>
  <si>
    <t>MEILMAN JEFFREY            MD</t>
  </si>
  <si>
    <t>(716) 626-5300</t>
  </si>
  <si>
    <t>JMEILMAN@KALEIDAHEALTH.ORG</t>
  </si>
  <si>
    <t>MEILMAN JEFFREY</t>
  </si>
  <si>
    <t>2800 MAIN ST</t>
  </si>
  <si>
    <t>CONWAY, JAMES, MD</t>
  </si>
  <si>
    <t>E0194830</t>
  </si>
  <si>
    <t>CONWAY JAMES T             MD</t>
  </si>
  <si>
    <t>JCONWAY@KALEIDAHEALTH.ORG</t>
  </si>
  <si>
    <t>CONWAY JAMES DR.</t>
  </si>
  <si>
    <t>CONWAY JAMES T</t>
  </si>
  <si>
    <t>KIM, EDWARD, MD</t>
  </si>
  <si>
    <t>E0054005</t>
  </si>
  <si>
    <t>KIM EDWARD</t>
  </si>
  <si>
    <t>(716) 505-5634</t>
  </si>
  <si>
    <t>EKIM@KALEIDAHEALTH.ORG</t>
  </si>
  <si>
    <t>KIM EDWARD GILBERT</t>
  </si>
  <si>
    <t>HOPKINS, LEO,</t>
  </si>
  <si>
    <t>E0240808</t>
  </si>
  <si>
    <t>HOPKINS LEO NELSON         MD</t>
  </si>
  <si>
    <t>HOPKINS, L., MD</t>
  </si>
  <si>
    <t>(716) 887-5200</t>
  </si>
  <si>
    <t>LNHOPKINS@KALEIDAHEALTH.ORG</t>
  </si>
  <si>
    <t>HOPKINS LEO DR.</t>
  </si>
  <si>
    <t>SUITE 307</t>
  </si>
  <si>
    <t>WEINSTOCK, ARIE, MD</t>
  </si>
  <si>
    <t>E0112860</t>
  </si>
  <si>
    <t>WEINSTOCK ARIE L MD</t>
  </si>
  <si>
    <t>AWEINSTOCK@KALEIDAHEALTH.ORG</t>
  </si>
  <si>
    <t>WEINSTOCK ARIE</t>
  </si>
  <si>
    <t>BURKHARD, GREGORY, PA</t>
  </si>
  <si>
    <t>E0065543</t>
  </si>
  <si>
    <t>BURKHARD GREGORY A RPA</t>
  </si>
  <si>
    <t>(716) 829-3670</t>
  </si>
  <si>
    <t>GBURKHARD@KALEIDAHEALTH.ORG</t>
  </si>
  <si>
    <t>BURKHARD GREGORY</t>
  </si>
  <si>
    <t>BELOTE, SCOTT, MD</t>
  </si>
  <si>
    <t>E0113032</t>
  </si>
  <si>
    <t>BELOTE SCOTT J MD</t>
  </si>
  <si>
    <t>(716) 829-4169</t>
  </si>
  <si>
    <t>SBELOTE@KALEIDAHEALTH.ORG</t>
  </si>
  <si>
    <t>BELOTE SCOTT</t>
  </si>
  <si>
    <t>THORNTON SHARON</t>
  </si>
  <si>
    <t>E0113437</t>
  </si>
  <si>
    <t>THORNTON SHARON ELAINE ROSE</t>
  </si>
  <si>
    <t>9864 LUCKY DR</t>
  </si>
  <si>
    <t>HOUGHTON</t>
  </si>
  <si>
    <t>WILLIAMSON, KRISTIN, RPAC</t>
  </si>
  <si>
    <t>E0049569</t>
  </si>
  <si>
    <t>WILLIAMSON KRISTIN M</t>
  </si>
  <si>
    <t>WILLIAMSON, KRISTIN, PA</t>
  </si>
  <si>
    <t>(716) 908-6417</t>
  </si>
  <si>
    <t>KWALL@KALEIDAHEALTH.ORG</t>
  </si>
  <si>
    <t>WILLIAMSON KRISTIN</t>
  </si>
  <si>
    <t>400 INTERNATIONAL DR</t>
  </si>
  <si>
    <t>KAYE, ROBERT, MD</t>
  </si>
  <si>
    <t>E0175536</t>
  </si>
  <si>
    <t>KAYE ROBERT DAVID MD</t>
  </si>
  <si>
    <t>(716) 878-7444</t>
  </si>
  <si>
    <t>RKAYE@KALEIDAHEALTH.ORG</t>
  </si>
  <si>
    <t>KAYE ROBERT</t>
  </si>
  <si>
    <t>BOWMAN, LORI, MD</t>
  </si>
  <si>
    <t>E0072771</t>
  </si>
  <si>
    <t>BOWMAN LORI ANNE MD</t>
  </si>
  <si>
    <t>LBOWMAN@KALEIDAHEALTH.ORG</t>
  </si>
  <si>
    <t>BOWMAN LORI DR.</t>
  </si>
  <si>
    <t>MARCHETTI, DAVID, MD</t>
  </si>
  <si>
    <t>E0215271</t>
  </si>
  <si>
    <t>MARCHETTI DAVID L          MD</t>
  </si>
  <si>
    <t>(716) 689-8398</t>
  </si>
  <si>
    <t>DMARCHETTI@KALEIDAHEALTH.ORG</t>
  </si>
  <si>
    <t>MARCHETTI DAVID DR.</t>
  </si>
  <si>
    <t>MCLAUGHLIN, KATHLEEN, PA</t>
  </si>
  <si>
    <t>E0100628</t>
  </si>
  <si>
    <t>MCLAUGHLIN KATHLEEN B RPA</t>
  </si>
  <si>
    <t>KMCLAUGHLIN@KALEIDAHEALTH.ORG</t>
  </si>
  <si>
    <t>MCLAUGHLIN KATHLEEN</t>
  </si>
  <si>
    <t>SMITH, BRIAN, MD</t>
  </si>
  <si>
    <t>E0160167</t>
  </si>
  <si>
    <t>SMITH BRIAN GARY MD</t>
  </si>
  <si>
    <t>BSMITH3@KALEIDAHEALTH.ORG</t>
  </si>
  <si>
    <t>SMITH BRIAN DR.</t>
  </si>
  <si>
    <t>BARKER, MARILYN, MD</t>
  </si>
  <si>
    <t>E0173768</t>
  </si>
  <si>
    <t>BARKER MARILYN A MD</t>
  </si>
  <si>
    <t>(716) 652-0237</t>
  </si>
  <si>
    <t>MBARKER2@KALEIDAHEALTH.ORG</t>
  </si>
  <si>
    <t>BARKER MARILYN</t>
  </si>
  <si>
    <t>EAST AURORA PEDI PC</t>
  </si>
  <si>
    <t>BARCOS, MAURICE, MD</t>
  </si>
  <si>
    <t>E0181493</t>
  </si>
  <si>
    <t>BARCOS MAURICE P  MD</t>
  </si>
  <si>
    <t>MBARCOS@KALEIDAHEALTH.ORG</t>
  </si>
  <si>
    <t>BARCOS MAURICE</t>
  </si>
  <si>
    <t>BARCOS MAURICE P MD</t>
  </si>
  <si>
    <t>RPMI</t>
  </si>
  <si>
    <t>HELLRIEGEL, JOHN, MDPHD</t>
  </si>
  <si>
    <t>E0237414</t>
  </si>
  <si>
    <t>HELLRIEGEL JOHN C JR       MD</t>
  </si>
  <si>
    <t>HELLRIEGEL, JOHN, MD</t>
  </si>
  <si>
    <t>(716) 838-3209</t>
  </si>
  <si>
    <t>JHELLRIE@ROADRUNNER.COM</t>
  </si>
  <si>
    <t>HELLRIEGEL JOHN DR.</t>
  </si>
  <si>
    <t>HELLRIEGEL JOHN C JR MD</t>
  </si>
  <si>
    <t>Tami T. Buzzard, DNP</t>
  </si>
  <si>
    <t>E0092150</t>
  </si>
  <si>
    <t>BUZZARD TAMI LYNN</t>
  </si>
  <si>
    <t>(716) 376-2411</t>
  </si>
  <si>
    <t>BUZZARD TAMI</t>
  </si>
  <si>
    <t>WNUK, WILLIAM, MD</t>
  </si>
  <si>
    <t>E0095126</t>
  </si>
  <si>
    <t>WNUK WILLIAM JOSEPH MD</t>
  </si>
  <si>
    <t>WNUK WILLIAM DR.</t>
  </si>
  <si>
    <t>210 E MAIN ST</t>
  </si>
  <si>
    <t>QASAYMEH, MOHAMMAD, MD</t>
  </si>
  <si>
    <t>E0002062</t>
  </si>
  <si>
    <t>QASAYMEH MOHAMMAD MUSTAFA</t>
  </si>
  <si>
    <t>(585) 273-2403</t>
  </si>
  <si>
    <t>MQASAYMEH@KALEIDAHEALTH.ORG</t>
  </si>
  <si>
    <t>QASAYMEH MOHAMMAD</t>
  </si>
  <si>
    <t>QASAYMEH MOHAMMAD MUSTAFA MD</t>
  </si>
  <si>
    <t>GOEL, NIRMIT, MD</t>
  </si>
  <si>
    <t>E0321116</t>
  </si>
  <si>
    <t>GOEL NIRMIT</t>
  </si>
  <si>
    <t>NGOEL@KALEIDAHEALTH.ORG</t>
  </si>
  <si>
    <t>GOEL NIRMIT DR.</t>
  </si>
  <si>
    <t>1 HEALTHY WAY</t>
  </si>
  <si>
    <t>OCEANSIDE</t>
  </si>
  <si>
    <t>HUNT, PATRICIA, WHNP</t>
  </si>
  <si>
    <t>E0291418</t>
  </si>
  <si>
    <t>HUNT PATRICIA</t>
  </si>
  <si>
    <t>HUNT, PATRICIA, WNP</t>
  </si>
  <si>
    <t>(716) 688-0500</t>
  </si>
  <si>
    <t>PHUNT2@KALEIDAHEALTH.ORG</t>
  </si>
  <si>
    <t>HUNT PATRICIA MS.</t>
  </si>
  <si>
    <t>UNITED CEREBRAL PALSY ASSOC OF NYS INC</t>
  </si>
  <si>
    <t>E0205030</t>
  </si>
  <si>
    <t>UCP ASSO OF NYS STATEN IS</t>
  </si>
  <si>
    <t>2324 FOREST AVE</t>
  </si>
  <si>
    <t>STATEN ISLAND</t>
  </si>
  <si>
    <t>HYDER, DEBORAH, NURSEPRAC</t>
  </si>
  <si>
    <t>E0009339</t>
  </si>
  <si>
    <t>MUCK DEBORAH S</t>
  </si>
  <si>
    <t>HYDER, DEBORAH, ANP</t>
  </si>
  <si>
    <t>(716) 859-7822</t>
  </si>
  <si>
    <t>DHYDER@KALEIDAHEALTH.ORG</t>
  </si>
  <si>
    <t>HYDER DEBORAH MRS.</t>
  </si>
  <si>
    <t>HYDER DEBORAH S</t>
  </si>
  <si>
    <t>SINGHAL, PANKAJ, MDMS</t>
  </si>
  <si>
    <t>E0005902</t>
  </si>
  <si>
    <t>SINGHAL PANKAJ KUMAR MD</t>
  </si>
  <si>
    <t>SINGHAL, PANKAJ, MD</t>
  </si>
  <si>
    <t>PSINGHAL@KALEIDAHEALTH.ORG</t>
  </si>
  <si>
    <t>SINGHAL PANKAJ DR.</t>
  </si>
  <si>
    <t>Gowanda Rehabilitation and Nursing Center</t>
  </si>
  <si>
    <t>E0242158</t>
  </si>
  <si>
    <t>GOWANDA REHAB &amp; NURSING CENTER</t>
  </si>
  <si>
    <t>Peter J. Fadely</t>
  </si>
  <si>
    <t>(716) 532-5700</t>
  </si>
  <si>
    <t>pfadely@grncrehab.com</t>
  </si>
  <si>
    <t>G N H LLC</t>
  </si>
  <si>
    <t>100 MILLER ST</t>
  </si>
  <si>
    <t>GOWANDA</t>
  </si>
  <si>
    <t>DASARI, JAYAPRAKASH, MD</t>
  </si>
  <si>
    <t>E0383509</t>
  </si>
  <si>
    <t>DASARI JAYAPRAKAS REDDY</t>
  </si>
  <si>
    <t>JDASARI@KALEIDAHEALTH.ORG</t>
  </si>
  <si>
    <t>DASARI JAYAPRAKASH DR.</t>
  </si>
  <si>
    <t>670 DAVISON RD</t>
  </si>
  <si>
    <t>GUZZETTA, LINDSAY, PA</t>
  </si>
  <si>
    <t>E0337995</t>
  </si>
  <si>
    <t>GUZZETTA LINDSAY MARIE</t>
  </si>
  <si>
    <t>LGUZZETTA@KALEIDAHEALTH.ORG</t>
  </si>
  <si>
    <t>GUZZETTA LINDSAY</t>
  </si>
  <si>
    <t>SCHLADEBECK, RACHEL,</t>
  </si>
  <si>
    <t>E0400556</t>
  </si>
  <si>
    <t>SCHLADEBECK RACHEL MARIE</t>
  </si>
  <si>
    <t>SCHLADEBECK,  RACHEL, SR COUNSELOR LICENSED</t>
  </si>
  <si>
    <t>SCHLADEBECK RACHEL</t>
  </si>
  <si>
    <t>637 DAVISON RD</t>
  </si>
  <si>
    <t>WILLIAMS, ASTON, MD</t>
  </si>
  <si>
    <t>E0197009</t>
  </si>
  <si>
    <t>WILLIAMS ASTON B           MD</t>
  </si>
  <si>
    <t>(716) 832-1776</t>
  </si>
  <si>
    <t>AWILLIAMS2@KALEIDAHEALTH.ORG</t>
  </si>
  <si>
    <t>WILLIAMS ASTON</t>
  </si>
  <si>
    <t>840 HUMBOLDT PKWY</t>
  </si>
  <si>
    <t>LEE, HENRY, MD</t>
  </si>
  <si>
    <t>E0032536</t>
  </si>
  <si>
    <t>LEE HENRY CHRISTOPHER MD</t>
  </si>
  <si>
    <t>(716) 631-3300</t>
  </si>
  <si>
    <t>HLEE@KALEIDAHEALTH.ORG</t>
  </si>
  <si>
    <t>LEE HENRY DR.</t>
  </si>
  <si>
    <t>531 FARBER LAKES DR</t>
  </si>
  <si>
    <t>LUPKIN, IVAR, CRC</t>
  </si>
  <si>
    <t>LUPKINI@SHSWNY.ORG</t>
  </si>
  <si>
    <t>LUPKIN IVAR</t>
  </si>
  <si>
    <t>HESS, MICHAEL, DDS</t>
  </si>
  <si>
    <t>E0300356</t>
  </si>
  <si>
    <t>MICHAEL DANIEL HESS</t>
  </si>
  <si>
    <t>HESS MICHAEL</t>
  </si>
  <si>
    <t>HESS MICHAEL DANIEL</t>
  </si>
  <si>
    <t>57 DAVISON CT STE D</t>
  </si>
  <si>
    <t>SZIGETI, KINGA, MD</t>
  </si>
  <si>
    <t>E0315360</t>
  </si>
  <si>
    <t>SZIGETI KINGA GYORGYI</t>
  </si>
  <si>
    <t>KSZIGETI@KALEIDAHEALTH.ORG</t>
  </si>
  <si>
    <t>SZIGETI KINGA</t>
  </si>
  <si>
    <t>HOUGHTON, DORIS, LCSWR</t>
  </si>
  <si>
    <t>E0060120</t>
  </si>
  <si>
    <t>HOUGHTON DORIS</t>
  </si>
  <si>
    <t>HOUGHTON,  DORIS , SR COUNSELOR LICENSED</t>
  </si>
  <si>
    <t>HOUGHTON DORIS MS.</t>
  </si>
  <si>
    <t>RYAN, JAMES, MD</t>
  </si>
  <si>
    <t>E0115754</t>
  </si>
  <si>
    <t>RYAN JAMES E MD</t>
  </si>
  <si>
    <t>JRYAN@KALEIDAHEALTH.ORG</t>
  </si>
  <si>
    <t>RYAN JAMES</t>
  </si>
  <si>
    <t>4225 MAPLE RD</t>
  </si>
  <si>
    <t>WINKLER, CAROL,</t>
  </si>
  <si>
    <t>E0338266</t>
  </si>
  <si>
    <t>WINKLER CAROL ANN</t>
  </si>
  <si>
    <t>WINKLER, CAROL, NP</t>
  </si>
  <si>
    <t>(716) 878-7000</t>
  </si>
  <si>
    <t>CWINKLER@CATSWNY.ORG</t>
  </si>
  <si>
    <t>WINKLER CAROL</t>
  </si>
  <si>
    <t>SMITH, LAMONT, CASAC</t>
  </si>
  <si>
    <t>SMITH LAMONT MR.</t>
  </si>
  <si>
    <t>20/20 OPTICAL OF BFLO, INC.</t>
  </si>
  <si>
    <t>E0313279</t>
  </si>
  <si>
    <t>2020 OPTICAL OF BUFFALO NY INC</t>
  </si>
  <si>
    <t>151 BUFFALO AVE APT 211</t>
  </si>
  <si>
    <t>OPTICIAN</t>
  </si>
  <si>
    <t>FITZPATRICK, EDWARD, DPM</t>
  </si>
  <si>
    <t>E0285992</t>
  </si>
  <si>
    <t>FITZPATRICK EDWARD</t>
  </si>
  <si>
    <t>EFITZPATRICK@KALEIDAHEALTH.ORG</t>
  </si>
  <si>
    <t>FITZPATRICK EDWARD DR.</t>
  </si>
  <si>
    <t>FITZPATRICK EDWARD T DPM</t>
  </si>
  <si>
    <t>BURNETT, CHRISTINA, MD</t>
  </si>
  <si>
    <t>E0067097</t>
  </si>
  <si>
    <t>BURNETT CHRISTINE M MD</t>
  </si>
  <si>
    <t>BURNETT , CHRISTINA , MD</t>
  </si>
  <si>
    <t>CBURNETT@UPA.CHOB.EDU</t>
  </si>
  <si>
    <t>BURNETT CHRISTINA DR.</t>
  </si>
  <si>
    <t>BURKHOUSE, KELLY, PHD</t>
  </si>
  <si>
    <t>E0171759</t>
  </si>
  <si>
    <t>BURKHOUSE KELLY ANN PHD</t>
  </si>
  <si>
    <t>(716) 499-9245</t>
  </si>
  <si>
    <t>KELLYB@FSCR.MYGBIZ.COM</t>
  </si>
  <si>
    <t>BURKHOUSE KELLY</t>
  </si>
  <si>
    <t>BURKHOUSE KELLY ANN</t>
  </si>
  <si>
    <t>500 PINE ST STE 3</t>
  </si>
  <si>
    <t>PARKEY, JOE, MD</t>
  </si>
  <si>
    <t>E0311936</t>
  </si>
  <si>
    <t>PARKEY JOE</t>
  </si>
  <si>
    <t>JPARKEY@KALEIDAHEALTH.ORG</t>
  </si>
  <si>
    <t>PARKEY JOE DR.</t>
  </si>
  <si>
    <t>PARKEY JOE ED</t>
  </si>
  <si>
    <t>211 CHURCH ST</t>
  </si>
  <si>
    <t>SARATOGA SPRINGS</t>
  </si>
  <si>
    <t>WRIGHT, SUSAN, DPM</t>
  </si>
  <si>
    <t>E0230947</t>
  </si>
  <si>
    <t>WRIGHT SUSAN MARIE DPM</t>
  </si>
  <si>
    <t>(716) 859-2282</t>
  </si>
  <si>
    <t>SWRIGHT3@KALEIDAHEALTH.ORG</t>
  </si>
  <si>
    <t>WRIGHT SUSAN</t>
  </si>
  <si>
    <t>SHEEHAN FAM ASSOC</t>
  </si>
  <si>
    <t>MEDICOR ASSOCIATES INC</t>
  </si>
  <si>
    <t>E0294809</t>
  </si>
  <si>
    <t>MEDICOR ASSOCIATES, ,</t>
  </si>
  <si>
    <t>MULTI-TYPE GROUP</t>
  </si>
  <si>
    <t>MASCIA, CHRISTOPHER, MD</t>
  </si>
  <si>
    <t>E0065766</t>
  </si>
  <si>
    <t>MASCIA CHRISTOPHER C</t>
  </si>
  <si>
    <t>CMASCIA@KALEIDAHEALTH.ORG</t>
  </si>
  <si>
    <t>MASCIA CHRISTOPHER DR.</t>
  </si>
  <si>
    <t>SZUMIGALA, MAXINE, MD</t>
  </si>
  <si>
    <t>E0101878</t>
  </si>
  <si>
    <t>SZUMIGALA MAXINE ELIZABETH MD</t>
  </si>
  <si>
    <t>(716) 662-7337</t>
  </si>
  <si>
    <t>MSZUMIGALA@KALEIDAHEALTH.ORG</t>
  </si>
  <si>
    <t>SZUMIGALA MAXINE DR.</t>
  </si>
  <si>
    <t>WEST NY PED ASC LLP</t>
  </si>
  <si>
    <t>PAULL, JOEL, DDSM</t>
  </si>
  <si>
    <t>E0232964</t>
  </si>
  <si>
    <t>PAULL JOEL HENRY PC        MD</t>
  </si>
  <si>
    <t>PAULL, JOEL, DDS MD</t>
  </si>
  <si>
    <t>(716) 297-7040</t>
  </si>
  <si>
    <t>JPAULL@KALEIDAHEALTH.ORG</t>
  </si>
  <si>
    <t>PAULL JOEL DR.</t>
  </si>
  <si>
    <t>STE 104</t>
  </si>
  <si>
    <t>EGNATCHIK, JAMES, MD</t>
  </si>
  <si>
    <t>E0231017</t>
  </si>
  <si>
    <t>EGNATCHIK JAMES G          MD</t>
  </si>
  <si>
    <t>JEGNATCHIK@KALEIDAHEALTH.ORG</t>
  </si>
  <si>
    <t>EGNATCHIK JAMES</t>
  </si>
  <si>
    <t>GROSNER, GARY, MD</t>
  </si>
  <si>
    <t>E0165131</t>
  </si>
  <si>
    <t>GROSNER GARY MD</t>
  </si>
  <si>
    <t>GGROSNER@KALEIDAHEALTH.ORG</t>
  </si>
  <si>
    <t>GROSNER GARY MR.</t>
  </si>
  <si>
    <t>100 HIGH ST # 3C</t>
  </si>
  <si>
    <t>DEE, ANTHONY, MD</t>
  </si>
  <si>
    <t>E0061149</t>
  </si>
  <si>
    <t>DEE ANTHONY MD</t>
  </si>
  <si>
    <t>(716) 759-7759</t>
  </si>
  <si>
    <t>ADEE@KALEIDAHEALTH.ORG</t>
  </si>
  <si>
    <t>DEE ANTHONY</t>
  </si>
  <si>
    <t>JONES, CORNELIE, MD</t>
  </si>
  <si>
    <t>E0181471</t>
  </si>
  <si>
    <t>JONES CORNELIE M  MD</t>
  </si>
  <si>
    <t>CJONES3@KALEIDAHEALTH.ORG</t>
  </si>
  <si>
    <t>JONES CORNELIE DR.</t>
  </si>
  <si>
    <t>SPURGEON, PAUL, MD</t>
  </si>
  <si>
    <t>E0194663</t>
  </si>
  <si>
    <t>SPURGEON PAUL S MD</t>
  </si>
  <si>
    <t>PSPURGEON@KALEIDAHEALTH.ORG</t>
  </si>
  <si>
    <t>SPURGEON PAUL</t>
  </si>
  <si>
    <t>MORRISON, DIANE, MD</t>
  </si>
  <si>
    <t>E0102869</t>
  </si>
  <si>
    <t>MORRISON DIANE</t>
  </si>
  <si>
    <t>(716) 565-0352</t>
  </si>
  <si>
    <t>DMORRISON@KALEIDAHEALTH.ORG</t>
  </si>
  <si>
    <t>MORRISON DIANE H MD</t>
  </si>
  <si>
    <t>37 MAPLE RD</t>
  </si>
  <si>
    <t>COGDELL, IRIS, CASAC</t>
  </si>
  <si>
    <t>COGDELL,  IRIS , SR COUN QHP - H</t>
  </si>
  <si>
    <t>COGDELL IRIS MS.</t>
  </si>
  <si>
    <t>MCTERNAN, THOMAS, MD</t>
  </si>
  <si>
    <t>E0079787</t>
  </si>
  <si>
    <t>MCTERNAN THOMAS R MD</t>
  </si>
  <si>
    <t>MCTERNAN THOMAS DR.</t>
  </si>
  <si>
    <t>(716) 934-4518</t>
  </si>
  <si>
    <t>BARNES PRIMARY CARE</t>
  </si>
  <si>
    <t>SHERIDAN MANOR LLC</t>
  </si>
  <si>
    <t>2799 SHERIDAN DR</t>
  </si>
  <si>
    <t>MAHRAN, KHALID, MD</t>
  </si>
  <si>
    <t>E0122625</t>
  </si>
  <si>
    <t>KHALID MAHRAN</t>
  </si>
  <si>
    <t>(716) 873-7301</t>
  </si>
  <si>
    <t>KMAHRAN@KALEIDAHEALTH.ORG</t>
  </si>
  <si>
    <t>MAHRAN KHALID</t>
  </si>
  <si>
    <t>MAHRAN, KHALID SIDKIE SIDDIEK</t>
  </si>
  <si>
    <t>ZANET, IRENE, LMHC</t>
  </si>
  <si>
    <t>ZANET,  IRENE, LMHC</t>
  </si>
  <si>
    <t>ISANET@CATSWNY.ORG</t>
  </si>
  <si>
    <t>ZANET IRENE MRS.</t>
  </si>
  <si>
    <t>430 NIAGARA STREET</t>
  </si>
  <si>
    <t>CHAUTAUQUA COUNTY HEALTH DEPARTMENT</t>
  </si>
  <si>
    <t>E0156931</t>
  </si>
  <si>
    <t>CHAUTAUQUA CO D O H PSSHSP</t>
  </si>
  <si>
    <t>CHRISTINE SCHUYLER</t>
  </si>
  <si>
    <t>(716) 753-4792</t>
  </si>
  <si>
    <t>SCHUYLEC@CO.CHAUTAUQUA.NY.US</t>
  </si>
  <si>
    <t>COUNTY OF CHAUTAUQUA A MUN CORP</t>
  </si>
  <si>
    <t>CHAUTAUQUA COUNTY HEALTH DEPT</t>
  </si>
  <si>
    <t>HR CLOTHIER BLDG</t>
  </si>
  <si>
    <t>KORMAN, SHEILA, LCSWRACS</t>
  </si>
  <si>
    <t>E0367937</t>
  </si>
  <si>
    <t>KORMAN SHEILA S</t>
  </si>
  <si>
    <t>KORMAN, SHEILA , LCSW-R, ACSW</t>
  </si>
  <si>
    <t>SKORMAN@CATSWNY.ORG</t>
  </si>
  <si>
    <t>KORMAN SHEILA MRS.</t>
  </si>
  <si>
    <t>SZETELA, DEBORAH, PA</t>
  </si>
  <si>
    <t>E0013597</t>
  </si>
  <si>
    <t>SZETELA DEBORAH A RPA</t>
  </si>
  <si>
    <t>SZETELA, DEBORAH, PA-C</t>
  </si>
  <si>
    <t>(716) 912-1678</t>
  </si>
  <si>
    <t>DSZETELA@KALEIDAHEALTH.ORG</t>
  </si>
  <si>
    <t>SZETELA DEBORAH MS.</t>
  </si>
  <si>
    <t>HUDECKI, GREGORY, DDS</t>
  </si>
  <si>
    <t>E0012444</t>
  </si>
  <si>
    <t>HUDECKI GREGORY E DDS</t>
  </si>
  <si>
    <t>HUDECKI GREGORY DR.</t>
  </si>
  <si>
    <t>HUDECKI GREGORY EUGENE</t>
  </si>
  <si>
    <t>4927 MAIN ST</t>
  </si>
  <si>
    <t xml:space="preserve">Pickhardt, Donald </t>
  </si>
  <si>
    <t>E0035206</t>
  </si>
  <si>
    <t>PICKHARDT DONALD F MD</t>
  </si>
  <si>
    <t>PICKHARDT DONALD</t>
  </si>
  <si>
    <t>PICKHARDT DONALD F</t>
  </si>
  <si>
    <t>SAINSBURY, DAWNMARIE, LCSWR</t>
  </si>
  <si>
    <t>E0010883</t>
  </si>
  <si>
    <t>SAINSBURY DAWN</t>
  </si>
  <si>
    <t>SAINSBURY, DAWNMARIE, LCSW-R</t>
  </si>
  <si>
    <t>SAINSBURYD@SHSWNY.ORG</t>
  </si>
  <si>
    <t>SAINSBURY DAWNMARIE</t>
  </si>
  <si>
    <t>GUPTA, UMANG, MD</t>
  </si>
  <si>
    <t>E0010039</t>
  </si>
  <si>
    <t>GUPTA UMANG MD</t>
  </si>
  <si>
    <t>(716) 878-7300</t>
  </si>
  <si>
    <t>UGUPTA@KALEIDAHEALTH.ORG</t>
  </si>
  <si>
    <t>GUPTA UMANG</t>
  </si>
  <si>
    <t>KOENIG, BENJAMIN, MD</t>
  </si>
  <si>
    <t>E0074458</t>
  </si>
  <si>
    <t>KOENIG BENJAMIN OTTO MD</t>
  </si>
  <si>
    <t>BKOENIG@KALEIDAHEALTH.ORG</t>
  </si>
  <si>
    <t>KOENIG BENJAMIN</t>
  </si>
  <si>
    <t>SISTERS CHARITY EM</t>
  </si>
  <si>
    <t>BTNH INC</t>
  </si>
  <si>
    <t>RANDY GERLACH</t>
  </si>
  <si>
    <t>(716) 883-6782</t>
  </si>
  <si>
    <t>RGERLACH@ECMC.EDU</t>
  </si>
  <si>
    <t>1014 DELAWARE AVENUE</t>
  </si>
  <si>
    <t>BAKER, ROBERT, MD</t>
  </si>
  <si>
    <t>E0091028</t>
  </si>
  <si>
    <t>BAKER ROBERT DENIO MD</t>
  </si>
  <si>
    <t>BAKER, ROBERT, MD PHD</t>
  </si>
  <si>
    <t>(716) 878-6720</t>
  </si>
  <si>
    <t>RBAKER3@KALEIDAHEALTH.ORG</t>
  </si>
  <si>
    <t>BAKER ROBERT</t>
  </si>
  <si>
    <t>E0260771</t>
  </si>
  <si>
    <t>MILLARD FILLMORE HOSPITALS</t>
  </si>
  <si>
    <t>(716) 859-8382</t>
  </si>
  <si>
    <t>MACIEJEWSKI, MARY,</t>
  </si>
  <si>
    <t>E0376728</t>
  </si>
  <si>
    <t>MACIEJEWSKI MARY ELIZABETH</t>
  </si>
  <si>
    <t>MACIEJEWSKI, MARY, PNP</t>
  </si>
  <si>
    <t>MMACIEJEWSKI@KALEIDAHEALTH.ORG</t>
  </si>
  <si>
    <t>MACIEJEWSKI MARY</t>
  </si>
  <si>
    <t>PURCELL, EILEEN, FNP</t>
  </si>
  <si>
    <t>E0014459</t>
  </si>
  <si>
    <t>PURCELL EILEEN BARBARA</t>
  </si>
  <si>
    <t>EPURCELL@KALEIDAHEALTH.ORG</t>
  </si>
  <si>
    <t>PURCELL EILEEN</t>
  </si>
  <si>
    <t>815 HOPKINS RD</t>
  </si>
  <si>
    <t>HOERNER, AUDREY, NP</t>
  </si>
  <si>
    <t>E0063852</t>
  </si>
  <si>
    <t>HOERNER AUDREY ANN</t>
  </si>
  <si>
    <t>HOERNER AUDREY</t>
  </si>
  <si>
    <t>BENT-SHAW, LUIS, MD</t>
  </si>
  <si>
    <t>E0007022</t>
  </si>
  <si>
    <t>LUIS ALFREDO NATHANIE BENT-SHAW</t>
  </si>
  <si>
    <t>(212) 241-0601</t>
  </si>
  <si>
    <t>LBENTSHAW@KALEIDAHEALTH.ORG</t>
  </si>
  <si>
    <t>BENT-SHAW LUIS</t>
  </si>
  <si>
    <t>BENT SHAW LUIS ALFREDO NATHANIEL</t>
  </si>
  <si>
    <t>TROEN, BRUCE, MD</t>
  </si>
  <si>
    <t>E0089721</t>
  </si>
  <si>
    <t>TROEN BRUCE ROBERT MD</t>
  </si>
  <si>
    <t>(305) 243-6484</t>
  </si>
  <si>
    <t>BTROEN@KALEIDAHEALTH.ORG</t>
  </si>
  <si>
    <t>TROEN BRUCE</t>
  </si>
  <si>
    <t>TROEN BRUCE ROBERT</t>
  </si>
  <si>
    <t>TRINIDAD, KIMBERLY, MD</t>
  </si>
  <si>
    <t>E0164610</t>
  </si>
  <si>
    <t>TRINIDAD KIMBERLY S MD</t>
  </si>
  <si>
    <t>(716) 876-0284</t>
  </si>
  <si>
    <t>KTRINIDAD@KALEIDAHEALTH.ORG</t>
  </si>
  <si>
    <t>TRINIDAD KIMBERLY</t>
  </si>
  <si>
    <t>ALBANESE, UMBERTO, MD</t>
  </si>
  <si>
    <t>E0221252</t>
  </si>
  <si>
    <t>ALBANESE UMBERTO           MD</t>
  </si>
  <si>
    <t>UALBANESE@KALEIDAHEALTH.ORG</t>
  </si>
  <si>
    <t>ALBANESE UMBERTO DR.</t>
  </si>
  <si>
    <t>Feld, Gregg</t>
  </si>
  <si>
    <t>E0164231</t>
  </si>
  <si>
    <t>FELD GREGG I MD</t>
  </si>
  <si>
    <t>FELD GREGG</t>
  </si>
  <si>
    <t>BUFF GEN XRAY ASSOC</t>
  </si>
  <si>
    <t>SEGAL, BARBARA, MD</t>
  </si>
  <si>
    <t>E0115764</t>
  </si>
  <si>
    <t>SEGAL BARBARA A MD</t>
  </si>
  <si>
    <t>BSEGAL@KALEIDAHEALTH.ORG</t>
  </si>
  <si>
    <t>SEGAL BARBARA DR.</t>
  </si>
  <si>
    <t>TONAWANDA PEDS #205</t>
  </si>
  <si>
    <t>KURUVILLA, PHILIP, MD</t>
  </si>
  <si>
    <t>E0150736</t>
  </si>
  <si>
    <t>KURUVILLA PHILIP MD</t>
  </si>
  <si>
    <t>PKURUVILLA@KALEIDAHEALTH.ORG</t>
  </si>
  <si>
    <t>KURUVILLA PHILIP</t>
  </si>
  <si>
    <t>115 FLINT RD</t>
  </si>
  <si>
    <t>ROCKOFF, JEFFREY, MD</t>
  </si>
  <si>
    <t>E0195042</t>
  </si>
  <si>
    <t>ROCKOFF JEFFREY B          MD</t>
  </si>
  <si>
    <t>JROCKOFF@KALEIDAHEALTH.ORG</t>
  </si>
  <si>
    <t>ROCKOFF JEFFREY DR.</t>
  </si>
  <si>
    <t>MEYER, JENNIFER, PA</t>
  </si>
  <si>
    <t>E0092675</t>
  </si>
  <si>
    <t>MEYER JENNIFER RPA</t>
  </si>
  <si>
    <t>JMEYER@KALEIDAHEALTH.ORG</t>
  </si>
  <si>
    <t>MEYER JENNIFER</t>
  </si>
  <si>
    <t>MEYER JENNIFER JAUCH</t>
  </si>
  <si>
    <t>SKOMRA, RICHARD, CRNA</t>
  </si>
  <si>
    <t>RSKOMRA@KALEIDAHEALTH.ORG</t>
  </si>
  <si>
    <t>SKOMRA RICHARD</t>
  </si>
  <si>
    <t>VISCO, JEFFREY, MD</t>
  </si>
  <si>
    <t>E0041318</t>
  </si>
  <si>
    <t>VISCO JEFFREY JOHN MD</t>
  </si>
  <si>
    <t>JVISCO@KALEIDAHEALTH.ORG</t>
  </si>
  <si>
    <t>VISCO JEFFREY DR.</t>
  </si>
  <si>
    <t>BUFFALO MED GROUP</t>
  </si>
  <si>
    <t>JOHNSON, JEFFREY, MD</t>
  </si>
  <si>
    <t>E0366689</t>
  </si>
  <si>
    <t>JOHNSON JEFFREY RICHARD</t>
  </si>
  <si>
    <t>(603) 695-2500</t>
  </si>
  <si>
    <t>JJOHNSON4@KALEIDAHEALTH.ORG</t>
  </si>
  <si>
    <t>JOHNSON JEFFREY</t>
  </si>
  <si>
    <t>6161 TRANSIT RD</t>
  </si>
  <si>
    <t>DANZIGER, IRIS, MD</t>
  </si>
  <si>
    <t>E0172680</t>
  </si>
  <si>
    <t>DANZIGER IRIS R  MD</t>
  </si>
  <si>
    <t>(716) 712-0855</t>
  </si>
  <si>
    <t>IDANZIGER@KALEIDAHEALTH.ORG</t>
  </si>
  <si>
    <t>DANZIGER IRIS</t>
  </si>
  <si>
    <t>50 HIGH ST</t>
  </si>
  <si>
    <t>MERHIGE, MICHAEL, MD</t>
  </si>
  <si>
    <t>E0188660</t>
  </si>
  <si>
    <t>MERHIGE MICHAEL E MD</t>
  </si>
  <si>
    <t>(716) 278-4771</t>
  </si>
  <si>
    <t>MMERHIGE@KALEIDAHEALTH.ORG</t>
  </si>
  <si>
    <t>MERHIGE MICHAEL DR.</t>
  </si>
  <si>
    <t>MERHIGE MICHAEL EDWARD</t>
  </si>
  <si>
    <t>2447 SHERIDAN DR</t>
  </si>
  <si>
    <t>SNOW, IRENE, MD</t>
  </si>
  <si>
    <t>E0222973</t>
  </si>
  <si>
    <t>SNOW IRENE SHARON          MD</t>
  </si>
  <si>
    <t>(715) 857-8666</t>
  </si>
  <si>
    <t>ISNOW@KALEIDAHEALTH.ORG</t>
  </si>
  <si>
    <t>SNOW IRENE DR.</t>
  </si>
  <si>
    <t>SNOW IRENE SHARON MD</t>
  </si>
  <si>
    <t>6010 MAIN ST</t>
  </si>
  <si>
    <t>HAIM, ROBERT, MD</t>
  </si>
  <si>
    <t>E0040063</t>
  </si>
  <si>
    <t>HAIM ROBERT</t>
  </si>
  <si>
    <t>RHAIM@KALEIDAHEALTH.ORG</t>
  </si>
  <si>
    <t>HAIM ROBERT MR.</t>
  </si>
  <si>
    <t>WITHERBY, MARGARET, SWLCSW</t>
  </si>
  <si>
    <t>E0363150</t>
  </si>
  <si>
    <t>WITHERBY MARGARET</t>
  </si>
  <si>
    <t>WITHERBY, MARGARET, LCSW</t>
  </si>
  <si>
    <t>(716) 213-8933</t>
  </si>
  <si>
    <t>MWITHERBY@JFSBUFFALO.ORG</t>
  </si>
  <si>
    <t>WITHERBY MARGARET MS.</t>
  </si>
  <si>
    <t>SLOUGH, JAMES, MD</t>
  </si>
  <si>
    <t>E0170659</t>
  </si>
  <si>
    <t>SLOUGH JAMES ALAN MD</t>
  </si>
  <si>
    <t>JSLOUGH@KALEIDAHEALTH.ORG</t>
  </si>
  <si>
    <t>SLOUGH JAMES</t>
  </si>
  <si>
    <t>3925 SHERIDAN DR</t>
  </si>
  <si>
    <t>MITCHELL, MARGARET, MD</t>
  </si>
  <si>
    <t>E0216659</t>
  </si>
  <si>
    <t>MITCHELL MARGARET RUTH     MD</t>
  </si>
  <si>
    <t>(716) 689-4800</t>
  </si>
  <si>
    <t>MITCHELL MARGARET</t>
  </si>
  <si>
    <t>2610 N FRENCH RD</t>
  </si>
  <si>
    <t>SKOWRONSKI, DAWN M., LCSWR</t>
  </si>
  <si>
    <t>E0363431</t>
  </si>
  <si>
    <t>SKOWRONSKI DAWN M</t>
  </si>
  <si>
    <t>SKOWRONSKI DAWN</t>
  </si>
  <si>
    <t>MEESALA, MRINALINI, MD</t>
  </si>
  <si>
    <t>E0318273</t>
  </si>
  <si>
    <t>MEESALA MRINALINI</t>
  </si>
  <si>
    <t>(716) 634-3243</t>
  </si>
  <si>
    <t>MEESALA MRINALINI DR.</t>
  </si>
  <si>
    <t>SCHOELERMAN, RONALD,</t>
  </si>
  <si>
    <t>SCHOELERMAN,  RONALD, SR COUNSELOR LICENSED</t>
  </si>
  <si>
    <t>SCHOELERMAN RONALD</t>
  </si>
  <si>
    <t>WITTENBERG, CHRISTINE, LMSW</t>
  </si>
  <si>
    <t>WITTENBERG,  CHRISTINE, QA SPECIALIST</t>
  </si>
  <si>
    <t>WITTENBERG CHRISTINE MRS.</t>
  </si>
  <si>
    <t>KRON, BRIAN, RPAC</t>
  </si>
  <si>
    <t>E0288652</t>
  </si>
  <si>
    <t>KRON BRIAN MARTIN PA</t>
  </si>
  <si>
    <t>KRON, BRIAN, PA</t>
  </si>
  <si>
    <t>(716) 631-2517</t>
  </si>
  <si>
    <t>BKRON@KALEIDAHEALTH.ORG</t>
  </si>
  <si>
    <t>KRON BRIAN</t>
  </si>
  <si>
    <t>656 ELMWOOD AVE</t>
  </si>
  <si>
    <t>OKAZAKI, SABURO, MD</t>
  </si>
  <si>
    <t>E0332363</t>
  </si>
  <si>
    <t>OKAZAKI SABURO</t>
  </si>
  <si>
    <t>SOKAZAKI@KALEIDAHEALTH.ORG</t>
  </si>
  <si>
    <t>1315 JEFFERSON AVE</t>
  </si>
  <si>
    <t>NAZARETH, MICHAEL, MDPHD</t>
  </si>
  <si>
    <t>E0368974</t>
  </si>
  <si>
    <t>NAZARETH MICHAEL</t>
  </si>
  <si>
    <t>NAZARETH, MICHAEL, MD</t>
  </si>
  <si>
    <t>(716) 831-2600</t>
  </si>
  <si>
    <t>MNAZARETH@KALEIDAHEALTH.ORG</t>
  </si>
  <si>
    <t>NAZARETH MICHAEL DR.</t>
  </si>
  <si>
    <t>5611 MAIN ST</t>
  </si>
  <si>
    <t>SOKOLOVSKIY, MELANIE, NP</t>
  </si>
  <si>
    <t>E0285035</t>
  </si>
  <si>
    <t>SOKOLOVSKIY MELANIE</t>
  </si>
  <si>
    <t>JORDAN, KELLY, PA</t>
  </si>
  <si>
    <t>E0007090</t>
  </si>
  <si>
    <t>JORDAN KELLY MARIE RPA</t>
  </si>
  <si>
    <t>(716) 204-3255</t>
  </si>
  <si>
    <t>KJORDAN@KALEIDAHEALTH.ORG</t>
  </si>
  <si>
    <t>JORDAN KELLY</t>
  </si>
  <si>
    <t>533 MEADOW DR # 2</t>
  </si>
  <si>
    <t>BLACHA, TINA, NURSEPRAC</t>
  </si>
  <si>
    <t>E0007848</t>
  </si>
  <si>
    <t>BLACHA TINA MARIE</t>
  </si>
  <si>
    <t>BLACHA, TINA, FNP</t>
  </si>
  <si>
    <t>(716) 568-3600</t>
  </si>
  <si>
    <t>TBLACHA@KALEIDAHEALTH.ORG</t>
  </si>
  <si>
    <t>BLACHA TINA</t>
  </si>
  <si>
    <t>BLACHA TINA MARIE NP</t>
  </si>
  <si>
    <t>MANCL, TARA, MD</t>
  </si>
  <si>
    <t>E0309980</t>
  </si>
  <si>
    <t>MANCL TARA BETH</t>
  </si>
  <si>
    <t>MANCI , TARA,</t>
  </si>
  <si>
    <t>(269) 337-4400</t>
  </si>
  <si>
    <t>MANCL TARA DR.</t>
  </si>
  <si>
    <t>JERZEWSKI, AARON, MD</t>
  </si>
  <si>
    <t>E0322880</t>
  </si>
  <si>
    <t>JERZEWSKI AARON</t>
  </si>
  <si>
    <t>(716) 479-5828</t>
  </si>
  <si>
    <t>AJERZEWSKI@KALEIDAHEALTH.ORG</t>
  </si>
  <si>
    <t>JERZEWSKI AARON DR.</t>
  </si>
  <si>
    <t>JERZEWSKI AARON JOHN</t>
  </si>
  <si>
    <t>TARASEVICH, NATALYA, PA</t>
  </si>
  <si>
    <t>NTARASEVICH@KALEIDAHEALTH.ORG</t>
  </si>
  <si>
    <t>TARASEVICH NATALYA</t>
  </si>
  <si>
    <t>1210 W FARIS RD</t>
  </si>
  <si>
    <t>GREENVILLE</t>
  </si>
  <si>
    <t>SC</t>
  </si>
  <si>
    <t>PAL, AMANDEEP, MD</t>
  </si>
  <si>
    <t>E0307775</t>
  </si>
  <si>
    <t>PAL AMANDEEP</t>
  </si>
  <si>
    <t>PAL AMANDEEP DR.</t>
  </si>
  <si>
    <t>RAYNER, LAURA, MD</t>
  </si>
  <si>
    <t>E0351095</t>
  </si>
  <si>
    <t>RAYNER LAURA JEAN</t>
  </si>
  <si>
    <t>(716) 523-3020</t>
  </si>
  <si>
    <t>LRAYNER@KALEIDAHEALTH.ORG</t>
  </si>
  <si>
    <t>RAYNER LAURA DR.</t>
  </si>
  <si>
    <t>2730 UNION RD</t>
  </si>
  <si>
    <t>KITTS, CAITLYN,</t>
  </si>
  <si>
    <t>KITTS, CAITLYN, SENIOR COUNSELOR - HV</t>
  </si>
  <si>
    <t>KITTS CAITLYN</t>
  </si>
  <si>
    <t>SMITH, COURTNEY, ANP</t>
  </si>
  <si>
    <t>E0375052</t>
  </si>
  <si>
    <t>SMITH COURTNEY G</t>
  </si>
  <si>
    <t>(716) 913-1482</t>
  </si>
  <si>
    <t>CSMITH4@KALEIDAHEALTH.ORG</t>
  </si>
  <si>
    <t>SMITH COURTNEY MRS.</t>
  </si>
  <si>
    <t>DYBALSKI, ANDREW, RPAC</t>
  </si>
  <si>
    <t>E0057191</t>
  </si>
  <si>
    <t>DYBALSKI ANDREW MARTIN</t>
  </si>
  <si>
    <t>DYBALSKI, ANDREW, PA</t>
  </si>
  <si>
    <t>(716) 854-5700</t>
  </si>
  <si>
    <t>ADYBALSKI@KALEIDAHEALTH.ORG</t>
  </si>
  <si>
    <t>DYBALSKI ANDREW MR.</t>
  </si>
  <si>
    <t>BROOKHAVEN HEALTH CARE FACILITY</t>
  </si>
  <si>
    <t>E0191530</t>
  </si>
  <si>
    <t>BROOKHAVEN HLTH CARE SNF</t>
  </si>
  <si>
    <t>STEPHEN M. MERCURIO</t>
  </si>
  <si>
    <t>(631) 447-8800</t>
  </si>
  <si>
    <t>SMERCURIO@MCGUIREGROUP.COM</t>
  </si>
  <si>
    <t>801 GAZZOLA DR</t>
  </si>
  <si>
    <t>EAST PATCHOGUE</t>
  </si>
  <si>
    <t>CHAUDHURI, AJAY, MD</t>
  </si>
  <si>
    <t>E0084312</t>
  </si>
  <si>
    <t>CHAUDHURI AJAY MD</t>
  </si>
  <si>
    <t>ACHAUDHURI@KALEIDAHEALTH.ORG</t>
  </si>
  <si>
    <t>CHAUDHURI AJAY DR.</t>
  </si>
  <si>
    <t>BRIODY HEALTH CARE FACILTIY LLC</t>
  </si>
  <si>
    <t>E0251987</t>
  </si>
  <si>
    <t>BRIODY HEALTH CARE FACILITY</t>
  </si>
  <si>
    <t>ANN BRIODY PETOCK</t>
  </si>
  <si>
    <t>(716) 434-6361</t>
  </si>
  <si>
    <t>ABRIODYPETOCK@BRIODY.ORG</t>
  </si>
  <si>
    <t>909 LINCOLN AVE</t>
  </si>
  <si>
    <t>MONTESANTI, DAVID, MD</t>
  </si>
  <si>
    <t>E0071815</t>
  </si>
  <si>
    <t>MONTESANTI DAVID PAUL MD</t>
  </si>
  <si>
    <t>(716) 631-8888</t>
  </si>
  <si>
    <t>DMONTESANTI@KALEIDAHEALTH.ORG</t>
  </si>
  <si>
    <t>MONTESANTI DAVID DR.</t>
  </si>
  <si>
    <t>1 HOPKINS RD</t>
  </si>
  <si>
    <t>MENOFF, JEFFREY, DDS</t>
  </si>
  <si>
    <t>E0210517</t>
  </si>
  <si>
    <t>MENOFF JEFFREY DAVID      DDS</t>
  </si>
  <si>
    <t>MENOFF JEFFREY DR.</t>
  </si>
  <si>
    <t>(716) 665-1468</t>
  </si>
  <si>
    <t>MENOFF JEFFREY DAVID</t>
  </si>
  <si>
    <t>785 FAIRMOUNT AVE</t>
  </si>
  <si>
    <t>CIHAK, WILLIAM, MD</t>
  </si>
  <si>
    <t>E0097800</t>
  </si>
  <si>
    <t>CIHAK WILLIAM GARRITY II</t>
  </si>
  <si>
    <t>DANIEL STRAUCH, CEO</t>
  </si>
  <si>
    <t>(716) 372-0141</t>
  </si>
  <si>
    <t>DSTRAUCH@OLEANMEDICAL.COM</t>
  </si>
  <si>
    <t>CIHAK WILLIAM</t>
  </si>
  <si>
    <t>MICHALSKI, STANLEY, MD</t>
  </si>
  <si>
    <t>E0230577</t>
  </si>
  <si>
    <t>MICHALSKI STANLEY R</t>
  </si>
  <si>
    <t>SMICHALSKI2@KALEIDAHEALTH.ORG</t>
  </si>
  <si>
    <t>MICHALSKI STANLEY DR.</t>
  </si>
  <si>
    <t>GIANFAGNA, ROBERT, MD</t>
  </si>
  <si>
    <t>E0192651</t>
  </si>
  <si>
    <t>GIANFAGNA ROBERT ANTHONY MD</t>
  </si>
  <si>
    <t>RGIANFAGNA@KALEIDAHEALTH.ORG</t>
  </si>
  <si>
    <t>GIANFAGNA ROBERT</t>
  </si>
  <si>
    <t>3435 BAILEY AVE</t>
  </si>
  <si>
    <t>KEELTY, KELLY, PA</t>
  </si>
  <si>
    <t>E0083466</t>
  </si>
  <si>
    <t>KEELTY KELLY M</t>
  </si>
  <si>
    <t>(716) 859-7100</t>
  </si>
  <si>
    <t>KKEELTY@KALEIDAHEALTH.ORG</t>
  </si>
  <si>
    <t>KEELTY KELLY</t>
  </si>
  <si>
    <t>RIFKIN, DANIEL, MD</t>
  </si>
  <si>
    <t>E0124624</t>
  </si>
  <si>
    <t>RIFKIN DANIEL I MD</t>
  </si>
  <si>
    <t>(716) 923-7326</t>
  </si>
  <si>
    <t>DRIFKIN@KALEIDAHEALTH.ORG</t>
  </si>
  <si>
    <t>RIFKIN DANIEL</t>
  </si>
  <si>
    <t>MFH-SLEEP DISORDER C</t>
  </si>
  <si>
    <t>MEYER, SABRINA, CRNP</t>
  </si>
  <si>
    <t>E0297714</t>
  </si>
  <si>
    <t>MEYER SABRINA ZANOWICK</t>
  </si>
  <si>
    <t>MEYER, SABRINA, PNP</t>
  </si>
  <si>
    <t>(716) 878-7393</t>
  </si>
  <si>
    <t>SMEYER@KALEIDAHEALTH.ORG</t>
  </si>
  <si>
    <t>MEYER SABRINA</t>
  </si>
  <si>
    <t>GBADAMOSI, FATAI, MD</t>
  </si>
  <si>
    <t>E0095059</t>
  </si>
  <si>
    <t>GBADAMOSI FATAI ADESINA MD</t>
  </si>
  <si>
    <t>MICHAEL LEE</t>
  </si>
  <si>
    <t>(716) 847-0328</t>
  </si>
  <si>
    <t>MLEE@EVERGREENHS.ORG</t>
  </si>
  <si>
    <t>GBADAMOSI FATAI</t>
  </si>
  <si>
    <t>GBADAMOSI FATAI ADESINA</t>
  </si>
  <si>
    <t>206 SOUTH ELMWOOD AVENUE</t>
  </si>
  <si>
    <t>KLEIMAN, NATASHA, FNP</t>
  </si>
  <si>
    <t>E0053919</t>
  </si>
  <si>
    <t>KLEIMAN NATASHA</t>
  </si>
  <si>
    <t>(716) 848-2117</t>
  </si>
  <si>
    <t>NKLEIMAN@KALEIDAHEALTH.ORG</t>
  </si>
  <si>
    <t>100 COLLEGE PKWY</t>
  </si>
  <si>
    <t>CHMIEL, RONALD, DDS</t>
  </si>
  <si>
    <t>E0174714</t>
  </si>
  <si>
    <t>CHMIEL RONALD ADAM JR  DDS</t>
  </si>
  <si>
    <t>(716) 633-8400</t>
  </si>
  <si>
    <t>RCHMIEL@KALEIDAHEALTH.ORG</t>
  </si>
  <si>
    <t>CHMIEL RONALD DR.</t>
  </si>
  <si>
    <t>777 MAPLE RD</t>
  </si>
  <si>
    <t>MAJEWSKI, BEVERLY, NP</t>
  </si>
  <si>
    <t>E0016324</t>
  </si>
  <si>
    <t>MAJEWSKI BEVERLY L NP</t>
  </si>
  <si>
    <t>MAJEWSKI, BEVERLY, ANP</t>
  </si>
  <si>
    <t>(716) 688-7451</t>
  </si>
  <si>
    <t>BMAJEWSKI@KALEIDAHEALTH.ORG</t>
  </si>
  <si>
    <t>MAJEWSKI BEVERLY MRS.</t>
  </si>
  <si>
    <t>KAUFMAN, HEATHER, MD</t>
  </si>
  <si>
    <t>E0152222</t>
  </si>
  <si>
    <t>KAUFMAN HEATHER L MD</t>
  </si>
  <si>
    <t>KAUFMAN , HEATHER , MD</t>
  </si>
  <si>
    <t>HKAUFMAN@UPA.CHOB.EDU</t>
  </si>
  <si>
    <t>KAUFMAN HEATHER</t>
  </si>
  <si>
    <t>LOPAT-WINTER, MARY BETH, MD</t>
  </si>
  <si>
    <t>E0143987</t>
  </si>
  <si>
    <t>LOPAT-WINTER MARY BETH</t>
  </si>
  <si>
    <t>LOPAT-WINTER, MARY, MD</t>
  </si>
  <si>
    <t>MLOPATWINTER@KALEIDAHEALTH.ORG</t>
  </si>
  <si>
    <t>LOPAT-WINTER MARY BETH DR.</t>
  </si>
  <si>
    <t>KUMAR, VASANTHA, MD</t>
  </si>
  <si>
    <t>E0072352</t>
  </si>
  <si>
    <t>KUMAR VASANTHA HS MD</t>
  </si>
  <si>
    <t>VKUMAR2@KALEIDAHEALTH.ORG</t>
  </si>
  <si>
    <t>KUMAR VASANTHA</t>
  </si>
  <si>
    <t>C H O B</t>
  </si>
  <si>
    <t>KRADEN, ARNOLD, OD</t>
  </si>
  <si>
    <t>E0236547</t>
  </si>
  <si>
    <t>KRADEN ARNOLD OD</t>
  </si>
  <si>
    <t>(716) 883-4747</t>
  </si>
  <si>
    <t>KRADEN ARNOLD DR.</t>
  </si>
  <si>
    <t>324 W FERRY ST</t>
  </si>
  <si>
    <t>OPTOMETRIST</t>
  </si>
  <si>
    <t>DANIELS, REBECCA, DO</t>
  </si>
  <si>
    <t>E0141455</t>
  </si>
  <si>
    <t>MOLNAR REBECCA ELIZABETH MD</t>
  </si>
  <si>
    <t>RDANIELS2@KALEIDAHEALTH.ORG</t>
  </si>
  <si>
    <t>DANIELS REBECCA DR.</t>
  </si>
  <si>
    <t>DANIELS  REBECCA ELIZABETH MD</t>
  </si>
  <si>
    <t>BENNETT, SUSAN, RPAC</t>
  </si>
  <si>
    <t>E0065409</t>
  </si>
  <si>
    <t>BENNETT SUSAN M</t>
  </si>
  <si>
    <t>BENNETT, SUSAN, PT</t>
  </si>
  <si>
    <t>(716) 626-0030</t>
  </si>
  <si>
    <t>SBENNETT2@KALEIDAHEALTH.ORG</t>
  </si>
  <si>
    <t>BENNETT SUSAN MRS.</t>
  </si>
  <si>
    <t>MIDDLEPORT</t>
  </si>
  <si>
    <t>SHERBAN, ROSS, DO</t>
  </si>
  <si>
    <t>E0321979</t>
  </si>
  <si>
    <t>SHERBAN ROSS</t>
  </si>
  <si>
    <t>(248) 217-6701</t>
  </si>
  <si>
    <t>RSHERBAN@KALEIDAHEALTH.ORG</t>
  </si>
  <si>
    <t>SHERBAN ROSS DR.</t>
  </si>
  <si>
    <t>55 SPINDRIFT DR</t>
  </si>
  <si>
    <t>WILLIAMVILLE</t>
  </si>
  <si>
    <t>KARPIE, JOHN, MD</t>
  </si>
  <si>
    <t>E0368998</t>
  </si>
  <si>
    <t>KARPIE JOHN</t>
  </si>
  <si>
    <t>JKARPIE@KALEIDAHEALTH.ORG</t>
  </si>
  <si>
    <t>192 PARK CLUB LN STE</t>
  </si>
  <si>
    <t>WHEAT, HEATHER, MD</t>
  </si>
  <si>
    <t>E0056108</t>
  </si>
  <si>
    <t>WHEAT HEATHER MILLER MD</t>
  </si>
  <si>
    <t>HWHEAT@KALEIDAHEALTH.ORG</t>
  </si>
  <si>
    <t>WHEAT HEATHER</t>
  </si>
  <si>
    <t>ACADEMIC MED SVCS</t>
  </si>
  <si>
    <t>BAYANI, SOHEILA, CRNA</t>
  </si>
  <si>
    <t>SBAYANI@KALEIDAHEALTH.ORG</t>
  </si>
  <si>
    <t>BAYANI SOHEILA</t>
  </si>
  <si>
    <t>GURSKE-DEPERIO, JENNIFER, MD</t>
  </si>
  <si>
    <t>E0321932</t>
  </si>
  <si>
    <t>GURSKE-DESPERIO JENNIFER</t>
  </si>
  <si>
    <t>(716) 361-0921</t>
  </si>
  <si>
    <t>JGURSKEDEPERIO@KALEIDAHEALTH.ORG</t>
  </si>
  <si>
    <t>GURSKE-DEPERIO JENNIFER</t>
  </si>
  <si>
    <t>DE PERIO JENNIFER GURSKE</t>
  </si>
  <si>
    <t>PETROSKI, TARA, MD</t>
  </si>
  <si>
    <t>E0302162</t>
  </si>
  <si>
    <t>PETROSKI TARA MARIE</t>
  </si>
  <si>
    <t>(716) 685-9328</t>
  </si>
  <si>
    <t>PETROSKI TARA DR.</t>
  </si>
  <si>
    <t>ROEHMHOLDT, MARY, MD</t>
  </si>
  <si>
    <t>E0251549</t>
  </si>
  <si>
    <t>ROEHMHOLDT MARY ELIZABETH  MD</t>
  </si>
  <si>
    <t>ROEHMHOLDT, MARY ELIZABETH, MD</t>
  </si>
  <si>
    <t>(716) 634-6357</t>
  </si>
  <si>
    <t>MROEHMHOLDT@KALEIDAHEALTH.ORG</t>
  </si>
  <si>
    <t>ROEHMHOLDT MARY DR.</t>
  </si>
  <si>
    <t>STE 105</t>
  </si>
  <si>
    <t>PATEL, KALPANA, MD</t>
  </si>
  <si>
    <t>E0237075</t>
  </si>
  <si>
    <t>PATEL KALPANA D            MD</t>
  </si>
  <si>
    <t>(716) 837-1320</t>
  </si>
  <si>
    <t>KPATEL@KALEIDAHEALTH.ORG</t>
  </si>
  <si>
    <t>PATEL KALPANA DR.</t>
  </si>
  <si>
    <t>4481 LAKE SHORE RD</t>
  </si>
  <si>
    <t>VALI, KAVEH, MD</t>
  </si>
  <si>
    <t>E0322840</t>
  </si>
  <si>
    <t>VALI KAVEH</t>
  </si>
  <si>
    <t>(716) 898-5227</t>
  </si>
  <si>
    <t>KVALI@KALEIDAHEALTH.ORG</t>
  </si>
  <si>
    <t>VALI KAVEH DR.</t>
  </si>
  <si>
    <t>THE RESOURCE CENTER</t>
  </si>
  <si>
    <t>E0235739</t>
  </si>
  <si>
    <t>NYS ARC (CHAUTAUQUA CNTY)</t>
  </si>
  <si>
    <t>HEATHER BROWN</t>
  </si>
  <si>
    <t>HEATHER.BROWN@RESOURCECENTER.ORG</t>
  </si>
  <si>
    <t>All Other:: Clinic:: Mental Health</t>
  </si>
  <si>
    <t>CHAUTAUQUA COUNTY CHAPTER OF NYSARC INC.</t>
  </si>
  <si>
    <t>CLINIC TRT OMRDD</t>
  </si>
  <si>
    <t>MENON, VIJAYAN, MD</t>
  </si>
  <si>
    <t>E0236583</t>
  </si>
  <si>
    <t>MENON VIJAYAN A            MD</t>
  </si>
  <si>
    <t>(716) 662-2658</t>
  </si>
  <si>
    <t>VMENON@KALEIDAHEALTH.ORG</t>
  </si>
  <si>
    <t>MENON VIJAYAN</t>
  </si>
  <si>
    <t>300 LINWOOD AVE</t>
  </si>
  <si>
    <t>SULLIVAN, PHILIP, MD</t>
  </si>
  <si>
    <t>E0218174</t>
  </si>
  <si>
    <t>SULLIVAN PHILIP R          MD</t>
  </si>
  <si>
    <t>PSULLIVAN3@KALEIDAHEALTH.ORG</t>
  </si>
  <si>
    <t>SULLIVAN PHILIP</t>
  </si>
  <si>
    <t>DEPT OF MED</t>
  </si>
  <si>
    <t>ZIMMERMAN, KAREN, CASAC</t>
  </si>
  <si>
    <t>ZIMMERMANK@SHSWNY.ORG</t>
  </si>
  <si>
    <t>ZIMMERMAN KAREN MS.</t>
  </si>
  <si>
    <t>1235 MAIN STREET, MICA INTENSIVE OUTPATIENT PROGRAM</t>
  </si>
  <si>
    <t>SHERWOOD, KARLA, PNP</t>
  </si>
  <si>
    <t>E0057059</t>
  </si>
  <si>
    <t>SHERWOOD KARLA A</t>
  </si>
  <si>
    <t>KSHERWOOD@KALEIDAHEALTH.ORG</t>
  </si>
  <si>
    <t>SHERWOOD KARLA</t>
  </si>
  <si>
    <t>GEDEON, ROBERT, DDS</t>
  </si>
  <si>
    <t>E0067088</t>
  </si>
  <si>
    <t>GEDEON ROBERT L JR DDS</t>
  </si>
  <si>
    <t>DENISE WEBER</t>
  </si>
  <si>
    <t>(716) 639-8699</t>
  </si>
  <si>
    <t>DRSCHWATZGEDEON@VERIZON.NET</t>
  </si>
  <si>
    <t>GEDEON ROBERT DR.</t>
  </si>
  <si>
    <t>GEDEON ROBERT LAWRENCE JR</t>
  </si>
  <si>
    <t>604 4TH ST</t>
  </si>
  <si>
    <t>HEATON, TRACEE, NP</t>
  </si>
  <si>
    <t>E0065645</t>
  </si>
  <si>
    <t>HEATON TRACEE JEAN</t>
  </si>
  <si>
    <t>HEATON, TRACEE, ANP</t>
  </si>
  <si>
    <t>(716) 859-2243</t>
  </si>
  <si>
    <t>THEATON@KALEIDAHEALTH.ORG</t>
  </si>
  <si>
    <t>HEATON TRACEE</t>
  </si>
  <si>
    <t>LEONARDO, JODY, MD</t>
  </si>
  <si>
    <t>E0289068</t>
  </si>
  <si>
    <t>JODY LEONARDO MD</t>
  </si>
  <si>
    <t>JLEONARDO@KALEIDAHEALTH.ORG</t>
  </si>
  <si>
    <t>LEONARDO JODY</t>
  </si>
  <si>
    <t>LEONARDO JODY MD</t>
  </si>
  <si>
    <t>HUANG, YI, ACNP</t>
  </si>
  <si>
    <t>E0302244</t>
  </si>
  <si>
    <t>HUANG YI</t>
  </si>
  <si>
    <t>HUANG, YI NING, ACNP</t>
  </si>
  <si>
    <t>(937) 431-8377</t>
  </si>
  <si>
    <t>YHUANG@KALEIDAHEALTH.ORG</t>
  </si>
  <si>
    <t>HUANG YI NING</t>
  </si>
  <si>
    <t>SHAH, KUMAR, MD</t>
  </si>
  <si>
    <t>E0308865</t>
  </si>
  <si>
    <t>SHAH KUMAR</t>
  </si>
  <si>
    <t>(716) 278-4000</t>
  </si>
  <si>
    <t>PARASHAR, AKASH,</t>
  </si>
  <si>
    <t>E0009987</t>
  </si>
  <si>
    <t>PARASHAR AKASH MD</t>
  </si>
  <si>
    <t>PARASHAR, AKASH, MD</t>
  </si>
  <si>
    <t>(716) 200-9644</t>
  </si>
  <si>
    <t>APARASHAR@KALEIDAHEALTH.ORG</t>
  </si>
  <si>
    <t>PARASHAR AKASH</t>
  </si>
  <si>
    <t>100 HIGH STREET</t>
  </si>
  <si>
    <t>MONTALVO, BEVERLY,</t>
  </si>
  <si>
    <t>E0006535</t>
  </si>
  <si>
    <t>MONTALVO BEVERLY</t>
  </si>
  <si>
    <t>MONTALVO, BEVERLY, FNP</t>
  </si>
  <si>
    <t>BMONTALVO@KALEIDAHEALTH.ORG</t>
  </si>
  <si>
    <t>MONTALVO BEVERLY ANNE</t>
  </si>
  <si>
    <t>ZHOU, XIN, MD</t>
  </si>
  <si>
    <t>E0010403</t>
  </si>
  <si>
    <t>ZHOU XIN MD</t>
  </si>
  <si>
    <t>XZHOU@KALEIDAHEALTH.ORG</t>
  </si>
  <si>
    <t>ZHOU XIN DR.</t>
  </si>
  <si>
    <t>KEICHER, MALLORIE, RPAC</t>
  </si>
  <si>
    <t>E0327631</t>
  </si>
  <si>
    <t>KEICHER MALLORIE LYNN</t>
  </si>
  <si>
    <t>KEICHER MALLORIE</t>
  </si>
  <si>
    <t>(716) 241-7067</t>
  </si>
  <si>
    <t>10744 MAIN ST</t>
  </si>
  <si>
    <t>NORTH COLLINS</t>
  </si>
  <si>
    <t>FARACO, MARAIEL, LCSW</t>
  </si>
  <si>
    <t>E0395831</t>
  </si>
  <si>
    <t>FARACO MARAIEL J</t>
  </si>
  <si>
    <t>FARACOM@SHSWNY.ORG</t>
  </si>
  <si>
    <t>FARACO MARAIEL MS.</t>
  </si>
  <si>
    <t>NIXON, ALLISON, RPAC</t>
  </si>
  <si>
    <t>NIXON, ALLISON, PA</t>
  </si>
  <si>
    <t>(716) 839-5858</t>
  </si>
  <si>
    <t>ANIXON@KALEIDAHEALTH.ORG</t>
  </si>
  <si>
    <t>MORGANTI ALLISON</t>
  </si>
  <si>
    <t>180 PARK CLUB LANE, SUITE 225</t>
  </si>
  <si>
    <t>HERBST, BRIAN, DO</t>
  </si>
  <si>
    <t>E0351860</t>
  </si>
  <si>
    <t>HERBST BRIAN ALAN</t>
  </si>
  <si>
    <t>BHERBST@KALEIDAHEALTH.ORG</t>
  </si>
  <si>
    <t>HERBST BRIAN DR.</t>
  </si>
  <si>
    <t>3345 SOUTHWESTERN BLVD</t>
  </si>
  <si>
    <t>CIPOLLA, MICHAEL, MD</t>
  </si>
  <si>
    <t>E0347477</t>
  </si>
  <si>
    <t>CIPOLLA MICHAEL JOHN</t>
  </si>
  <si>
    <t>(716) 390-2637</t>
  </si>
  <si>
    <t>MCIPOLLA@KALEIDAHEALTH.ORG</t>
  </si>
  <si>
    <t>CIPOLLA MICHAEL DR.</t>
  </si>
  <si>
    <t>E0189914</t>
  </si>
  <si>
    <t>CATTARAUGUS REHABILITATION CT</t>
  </si>
  <si>
    <t>3799 S NINE MILE RD</t>
  </si>
  <si>
    <t>ALLEGANY</t>
  </si>
  <si>
    <t>VOTTA, TIMOTHY, MDDD</t>
  </si>
  <si>
    <t>E0283261</t>
  </si>
  <si>
    <t>VOTTA TIMOTHY JOSEPH  DDS</t>
  </si>
  <si>
    <t>VOTTA, TIMOTHY, DDS MD</t>
  </si>
  <si>
    <t>(617) 512-4780</t>
  </si>
  <si>
    <t>TVOTTA@KALEIDAHEALTH.ORG</t>
  </si>
  <si>
    <t>VOTTA TIMOTHY DR.</t>
  </si>
  <si>
    <t>JENKINS, SAMANTHA, RPA</t>
  </si>
  <si>
    <t>E0316233</t>
  </si>
  <si>
    <t>JENKINS SAMANTHA MILDRED</t>
  </si>
  <si>
    <t>KRISTINE FOX</t>
  </si>
  <si>
    <t>JENKINS SAMANTHA</t>
  </si>
  <si>
    <t>KRANZ, LAUREN, MA</t>
  </si>
  <si>
    <t>VINZ,  LAUREN, COUNSELOR III</t>
  </si>
  <si>
    <t>(716) 668-7622</t>
  </si>
  <si>
    <t>KRANZ LAUREN MISS</t>
  </si>
  <si>
    <t>2563 UNION RD, SUITE 800</t>
  </si>
  <si>
    <t>WYANT, KELLY,</t>
  </si>
  <si>
    <t>WYANT, KELLY, LMSW</t>
  </si>
  <si>
    <t>KWYANT@CATSWNY.ORG</t>
  </si>
  <si>
    <t>WYANT KELLY</t>
  </si>
  <si>
    <t>BUTLER, KATHLEEN, NP</t>
  </si>
  <si>
    <t>E0337791</t>
  </si>
  <si>
    <t>BUTLER KATHLEEN</t>
  </si>
  <si>
    <t>BUTLER, KATHLEEN, ANP</t>
  </si>
  <si>
    <t>(716) 218-1030</t>
  </si>
  <si>
    <t>KBUTLER2@KALEIDAHEALTH.ORG</t>
  </si>
  <si>
    <t>HACKETT, AMY,</t>
  </si>
  <si>
    <t>HACKETT, AMY, MS</t>
  </si>
  <si>
    <t>AHACKETT@CATSWNY.ORG</t>
  </si>
  <si>
    <t>HACKETT AMY</t>
  </si>
  <si>
    <t>KUPPEL, MINDY,</t>
  </si>
  <si>
    <t>KUPPEL, MINDY, CLIENT RELATIONS COORDINATOR</t>
  </si>
  <si>
    <t>KUPPEL MINDY</t>
  </si>
  <si>
    <t>ZIMMER, JESSICA, LMSW</t>
  </si>
  <si>
    <t>(716) 816-2960</t>
  </si>
  <si>
    <t>JESSICA.ZIMMER@OMH.NY.GOV</t>
  </si>
  <si>
    <t>WINDER JESSICA MRS.</t>
  </si>
  <si>
    <t>ANDERA KARI</t>
  </si>
  <si>
    <t>E0353910</t>
  </si>
  <si>
    <t>ANDERA KARI JO</t>
  </si>
  <si>
    <t>135 NORTH UNION STREET</t>
  </si>
  <si>
    <t>KRUZEL, KELLI, PA</t>
  </si>
  <si>
    <t>E0348665</t>
  </si>
  <si>
    <t>KRUZEL KELLI JEAN</t>
  </si>
  <si>
    <t>(716) 479-7174</t>
  </si>
  <si>
    <t>KKRUZEL@KALEIDAHEALTH.ORG</t>
  </si>
  <si>
    <t>KRUZEL KELLI</t>
  </si>
  <si>
    <t>BACZKOWSKI, SHERI, MD</t>
  </si>
  <si>
    <t>E0132030</t>
  </si>
  <si>
    <t>BACZKOWSKI SHERI LYNN MD</t>
  </si>
  <si>
    <t>SBACZKOWSKI@KALEIDAHEALTH.ORG</t>
  </si>
  <si>
    <t>BACZKOWSKI SHERI DR.</t>
  </si>
  <si>
    <t>STE 203</t>
  </si>
  <si>
    <t>STANIEVICH, JOHN, MD</t>
  </si>
  <si>
    <t>E0238884</t>
  </si>
  <si>
    <t>STANIEVICH JOHN F          MD</t>
  </si>
  <si>
    <t>(716) 634-7350</t>
  </si>
  <si>
    <t>JSTANIEVICH@KALEIDAHEALTH.ORG</t>
  </si>
  <si>
    <t>STANIEVICH JOHN</t>
  </si>
  <si>
    <t>STANIEVICH JOHN F</t>
  </si>
  <si>
    <t>180 PARK CLUB LN STE 200</t>
  </si>
  <si>
    <t>VONFRICKEN, KURT, MD</t>
  </si>
  <si>
    <t>E0122829</t>
  </si>
  <si>
    <t>VONFRICKEN KURT MD</t>
  </si>
  <si>
    <t>(716) 859-2071</t>
  </si>
  <si>
    <t>KVONFRICKEN@KALEIDAHEALTH.ORG</t>
  </si>
  <si>
    <t>VONFRICKEN KURT</t>
  </si>
  <si>
    <t>100 HIGH ST RM C3</t>
  </si>
  <si>
    <t>OSTOLSKI, MICHAEL, FNP</t>
  </si>
  <si>
    <t>E0120933</t>
  </si>
  <si>
    <t>OSTOLSKI MICHAEL JOHN</t>
  </si>
  <si>
    <t>JACI</t>
  </si>
  <si>
    <t>(716) 514-9355</t>
  </si>
  <si>
    <t>ACACIAFH@GMAIL.COM</t>
  </si>
  <si>
    <t>OSTOLSKI MICHAEL</t>
  </si>
  <si>
    <t>OSTOLSKI MICHAEL J</t>
  </si>
  <si>
    <t>15 ELIZABETH DR</t>
  </si>
  <si>
    <t>REIDY, JAMES, MD</t>
  </si>
  <si>
    <t>E0183177</t>
  </si>
  <si>
    <t>REIDY JAMES J MD</t>
  </si>
  <si>
    <t>REIDY, JAMES, MD, FACS</t>
  </si>
  <si>
    <t>(716) 929-4613</t>
  </si>
  <si>
    <t>JREIDY@KALEIDAHEALTH.ORG</t>
  </si>
  <si>
    <t>REIDY JAMES</t>
  </si>
  <si>
    <t>FINE, EDWARD, MD</t>
  </si>
  <si>
    <t>E0175630</t>
  </si>
  <si>
    <t>FINE EDWARD J  MD</t>
  </si>
  <si>
    <t>(716) 859-7501</t>
  </si>
  <si>
    <t>EFINE@KALEIDAHEALTH.ORG</t>
  </si>
  <si>
    <t>FINE EDWARD</t>
  </si>
  <si>
    <t>BAUMANN, LOUIS, MD</t>
  </si>
  <si>
    <t>E0161888</t>
  </si>
  <si>
    <t>BAUMANN LOUIS R MD</t>
  </si>
  <si>
    <t>LBAUMANN@KALEIDAHEALTH.ORG</t>
  </si>
  <si>
    <t>BAUMANN LOUIS DR.</t>
  </si>
  <si>
    <t>PANZARELLA, KAILEY, MSED</t>
  </si>
  <si>
    <t>PANZARELLA, KAILEY,</t>
  </si>
  <si>
    <t>PANZARELLA KAILEY</t>
  </si>
  <si>
    <t>MAURER, KELLY,</t>
  </si>
  <si>
    <t>MAURER, KELLY, RN - HV</t>
  </si>
  <si>
    <t>MAURER KELLY</t>
  </si>
  <si>
    <t>ROGGOW, SUSANNE,</t>
  </si>
  <si>
    <t>E0361884</t>
  </si>
  <si>
    <t>ROGGOW SUSANNE K E</t>
  </si>
  <si>
    <t>ROGGOW, SUSANNE, RN</t>
  </si>
  <si>
    <t>ROGGOWS@SHSWNY.ORG</t>
  </si>
  <si>
    <t>ROGGOW SUSANNE</t>
  </si>
  <si>
    <t>SHEIKH, HENNA, MD</t>
  </si>
  <si>
    <t>E0299201</t>
  </si>
  <si>
    <t>HENNA M SHEIKH</t>
  </si>
  <si>
    <t>SHEIKH HENNA</t>
  </si>
  <si>
    <t>(716) 947-0408</t>
  </si>
  <si>
    <t>SHEIKH HENNA M</t>
  </si>
  <si>
    <t>7060 ERIE RD</t>
  </si>
  <si>
    <t>GRUPKA, ADAM, RPA</t>
  </si>
  <si>
    <t>E0345014</t>
  </si>
  <si>
    <t>GRUPKA ADAM GERARD</t>
  </si>
  <si>
    <t>GRUPKA, ADAM, PA</t>
  </si>
  <si>
    <t>AGRUPKA@KALEIDAHEALTH.ORG</t>
  </si>
  <si>
    <t>GRUPKA ADAM</t>
  </si>
  <si>
    <t>RATAJCZAK, AMANDA,</t>
  </si>
  <si>
    <t>RATAJCZAK,  AMANDA, SR COUNSELOR LICENSED</t>
  </si>
  <si>
    <t>RATAJCZAK AMANDA</t>
  </si>
  <si>
    <t>BECKER, STEPHANIE,</t>
  </si>
  <si>
    <t>BECKER, STEPHANIE, SENIOR COUNSELOR - HV</t>
  </si>
  <si>
    <t>HORIZONS</t>
  </si>
  <si>
    <t>BECKER STEPHANIE</t>
  </si>
  <si>
    <t>ZIMMERMAN, PATRICIA,</t>
  </si>
  <si>
    <t>ZIMMERMAN, PATRICIA, SENIOR COUNSELOR - HV</t>
  </si>
  <si>
    <t>ZIMMERMAN PATRICIA</t>
  </si>
  <si>
    <t>MILLER, BRAD,</t>
  </si>
  <si>
    <t>E0392559</t>
  </si>
  <si>
    <t>MILLER BRAD J</t>
  </si>
  <si>
    <t>MILLER, BRAD, LCSW</t>
  </si>
  <si>
    <t>MILLERB@SHSWNY.ORG</t>
  </si>
  <si>
    <t>MILLER BRAD</t>
  </si>
  <si>
    <t>BRECKNER, JOHN,</t>
  </si>
  <si>
    <t>BRECKNER,  JOHN, COUNSELOR III</t>
  </si>
  <si>
    <t>BRECKNER JOHN</t>
  </si>
  <si>
    <t>Brad Pecherzewski, NP</t>
  </si>
  <si>
    <t>E0359344</t>
  </si>
  <si>
    <t>PECHERZEWSKI BRAD</t>
  </si>
  <si>
    <t>(716) 376-2390</t>
  </si>
  <si>
    <t>PECHERZEWSKI BRAD MR.</t>
  </si>
  <si>
    <t>GIESSERT, DENISE, MD</t>
  </si>
  <si>
    <t>E0329372</t>
  </si>
  <si>
    <t>GIESSERT DENISE</t>
  </si>
  <si>
    <t>GIESSERT, DENISE LYNN, MD</t>
  </si>
  <si>
    <t>DGIESSERT@CATSWNY.ORG</t>
  </si>
  <si>
    <t>GIESSERT DENISE DR.</t>
  </si>
  <si>
    <t>95 JOHN MURE DRIVE</t>
  </si>
  <si>
    <t>JONES, JOSHUA, MD</t>
  </si>
  <si>
    <t>E0322786</t>
  </si>
  <si>
    <t>JONES JOSHUA MD</t>
  </si>
  <si>
    <t>(716) 204-3201</t>
  </si>
  <si>
    <t>JJONES3@KALEIDAHEALTH.ORG</t>
  </si>
  <si>
    <t>JONES JOSHUA</t>
  </si>
  <si>
    <t>DHILLON, RAJWINDER, MD</t>
  </si>
  <si>
    <t>E0298379</t>
  </si>
  <si>
    <t>DHILLON RAJWINDER</t>
  </si>
  <si>
    <t>(716) 481-4892</t>
  </si>
  <si>
    <t>RDHILLON@KALEIDAHEALTH.ORG</t>
  </si>
  <si>
    <t>DHILLON RAJWINDER SINGH</t>
  </si>
  <si>
    <t>E0211335</t>
  </si>
  <si>
    <t>PEOPLE-DD-BRIGHTON PK DAY TRT</t>
  </si>
  <si>
    <t>169 HERITAGE RD</t>
  </si>
  <si>
    <t>GILMARTIN, STEPHEN, MSW</t>
  </si>
  <si>
    <t>E0340858</t>
  </si>
  <si>
    <t>GILMARTIN STEPHEN MATTHEW</t>
  </si>
  <si>
    <t>GILMARTIN, STEVE, LCSW</t>
  </si>
  <si>
    <t>(716) 856-4494</t>
  </si>
  <si>
    <t>SGILMARTIN@JFSBUFFALO.ORG</t>
  </si>
  <si>
    <t>GILMARTIN STEPHEN</t>
  </si>
  <si>
    <t>HEALTH ASSOCIATION OF NIAGARA CTY., INC.</t>
  </si>
  <si>
    <t>E0160642</t>
  </si>
  <si>
    <t>HEALTH ASSC OF NIAGARA CNTY I</t>
  </si>
  <si>
    <t>JOHN KINNER</t>
  </si>
  <si>
    <t>(716) 285-8224</t>
  </si>
  <si>
    <t>KINNER@HANCI.COM</t>
  </si>
  <si>
    <t>1302 MAIN ST</t>
  </si>
  <si>
    <t>JOHNSON, JASON, MD</t>
  </si>
  <si>
    <t>TBROWN1@KALEIDAHEALTH.ORG</t>
  </si>
  <si>
    <t>JOHNSON JASON DR.</t>
  </si>
  <si>
    <t>1515 HOLCOMBE BLVD</t>
  </si>
  <si>
    <t>HOUSTON</t>
  </si>
  <si>
    <t>DEEMS, LAURA, LMHCLPC</t>
  </si>
  <si>
    <t>DEEMS, LAURA, LMHC</t>
  </si>
  <si>
    <t>OTTO LAURA MRS.</t>
  </si>
  <si>
    <t>CREPS, JASON, DDS</t>
  </si>
  <si>
    <t>E0309972</t>
  </si>
  <si>
    <t>JASON A CREPS DDS</t>
  </si>
  <si>
    <t>(724) 664-3460</t>
  </si>
  <si>
    <t>CREPS JASON</t>
  </si>
  <si>
    <t>CREPS JASON A</t>
  </si>
  <si>
    <t>8875 PORTER RD</t>
  </si>
  <si>
    <t>DAMON, COLBY, WHNP</t>
  </si>
  <si>
    <t>E0326055</t>
  </si>
  <si>
    <t>DAMON COLBY A</t>
  </si>
  <si>
    <t>(716) 648-6539</t>
  </si>
  <si>
    <t>DAMON COLBY</t>
  </si>
  <si>
    <t>GRANICA, KATIE,</t>
  </si>
  <si>
    <t>GRANICA, KATIE, LMSW</t>
  </si>
  <si>
    <t>KGRANICA@CATSWNY.ORG</t>
  </si>
  <si>
    <t>GRANICA KATIE</t>
  </si>
  <si>
    <t>MCKENNA, PETER, PA</t>
  </si>
  <si>
    <t>E0323916</t>
  </si>
  <si>
    <t>MCKENNA PETER FRANCIS</t>
  </si>
  <si>
    <t>MCKENNA PETER</t>
  </si>
  <si>
    <t>BROWN, RACHEL, PA</t>
  </si>
  <si>
    <t>E0329018</t>
  </si>
  <si>
    <t>DULSKI RACHEL MICHELLE</t>
  </si>
  <si>
    <t>(716) 364-0025</t>
  </si>
  <si>
    <t>RBROWN4@KALEIDAHEALTH.ORG</t>
  </si>
  <si>
    <t>BROWN RACHEL</t>
  </si>
  <si>
    <t>BROWN RACHEL MICHELLE</t>
  </si>
  <si>
    <t>MILLS, CHERYL, LCSWR</t>
  </si>
  <si>
    <t>E0394650</t>
  </si>
  <si>
    <t>MILLS CHERYL SUSAN</t>
  </si>
  <si>
    <t>MILLS, CHERYL, LCSW</t>
  </si>
  <si>
    <t>MILLS CHERYL</t>
  </si>
  <si>
    <t>SMITH, AZIZAH,</t>
  </si>
  <si>
    <t>MCENTIRE,  AZIZAH, SR COUNSELOR QHP</t>
  </si>
  <si>
    <t>SMITH AZIZAH</t>
  </si>
  <si>
    <t>GENERAL PHYSICIAN SUB I PLLC</t>
  </si>
  <si>
    <t>E0311099</t>
  </si>
  <si>
    <t>ANGELA GRAHAM</t>
  </si>
  <si>
    <t>AGRAHAM@GPPCONLINE.COM</t>
  </si>
  <si>
    <t>100 OHIO ST STE C</t>
  </si>
  <si>
    <t>Marianna Worczak, MD</t>
  </si>
  <si>
    <t>E0354645</t>
  </si>
  <si>
    <t>WORCZAK MARIANNA</t>
  </si>
  <si>
    <t>(716) 376-2408</t>
  </si>
  <si>
    <t>VASILOFF, ALICIA, PA</t>
  </si>
  <si>
    <t>E0439797</t>
  </si>
  <si>
    <t>VASILOFF ALICIA ANNE</t>
  </si>
  <si>
    <t>(716) 626-2644</t>
  </si>
  <si>
    <t>AVASILOFF@KALEIDAHEALTH.ORG</t>
  </si>
  <si>
    <t>VASILOFF ALICIA</t>
  </si>
  <si>
    <t>OLIVIA SMITH-BLACKWELL MD PC</t>
  </si>
  <si>
    <t>E0036880</t>
  </si>
  <si>
    <t>601 DIVISION ST</t>
  </si>
  <si>
    <t>ORLEANS COUNTY TREASURER OFFICE</t>
  </si>
  <si>
    <t>E0263592</t>
  </si>
  <si>
    <t>ORLEANS COUNTY DOH HHA</t>
  </si>
  <si>
    <t>(585) 589-3278</t>
  </si>
  <si>
    <t>All Other:: Case Management / Health Home</t>
  </si>
  <si>
    <t>14012 STATE ROUTE 31</t>
  </si>
  <si>
    <t>FARRELL, MEGAN, MD</t>
  </si>
  <si>
    <t>E0162450</t>
  </si>
  <si>
    <t>FARRELL MEGAN O MD</t>
  </si>
  <si>
    <t>(716) 686-8386</t>
  </si>
  <si>
    <t>MFARRELL@KALEIDAHEALTH.ORG</t>
  </si>
  <si>
    <t>FARRELL MEGAN</t>
  </si>
  <si>
    <t>CANTY, JOHN, MD</t>
  </si>
  <si>
    <t>E0137847</t>
  </si>
  <si>
    <t>CANTY JOHN M JR MD</t>
  </si>
  <si>
    <t>(716) 829-2684</t>
  </si>
  <si>
    <t>JCANTY@KALEIDAHEALTH.ORG</t>
  </si>
  <si>
    <t>CANTY JOHN</t>
  </si>
  <si>
    <t>UNIV PHYS OFC</t>
  </si>
  <si>
    <t>Usha Kaul</t>
  </si>
  <si>
    <t>E0219164</t>
  </si>
  <si>
    <t>KAUL USHA                  MD</t>
  </si>
  <si>
    <t>(716) 874-3649</t>
  </si>
  <si>
    <t>kaulgirls@yahoo.com</t>
  </si>
  <si>
    <t>KAUL USHA</t>
  </si>
  <si>
    <t>2234 BEDELL RD</t>
  </si>
  <si>
    <t>SOUTHARD, AMY, FNP</t>
  </si>
  <si>
    <t>E0057046</t>
  </si>
  <si>
    <t>SOUTHARD AMY L</t>
  </si>
  <si>
    <t>ASOUTHARD@KALEIDAHEALTH.ORG</t>
  </si>
  <si>
    <t>SOUTHARD AMY</t>
  </si>
  <si>
    <t>SOUTHARD AMY LYNN</t>
  </si>
  <si>
    <t>BODKIN, JOHN, MD</t>
  </si>
  <si>
    <t>E0235960</t>
  </si>
  <si>
    <t>BODKIN JOHN J              MD</t>
  </si>
  <si>
    <t>JBODKIN@KALEIDAHEALTH.ORG</t>
  </si>
  <si>
    <t>BODKIN JOHN DR.</t>
  </si>
  <si>
    <t>HIGHGATE MED GRP PC</t>
  </si>
  <si>
    <t>RIVERA, SARA, MSCPNP</t>
  </si>
  <si>
    <t>E0028973</t>
  </si>
  <si>
    <t>RIEMER SARA NP</t>
  </si>
  <si>
    <t>RIVERA, SARA, PNP</t>
  </si>
  <si>
    <t>(716) 878-7386</t>
  </si>
  <si>
    <t>SRIVERA@KALEIDAHEALTH.ORG</t>
  </si>
  <si>
    <t>RIVERA SARA</t>
  </si>
  <si>
    <t>RIVERA SARA NP</t>
  </si>
  <si>
    <t>PAOLINI, RAYMOND, MD</t>
  </si>
  <si>
    <t>E0123370</t>
  </si>
  <si>
    <t>PAOLINI RAYMOND VINCENT JR MD</t>
  </si>
  <si>
    <t>(716) 634-6224</t>
  </si>
  <si>
    <t>RPAOLINI@KALEIDAHEALTH.ORG</t>
  </si>
  <si>
    <t>PAOLINI RAYMOND DR.</t>
  </si>
  <si>
    <t>MADEJSKI, JULIE, MD</t>
  </si>
  <si>
    <t>E0126458</t>
  </si>
  <si>
    <t>DONOHUE JULIE MADEJSKI MD</t>
  </si>
  <si>
    <t>(716) 433-3053</t>
  </si>
  <si>
    <t>JMADEJSKI@KALEIDAHEALTH.ORG</t>
  </si>
  <si>
    <t>MADEJSKI JULIE</t>
  </si>
  <si>
    <t>MADEJSKI JULIE ANN  MD</t>
  </si>
  <si>
    <t>E NIAGARA OB&amp;GYN PC</t>
  </si>
  <si>
    <t>SINHA, INDRANI, MD</t>
  </si>
  <si>
    <t>E0056740</t>
  </si>
  <si>
    <t>SINHA INDRANI MD</t>
  </si>
  <si>
    <t>ISINHA@KALEIDAHEALTH.ORG</t>
  </si>
  <si>
    <t>SINHA INDRANI</t>
  </si>
  <si>
    <t>AVINO, DAVID, MD</t>
  </si>
  <si>
    <t>E0126482</t>
  </si>
  <si>
    <t>AVINO DAVID MD</t>
  </si>
  <si>
    <t>DAVINO@KALEIDAHEALTH.ORG</t>
  </si>
  <si>
    <t>AVINO DAVID</t>
  </si>
  <si>
    <t>515 ABBOTT RD</t>
  </si>
  <si>
    <t>D ANGELO, MICHAEL, MD</t>
  </si>
  <si>
    <t>E0022442</t>
  </si>
  <si>
    <t>D'ANGELO MICHAEL MD</t>
  </si>
  <si>
    <t>D'ANGELO, MICHAEL, MD</t>
  </si>
  <si>
    <t>MD'ANGELO@KALEIDAHEALTH.ORG</t>
  </si>
  <si>
    <t>D ANGELO MICHAEL</t>
  </si>
  <si>
    <t>DITONTO, ELIZABETH MD</t>
  </si>
  <si>
    <t>E0129785</t>
  </si>
  <si>
    <t>ELIZABETH D DITONTO</t>
  </si>
  <si>
    <t>DITONTO, ELIZABETH, MD</t>
  </si>
  <si>
    <t>EDITONTO@KALEIDAHEALTH.ORG</t>
  </si>
  <si>
    <t>DITONTO, MD ELIZABETH DR.</t>
  </si>
  <si>
    <t>SURGI-CENTER</t>
  </si>
  <si>
    <t>THOMPSON, SARAH, MD</t>
  </si>
  <si>
    <t>E0301006</t>
  </si>
  <si>
    <t>SARAH THOMPSON</t>
  </si>
  <si>
    <t>THOMPSON SARAH</t>
  </si>
  <si>
    <t>KURSS, DAVID, MD</t>
  </si>
  <si>
    <t>E0203183</t>
  </si>
  <si>
    <t>KURSS DAVID I              MD</t>
  </si>
  <si>
    <t>DKURSS@KALEIDAHEALTH.ORG</t>
  </si>
  <si>
    <t>KURSS DAVID</t>
  </si>
  <si>
    <t>MAPLE OFFICE PARK</t>
  </si>
  <si>
    <t>PATNAIK, PRIYANKA, MBBS</t>
  </si>
  <si>
    <t>E0322215</t>
  </si>
  <si>
    <t>PATNAIK PRIYANKA</t>
  </si>
  <si>
    <t>PATNAIK, PRIYANKA, MD</t>
  </si>
  <si>
    <t>(716) 332-3797</t>
  </si>
  <si>
    <t>PPATNAIK@KALEIDAHEALTH.ORG</t>
  </si>
  <si>
    <t>PATNAIK PRIYANKA DR.</t>
  </si>
  <si>
    <t>OLSEN, ERICA, MD</t>
  </si>
  <si>
    <t>E0296045</t>
  </si>
  <si>
    <t>OLSEN ERICA</t>
  </si>
  <si>
    <t>(212) 365-4468</t>
  </si>
  <si>
    <t>EOLSEN@KALEIDAHEALTH.ORG</t>
  </si>
  <si>
    <t>OLSEN ERICA DR.</t>
  </si>
  <si>
    <t>OLSEN ERICA LYNN</t>
  </si>
  <si>
    <t>475 SEAVIEW AVE</t>
  </si>
  <si>
    <t>VELASQUEZ, BERNARDINO, MD</t>
  </si>
  <si>
    <t>E0007597</t>
  </si>
  <si>
    <t>VELASQUEZ BERNARDINO</t>
  </si>
  <si>
    <t>BVELASQUEZ@KALEIDAHEALTH.ORG</t>
  </si>
  <si>
    <t>VELASQUEZ BERNARDINO RENE MD</t>
  </si>
  <si>
    <t>MCDONALD, DEANNA, MD</t>
  </si>
  <si>
    <t>E0004536</t>
  </si>
  <si>
    <t>MCDONALD DEANNA</t>
  </si>
  <si>
    <t>DMCDONALD2@KALEIDAHEALTH.ORG</t>
  </si>
  <si>
    <t>3950 EAST ROBINSON RD/STE 205</t>
  </si>
  <si>
    <t>WEST AMHERST</t>
  </si>
  <si>
    <t>CACHO, CELE, MSNP</t>
  </si>
  <si>
    <t>E0305177</t>
  </si>
  <si>
    <t>CACHO CELE SARAI</t>
  </si>
  <si>
    <t>CACHO, CELE, ANP</t>
  </si>
  <si>
    <t>CCACHO@KALEIDAHEALTH.ORG</t>
  </si>
  <si>
    <t>SCHULZ CELE</t>
  </si>
  <si>
    <t>CACHO CELE S</t>
  </si>
  <si>
    <t>225 BENNETT RD</t>
  </si>
  <si>
    <t>CICCARELLI, SAMANTHA,</t>
  </si>
  <si>
    <t>CICCARELLI, SAMANTHA, LMHC</t>
  </si>
  <si>
    <t>CICCARELLI SAMANTHA</t>
  </si>
  <si>
    <t>PFALZER, DAVID, NP</t>
  </si>
  <si>
    <t>E0321980</t>
  </si>
  <si>
    <t>PFALZER DAVID</t>
  </si>
  <si>
    <t>PFALZERD@SHSWNY.ORG</t>
  </si>
  <si>
    <t>PFALZER DAVID MR.</t>
  </si>
  <si>
    <t>VACCARO, BRIDGET, FNPBC</t>
  </si>
  <si>
    <t>E0318258</t>
  </si>
  <si>
    <t>THOMAS BRIDGET</t>
  </si>
  <si>
    <t>VACCARO, BRIDGET, FNP</t>
  </si>
  <si>
    <t>(716) 913-6829</t>
  </si>
  <si>
    <t>B.VACCARO@NWBCHCC.ORG</t>
  </si>
  <si>
    <t>VACCARO BRIDGET MRS.</t>
  </si>
  <si>
    <t>VACCARO BRIDGET A</t>
  </si>
  <si>
    <t>COSENTINO, MATTHEW,</t>
  </si>
  <si>
    <t>COSENTINO,  MATTHEW, COUNSELOR III</t>
  </si>
  <si>
    <t>COSENTINO MATTHEW</t>
  </si>
  <si>
    <t>SIEJKA, NEAL, PAC</t>
  </si>
  <si>
    <t>E0425471</t>
  </si>
  <si>
    <t>SIEJKA NEAL THOMAS</t>
  </si>
  <si>
    <t>SIEJKA, NEAL, PA</t>
  </si>
  <si>
    <t>(716) 853-2225</t>
  </si>
  <si>
    <t>NSIEJKA@KALEIDAHEALTH.ORG</t>
  </si>
  <si>
    <t>SIEJKA NEAL MR.</t>
  </si>
  <si>
    <t>700 MICHIGAN AVE STE 201</t>
  </si>
  <si>
    <t>SIEBERT, MARC, NP</t>
  </si>
  <si>
    <t>E0407319</t>
  </si>
  <si>
    <t>SIEBERT MARC</t>
  </si>
  <si>
    <t>SIEBERT, MARC, ANP</t>
  </si>
  <si>
    <t>MSIEBERT@KALEIDAHEALTH.ORG</t>
  </si>
  <si>
    <t>SIEBERT MARC JOSEPH</t>
  </si>
  <si>
    <t>SINATRA, LAWRENCE, MD</t>
  </si>
  <si>
    <t>E0228168</t>
  </si>
  <si>
    <t>SINATRA LAWRENCE THOMAS    MD</t>
  </si>
  <si>
    <t>LSINATRA@KALEIDAHEALTH.ORG</t>
  </si>
  <si>
    <t>SINATRA LAWRENCE DR.</t>
  </si>
  <si>
    <t>ST FRANCIS NURSING</t>
  </si>
  <si>
    <t>SAMBUCHI, GREGORY, MD</t>
  </si>
  <si>
    <t>E0144961</t>
  </si>
  <si>
    <t>SAMBUCHI GREGORY DAVID MD</t>
  </si>
  <si>
    <t>(716) 297-8709</t>
  </si>
  <si>
    <t>GSAMBUCHI@KALEIDAHEALTH.ORG</t>
  </si>
  <si>
    <t>SAMBUCHI GREGORY DR.</t>
  </si>
  <si>
    <t>SUITE B</t>
  </si>
  <si>
    <t>BERKUN, ROSE, MD</t>
  </si>
  <si>
    <t>E0125326</t>
  </si>
  <si>
    <t>BERKUN ROSE MD</t>
  </si>
  <si>
    <t>RBERKUN@KALEIDAHEALTH.ORG</t>
  </si>
  <si>
    <t>BERKUN ROSE</t>
  </si>
  <si>
    <t>WELLIVER, JOSEPHINE, MD</t>
  </si>
  <si>
    <t>E0211227</t>
  </si>
  <si>
    <t>WELLIVER JOSEPHINE R</t>
  </si>
  <si>
    <t>(716) 893-7337</t>
  </si>
  <si>
    <t>JWELLIVER@KALEIDAHEALTH.ORG</t>
  </si>
  <si>
    <t>WELLIVER JOSEPHINE</t>
  </si>
  <si>
    <t>WELLIVER JOSEPHINE ROSS</t>
  </si>
  <si>
    <t>JEAN NOWAK</t>
  </si>
  <si>
    <t>LEWIS, DWIGHT, MD</t>
  </si>
  <si>
    <t>E0140759</t>
  </si>
  <si>
    <t>LEWIS DWIGHT DANOVAN MD</t>
  </si>
  <si>
    <t>(716) 834-1455</t>
  </si>
  <si>
    <t>DLEWIS3@KALEIDAHEALTH.ORG</t>
  </si>
  <si>
    <t>LEWIS DWIGHT</t>
  </si>
  <si>
    <t>MERCY AMBUL CARE CTR</t>
  </si>
  <si>
    <t>BURDICK, JAMES, MD</t>
  </si>
  <si>
    <t>E0236355</t>
  </si>
  <si>
    <t>BURDICK JAMES P            MD</t>
  </si>
  <si>
    <t>(716) 634-8800</t>
  </si>
  <si>
    <t>JBURDICK@KALEIDAHEALTH.ORG</t>
  </si>
  <si>
    <t>BURDICK JAMES</t>
  </si>
  <si>
    <t>3112 SHERIDAN DR</t>
  </si>
  <si>
    <t>Summitt Park Pharmacy, Inc.</t>
  </si>
  <si>
    <t>Stephen L. Giroux</t>
  </si>
  <si>
    <t>(716) 735-3262</t>
  </si>
  <si>
    <t>girouxmf@rochestet.rr.com</t>
  </si>
  <si>
    <t>Moden-Giroux, Inc. DBA Transit Hill Pharmacy</t>
  </si>
  <si>
    <t>(716) 735-3263</t>
  </si>
  <si>
    <t>Moden-Giroux, Inc. DBA Middleport Family Health Center</t>
  </si>
  <si>
    <t>PARENTIS, MICHAEL, MD</t>
  </si>
  <si>
    <t>E0087130</t>
  </si>
  <si>
    <t>PARENTIS MICHAEL A MD</t>
  </si>
  <si>
    <t>MPARENTIS@KALEIDAHEALTH.ORG</t>
  </si>
  <si>
    <t>PARENTIS MICHAEL</t>
  </si>
  <si>
    <t>KNEE CTR OF WNY</t>
  </si>
  <si>
    <t>SIPPEL, DEBORA, PNP</t>
  </si>
  <si>
    <t>E0136634</t>
  </si>
  <si>
    <t>OLESZAK DEBORA A</t>
  </si>
  <si>
    <t>SIPPEL, DEBORAH, PNP</t>
  </si>
  <si>
    <t>(716) 433-6711</t>
  </si>
  <si>
    <t>LOCKPORTPEDS@GMAIL.COM</t>
  </si>
  <si>
    <t>SIPPEL DEBORA</t>
  </si>
  <si>
    <t>SIPPEL DEBORA ANNE</t>
  </si>
  <si>
    <t>5813 S PARK AVE</t>
  </si>
  <si>
    <t>SILBER, MICHAEL, MD</t>
  </si>
  <si>
    <t>E0105390</t>
  </si>
  <si>
    <t>SILBER MICHAEL S MD</t>
  </si>
  <si>
    <t>MSILBER@KALEIDAHEALTH.ORG</t>
  </si>
  <si>
    <t>SILBER MICHAEL DR.</t>
  </si>
  <si>
    <t>MASON, LAURA, NP</t>
  </si>
  <si>
    <t>E0047529</t>
  </si>
  <si>
    <t>MASON LAURA L</t>
  </si>
  <si>
    <t>MASON, LAURA, ANP</t>
  </si>
  <si>
    <t>LMASON@KALEIDAHEALTH.ORG</t>
  </si>
  <si>
    <t>MASON LAURA</t>
  </si>
  <si>
    <t>12 CENTER ST</t>
  </si>
  <si>
    <t>E0210599</t>
  </si>
  <si>
    <t>SCHOFIELD RESIDENCE LTHHCP</t>
  </si>
  <si>
    <t>LTHHCP</t>
  </si>
  <si>
    <t>CHOUCHANI, CHRISTIAN, DO</t>
  </si>
  <si>
    <t>E0338082</t>
  </si>
  <si>
    <t>CHOUCHANI CHRISTIAN P</t>
  </si>
  <si>
    <t>(716) 951-0461</t>
  </si>
  <si>
    <t>CCHOUCHANI@KALEIDAHEALTH.ORG</t>
  </si>
  <si>
    <t>CHOUCHANI CHRISTIAN DR.</t>
  </si>
  <si>
    <t>30 N UNION RD STE 101</t>
  </si>
  <si>
    <t>GENTILE, JOSEPH, MD</t>
  </si>
  <si>
    <t>E0237960</t>
  </si>
  <si>
    <t>GENTILE JOSEPH DONALD</t>
  </si>
  <si>
    <t>(716) 832-9747</t>
  </si>
  <si>
    <t>JGENTILE@KALEIDAHEALTH.ORG</t>
  </si>
  <si>
    <t>GENTILE JOSEPH DR.</t>
  </si>
  <si>
    <t>548 LINWOOD AVE</t>
  </si>
  <si>
    <t>MILAZZO, RICHARD, MD</t>
  </si>
  <si>
    <t>E0239167</t>
  </si>
  <si>
    <t>MILAZZO RICHARD T JR       MD</t>
  </si>
  <si>
    <t>(716) 366-7331</t>
  </si>
  <si>
    <t>MILAZZO RICHARD DR.</t>
  </si>
  <si>
    <t>515 SWAN ST</t>
  </si>
  <si>
    <t>JAFFRI, NAUREEN, DO</t>
  </si>
  <si>
    <t>E0024970</t>
  </si>
  <si>
    <t>JAFFRI NAUREEN R DO</t>
  </si>
  <si>
    <t>(248) 470-2545</t>
  </si>
  <si>
    <t>NJAFFRI@KALEIDAHEALTH.ORG</t>
  </si>
  <si>
    <t>JAFFRI NAUREEN DR.</t>
  </si>
  <si>
    <t>2800 SWEET HOME RD</t>
  </si>
  <si>
    <t>BARRIOS, OLGA,</t>
  </si>
  <si>
    <t>E0363801</t>
  </si>
  <si>
    <t>CRUZ-BARRIOS OLGA T A</t>
  </si>
  <si>
    <t>BARRIOS, OLGA, MD</t>
  </si>
  <si>
    <t>OLGA.BARRIOS@OMH.NY.GOV</t>
  </si>
  <si>
    <t>BARRIOS OLGA</t>
  </si>
  <si>
    <t>15 WEBSTER ST</t>
  </si>
  <si>
    <t>BEHRENS, TORSTEN, MD</t>
  </si>
  <si>
    <t>E0335689</t>
  </si>
  <si>
    <t>BEHRENS TORSTEN</t>
  </si>
  <si>
    <t>TBEHRENS@KALEIDAHEALTH.ORG</t>
  </si>
  <si>
    <t>BEHRENS TORSTEN DR.</t>
  </si>
  <si>
    <t>THOMPSON, JEFFREY, MD</t>
  </si>
  <si>
    <t>E0007594</t>
  </si>
  <si>
    <t>THOMPSON JEFFREY</t>
  </si>
  <si>
    <t>(716) 580-1802</t>
  </si>
  <si>
    <t>JTHOMPSON3@KALEIDAHEALTH.ORG</t>
  </si>
  <si>
    <t>THOMPSON JEFFREY DR.</t>
  </si>
  <si>
    <t>THOMPSON JEFFREY JOHN MD</t>
  </si>
  <si>
    <t>LAWSON, DANIEL,</t>
  </si>
  <si>
    <t>LAWSON,  DANIEL, CLINICAL SUPERVISOR</t>
  </si>
  <si>
    <t>(716) 830-9758</t>
  </si>
  <si>
    <t>LAWSON DANIEL MR.</t>
  </si>
  <si>
    <t>NIELSEN, NANCY, MD</t>
  </si>
  <si>
    <t>E0251553</t>
  </si>
  <si>
    <t>NIELSEN NANCY MD</t>
  </si>
  <si>
    <t>(716) 662-9185</t>
  </si>
  <si>
    <t>NNIELSEN@KALEIDAHEALTH.ORG</t>
  </si>
  <si>
    <t>NIELSEN NANCY</t>
  </si>
  <si>
    <t>85 HIGH ST OFC</t>
  </si>
  <si>
    <t>REYES, SAMUEL, MDPHD</t>
  </si>
  <si>
    <t>E0296512</t>
  </si>
  <si>
    <t>REYES SAMUEL ASHER MD</t>
  </si>
  <si>
    <t>REYES, SAMUEL, MD</t>
  </si>
  <si>
    <t>(786) 325-0644</t>
  </si>
  <si>
    <t>SREYES@KALEIDAHEALTH.ORG</t>
  </si>
  <si>
    <t>REYES SAMUEL</t>
  </si>
  <si>
    <t>REYES SAMUEL ASHER</t>
  </si>
  <si>
    <t>PARRISH, JOY, PHD</t>
  </si>
  <si>
    <t>E0293677</t>
  </si>
  <si>
    <t>PARRISH JOY B</t>
  </si>
  <si>
    <t>(716) 859-7566</t>
  </si>
  <si>
    <t>JPARRISH2@KALEIDAHEALTH.ORG</t>
  </si>
  <si>
    <t>PARRISH JOY</t>
  </si>
  <si>
    <t>4955 N BAILEY AVE</t>
  </si>
  <si>
    <t>ZORN, WILLIAM, PHD</t>
  </si>
  <si>
    <t>(716) 836-5752</t>
  </si>
  <si>
    <t>WZORN@KALEIDAHEALTH.ORG</t>
  </si>
  <si>
    <t>ZORN WILLIAM DR.</t>
  </si>
  <si>
    <t>2838 MAIN ST</t>
  </si>
  <si>
    <t>E0263808</t>
  </si>
  <si>
    <t>CHILD AND FAMILY SVCS 824</t>
  </si>
  <si>
    <t>(716) 842-2750</t>
  </si>
  <si>
    <t>CHILD CARE INSTITUTION</t>
  </si>
  <si>
    <t>FISHER, KRISTEN, LPNBSC</t>
  </si>
  <si>
    <t>E0342736</t>
  </si>
  <si>
    <t>FISHER KRISTEN RACKL</t>
  </si>
  <si>
    <t>FISHER, KRISTEN, CASAC</t>
  </si>
  <si>
    <t>FISHERK@SHSWNY.ORG</t>
  </si>
  <si>
    <t>FISHER KRISTEN MRS.</t>
  </si>
  <si>
    <t>Linda Fuller NP</t>
  </si>
  <si>
    <t>E0344538</t>
  </si>
  <si>
    <t>FULLER LINDA MARIE</t>
  </si>
  <si>
    <t>FULLER LINDA</t>
  </si>
  <si>
    <t>5719 ROUTE 62</t>
  </si>
  <si>
    <t>CONEWANGO VALLEY</t>
  </si>
  <si>
    <t>MIAN, NAIMA, DO</t>
  </si>
  <si>
    <t>E0000076</t>
  </si>
  <si>
    <t>MIAN NAIMA</t>
  </si>
  <si>
    <t>NMIAN@KALEIDAHEALTH.ORG</t>
  </si>
  <si>
    <t>MIAN NAIMA AHMAD</t>
  </si>
  <si>
    <t>ABIALMOUNA, JIHAD, MD</t>
  </si>
  <si>
    <t>E0146103</t>
  </si>
  <si>
    <t>ABIALMOUNA JIHAD HASSAN MD</t>
  </si>
  <si>
    <t>(716) 691-1300</t>
  </si>
  <si>
    <t>JABIALMOUNA@KALEIDAHEALTH.ORG</t>
  </si>
  <si>
    <t>ABIALMOUNA JIHAD DR.</t>
  </si>
  <si>
    <t>ABIALMOUNA JIHAD H</t>
  </si>
  <si>
    <t>2800 SWEET HOME RD STE 6</t>
  </si>
  <si>
    <t>PIETRAK, STANLEY, MD</t>
  </si>
  <si>
    <t>E0215143</t>
  </si>
  <si>
    <t>PIETRAK STANLEY JAMES      MD</t>
  </si>
  <si>
    <t>SPIETRAK@KALEIDAHEALTH.ORG</t>
  </si>
  <si>
    <t>PIETRAK STANLEY</t>
  </si>
  <si>
    <t>12835 BROADWAY ST</t>
  </si>
  <si>
    <t>BUTSCH, JOHN, MD</t>
  </si>
  <si>
    <t>E0300243</t>
  </si>
  <si>
    <t>JOHN L OB BUTSCH</t>
  </si>
  <si>
    <t>JBUTSCH@KALEIDAHEALTH.ORG</t>
  </si>
  <si>
    <t>BUTSCH JOHN MR.</t>
  </si>
  <si>
    <t>BUTSCH JOHN L OB</t>
  </si>
  <si>
    <t>MRGICH, GLENN, BACASAC</t>
  </si>
  <si>
    <t>MRGICH, GLENN, CASAC</t>
  </si>
  <si>
    <t>MRGICHG@SHSWNY.ORG</t>
  </si>
  <si>
    <t>MRGICH GLENN</t>
  </si>
  <si>
    <t>KURTZ, COLLEEN, RPAC</t>
  </si>
  <si>
    <t>E0120156</t>
  </si>
  <si>
    <t>KURTZ COLLEEN MARIE</t>
  </si>
  <si>
    <t>KURTZ, COLLEEN, PA</t>
  </si>
  <si>
    <t>CKURTZ@KALEIDAHEALTH.ORG</t>
  </si>
  <si>
    <t>KURTZ COLLEEN MRS.</t>
  </si>
  <si>
    <t>PARIKH, RAJIV, MD</t>
  </si>
  <si>
    <t>E0239599</t>
  </si>
  <si>
    <t>PARIKH RAJIV C PC MD</t>
  </si>
  <si>
    <t>(716) 366-6036</t>
  </si>
  <si>
    <t>PARIKH RAJIV DR.</t>
  </si>
  <si>
    <t>PARIKH RAJIV C</t>
  </si>
  <si>
    <t>1134 CENTRAL AVE</t>
  </si>
  <si>
    <t>DIEGELMAN, NATHAN, PHD</t>
  </si>
  <si>
    <t>E0013845</t>
  </si>
  <si>
    <t>DIEGELMAN NATHAN</t>
  </si>
  <si>
    <t>(716) 859-5474</t>
  </si>
  <si>
    <t>NDIEGELMAN@KALEIDAHEALTH.ORG</t>
  </si>
  <si>
    <t>DIEGELMAN NATHAN DR.</t>
  </si>
  <si>
    <t>LEWIS, JOHN, MD</t>
  </si>
  <si>
    <t>JLEWIS2@KALEIDAHEALTH.ORG</t>
  </si>
  <si>
    <t>LEWIS JOHN DR.</t>
  </si>
  <si>
    <t>2346 LINDEN LEAF DR</t>
  </si>
  <si>
    <t>GLENVIEW</t>
  </si>
  <si>
    <t>IL</t>
  </si>
  <si>
    <t>KALLASH, MAHMOUD, MD</t>
  </si>
  <si>
    <t>E0347384</t>
  </si>
  <si>
    <t>KALLASH MAHMOUD</t>
  </si>
  <si>
    <t>KALLASH , MAHMOUD, MD</t>
  </si>
  <si>
    <t>(318) 675-6073</t>
  </si>
  <si>
    <t>MKALLASH@UPA.CHOB.EDU</t>
  </si>
  <si>
    <t>KALLASH MAHMOUD MR.</t>
  </si>
  <si>
    <t>EHLERT, GARY, MD</t>
  </si>
  <si>
    <t>E0346410</t>
  </si>
  <si>
    <t>EHLERT GARY WALTER</t>
  </si>
  <si>
    <t>GEHLERT@KALEIDAHEALTH.ORG</t>
  </si>
  <si>
    <t>EHLERT GARY DR.</t>
  </si>
  <si>
    <t>303 WHITE OAK LN</t>
  </si>
  <si>
    <t>WALTERS, BRIAN, DO</t>
  </si>
  <si>
    <t>E0003728</t>
  </si>
  <si>
    <t>WALTERS BRIAN</t>
  </si>
  <si>
    <t>(716) 632-5915</t>
  </si>
  <si>
    <t>WALTERS BRIAN DR.</t>
  </si>
  <si>
    <t>WALTERS BRIAN MICHAEL DO</t>
  </si>
  <si>
    <t>E0217292</t>
  </si>
  <si>
    <t>RTF BAKER HALL</t>
  </si>
  <si>
    <t>150 MARTIN RD</t>
  </si>
  <si>
    <t>BROWN, JENNIFER, MD</t>
  </si>
  <si>
    <t>E0072758</t>
  </si>
  <si>
    <t>BROWN JENNIFER MD</t>
  </si>
  <si>
    <t>BROWN JENNIFER</t>
  </si>
  <si>
    <t>WEINSTOCK GUTTMAN, BIANCA, MD</t>
  </si>
  <si>
    <t>E0112863</t>
  </si>
  <si>
    <t>WEINSTOCK-GUTTMAN BIANCA MD</t>
  </si>
  <si>
    <t>WEINSTOCK-GUTTMAN, BIANCA, MD</t>
  </si>
  <si>
    <t>BWEINSTOCK-GUTTMAN@KALEIDAHEALTH.ORG</t>
  </si>
  <si>
    <t>WEINSTOCK GUTTMAN BIANCA</t>
  </si>
  <si>
    <t>UNIVERSITY NEUROLOGY  INC.</t>
  </si>
  <si>
    <t>FENZL, MARK, MD</t>
  </si>
  <si>
    <t>E0143991</t>
  </si>
  <si>
    <t>FENZL MARK W MD</t>
  </si>
  <si>
    <t>FENZL MARK</t>
  </si>
  <si>
    <t>55 MELROY AT RIDGE</t>
  </si>
  <si>
    <t>ROLAND, JAYSON, MD</t>
  </si>
  <si>
    <t>E0083595</t>
  </si>
  <si>
    <t>ROLAND JAYSON MD</t>
  </si>
  <si>
    <t>JROLAND2@KALEIDAHEALTH.ORG</t>
  </si>
  <si>
    <t>ROLAND JAYSON DR.</t>
  </si>
  <si>
    <t>CHOB</t>
  </si>
  <si>
    <t>GEIGER, PATRICIA, MSNANP</t>
  </si>
  <si>
    <t>E0065680</t>
  </si>
  <si>
    <t>GEIGER PATRICIA A</t>
  </si>
  <si>
    <t>GEIGER, PATRICIA, ANP, DNP</t>
  </si>
  <si>
    <t>PGEIGER@KALEIDAHEALTH.ORG</t>
  </si>
  <si>
    <t>GEIGER PATRICIA</t>
  </si>
  <si>
    <t>TYMCHAK, GREGORY,</t>
  </si>
  <si>
    <t>E0119924</t>
  </si>
  <si>
    <t>TYMCHAK GREGORY T MD</t>
  </si>
  <si>
    <t>TYMCHAK, GREGORY, MD</t>
  </si>
  <si>
    <t>GTYMCHAK@KALEIDAHEALTH.ORG</t>
  </si>
  <si>
    <t>TYMCHAK GREGORY</t>
  </si>
  <si>
    <t>BETTERMAN, MARY, MD</t>
  </si>
  <si>
    <t>E0011893</t>
  </si>
  <si>
    <t>BETTERMAN MARY JANE MD</t>
  </si>
  <si>
    <t>MBETTERMAN@KALEIDAHEALTH.ORG</t>
  </si>
  <si>
    <t>BETTERMAN MARY DR.</t>
  </si>
  <si>
    <t>303 S 51ST AVE</t>
  </si>
  <si>
    <t>OMAHA</t>
  </si>
  <si>
    <t>NE</t>
  </si>
  <si>
    <t>COBLER, JO ANNE, MD</t>
  </si>
  <si>
    <t>E0191388</t>
  </si>
  <si>
    <t>COBLER JOANNE LYNN MD</t>
  </si>
  <si>
    <t>COBLER, JO  ANNE, MD</t>
  </si>
  <si>
    <t>JCOBLER@KALEIDAHEALTH.ORG</t>
  </si>
  <si>
    <t>COBLER JO ANNE</t>
  </si>
  <si>
    <t>DHEENADAYALU, KAVITHA, MD</t>
  </si>
  <si>
    <t>E0043206</t>
  </si>
  <si>
    <t>DHEENADAYALU KAVITHA MD</t>
  </si>
  <si>
    <t>(716) 372-1570</t>
  </si>
  <si>
    <t>KDHEENADAYALU@KALEIDAHEALTH.ORG</t>
  </si>
  <si>
    <t>DHEENADAYALU KAVITHA</t>
  </si>
  <si>
    <t>211 ERIE ST</t>
  </si>
  <si>
    <t>LITTLE VALLEY</t>
  </si>
  <si>
    <t>FIGUEROA, JEANETTE, MD</t>
  </si>
  <si>
    <t>E0041919</t>
  </si>
  <si>
    <t>FIGUEROA JEANETTE L MD</t>
  </si>
  <si>
    <t>JFIGUEROA@KALEIDAHEALTH.ORG</t>
  </si>
  <si>
    <t>FIGUEROA JEANETTE</t>
  </si>
  <si>
    <t>1001 HUMBOLDT PKWY</t>
  </si>
  <si>
    <t>KOSSOW, RONALD, MD</t>
  </si>
  <si>
    <t>E0362931</t>
  </si>
  <si>
    <t>KOSSOW RONALD JAY</t>
  </si>
  <si>
    <t>(412) 359-3400</t>
  </si>
  <si>
    <t>RKOSSOW@KALEIDAHEALTH.ORG</t>
  </si>
  <si>
    <t>KOSSOW RONALD</t>
  </si>
  <si>
    <t>MECHTLER, LASZLO, MD</t>
  </si>
  <si>
    <t>E0186436</t>
  </si>
  <si>
    <t>MECHTLER LASZLO L MD</t>
  </si>
  <si>
    <t>LMECHTLER2@KALEIDAHEALTH.ORG</t>
  </si>
  <si>
    <t>MECHTLER LASZLO</t>
  </si>
  <si>
    <t>SUBURBAN ADULT SERVICES-INC.</t>
  </si>
  <si>
    <t>E0017717</t>
  </si>
  <si>
    <t>SUBURBAN ADULT SERVICES INC</t>
  </si>
  <si>
    <t>ANTHONY ANNUNZIATO</t>
  </si>
  <si>
    <t>TANNUNZIATO@SASINC.ORG</t>
  </si>
  <si>
    <t>960 W MAPLE CT</t>
  </si>
  <si>
    <t>CLINE, WILLIAM, MD</t>
  </si>
  <si>
    <t>E0225448</t>
  </si>
  <si>
    <t>CLINE WILLIAM B            MD</t>
  </si>
  <si>
    <t>(716) 693-1265</t>
  </si>
  <si>
    <t>WCLINE@KALEIDAHEALTH.ORG</t>
  </si>
  <si>
    <t>CLINE WILLIAM DR.</t>
  </si>
  <si>
    <t>79 BRYANT ST</t>
  </si>
  <si>
    <t>E0215862</t>
  </si>
  <si>
    <t>CHILD AND FAMILY SERVICES</t>
  </si>
  <si>
    <t>ELIZABETH MCPARTLAND</t>
  </si>
  <si>
    <t>EMCPARTLAND@CFSBNY.ORG</t>
  </si>
  <si>
    <t>NICE, KIMBERLY,</t>
  </si>
  <si>
    <t>NICE, KIMBERLY, RNA</t>
  </si>
  <si>
    <t>KNICE@KALEIDAHEALTH.ORG</t>
  </si>
  <si>
    <t>NICE KIMBERLY</t>
  </si>
  <si>
    <t>GURU, LUBNA, MD</t>
  </si>
  <si>
    <t>E0022462</t>
  </si>
  <si>
    <t>GURU LUBNA</t>
  </si>
  <si>
    <t>LUBNA S. GURU, MD</t>
  </si>
  <si>
    <t>(716) 406-2164</t>
  </si>
  <si>
    <t>LOPEZ, OSCAR, MD</t>
  </si>
  <si>
    <t>E0240194</t>
  </si>
  <si>
    <t>LOPEZ OSCAR S MD</t>
  </si>
  <si>
    <t>(716) 632-5450</t>
  </si>
  <si>
    <t>OLOPEZ@KALEIDAHEALTH.ORG</t>
  </si>
  <si>
    <t>LOPEZ OSCAR</t>
  </si>
  <si>
    <t>SCHIFELING, RICHARD, MD</t>
  </si>
  <si>
    <t>E0199092</t>
  </si>
  <si>
    <t>SCHIFELING RICHARD WILLIAM MD</t>
  </si>
  <si>
    <t>(716) 859-2589</t>
  </si>
  <si>
    <t>RSCHIFELING@KALEIDAHEALTH.ORG</t>
  </si>
  <si>
    <t>SCHIFELING RICHARD</t>
  </si>
  <si>
    <t>DZIK, DARLENE, MD</t>
  </si>
  <si>
    <t>E0116681</t>
  </si>
  <si>
    <t>DZIK DARLENE ANN MD</t>
  </si>
  <si>
    <t>DDZIK@KALEIDAHEALTH.ORG</t>
  </si>
  <si>
    <t>DZIK DARLENE DR.</t>
  </si>
  <si>
    <t>GENESEE TRANSIT LLP</t>
  </si>
  <si>
    <t>MECHTLER, STEPHEN, MD</t>
  </si>
  <si>
    <t>E0175387</t>
  </si>
  <si>
    <t>07253SNYDER OB-GYN PC</t>
  </si>
  <si>
    <t>(716) 929-2600</t>
  </si>
  <si>
    <t>SMECHTLER@KALEIDAHEALTH.ORG</t>
  </si>
  <si>
    <t>MECHTLER STEPHEN</t>
  </si>
  <si>
    <t>MECHTLER STEPHEN ANTON</t>
  </si>
  <si>
    <t>GARIMELLA, SUDHA, MD</t>
  </si>
  <si>
    <t>E0027921</t>
  </si>
  <si>
    <t>GARIMELLA SUDHA MD</t>
  </si>
  <si>
    <t>GARIMELLA , SUDHA  , MD</t>
  </si>
  <si>
    <t>SGARIMELLA@UPA.CHOB.EDU</t>
  </si>
  <si>
    <t>GARIMELLA SUDHA</t>
  </si>
  <si>
    <t>SIDDIQUI, ADNAN, MDPHD</t>
  </si>
  <si>
    <t>E0025842</t>
  </si>
  <si>
    <t>SIDDIQUI ADNAN HUSSAIN</t>
  </si>
  <si>
    <t>SIDDIQUI, ADNAN, MD</t>
  </si>
  <si>
    <t>ASIDDIQUI@KALEIDAHEALTH.ORG</t>
  </si>
  <si>
    <t>SIDDIQUI ADNAN DR.</t>
  </si>
  <si>
    <t>725 IRVING AVE</t>
  </si>
  <si>
    <t>DUSSE, JON, MD</t>
  </si>
  <si>
    <t>E0143335</t>
  </si>
  <si>
    <t>DUSSE JON L MD</t>
  </si>
  <si>
    <t>JDUSSE@KALEIDAHEALTH.ORG</t>
  </si>
  <si>
    <t>DUSSE JON</t>
  </si>
  <si>
    <t>BREIER, CRYSTAL, FNP</t>
  </si>
  <si>
    <t>(716) 773-6523</t>
  </si>
  <si>
    <t>CBREIER@KALEIDAHEALTH.ORG</t>
  </si>
  <si>
    <t>BREIER CRYSTAL MRS.</t>
  </si>
  <si>
    <t>BLUM, CRAIG, MD</t>
  </si>
  <si>
    <t>E0235768</t>
  </si>
  <si>
    <t>BLUM CRAIG E               MD</t>
  </si>
  <si>
    <t>CBLUM@KALEIDAHEALTH.ORG</t>
  </si>
  <si>
    <t>BLUM CRAIG</t>
  </si>
  <si>
    <t>S-3673 S WESTERN BVD</t>
  </si>
  <si>
    <t>FRISICARO, GERALD, NURSEPRAC</t>
  </si>
  <si>
    <t>E0092365</t>
  </si>
  <si>
    <t>FRISICARO GERALD</t>
  </si>
  <si>
    <t>FRISICARO, GERALD, NP</t>
  </si>
  <si>
    <t>(716) 358-4237</t>
  </si>
  <si>
    <t>FRISICAROG@SHSWNY.ORG</t>
  </si>
  <si>
    <t>3416 ROUTE 394</t>
  </si>
  <si>
    <t>RANDOLPH</t>
  </si>
  <si>
    <t>WECKERLE, CHRISTINE, MD</t>
  </si>
  <si>
    <t>E0177927</t>
  </si>
  <si>
    <t>WECKERLE CHRISTINE M MD</t>
  </si>
  <si>
    <t>CWECKERLE@KALEIDAHEALTH.ORG</t>
  </si>
  <si>
    <t>WECKERLE CHRISTINE</t>
  </si>
  <si>
    <t>5817 S PARK AVE</t>
  </si>
  <si>
    <t>ROBINSON, DONALD, MD</t>
  </si>
  <si>
    <t>E0214158</t>
  </si>
  <si>
    <t>ROBINSON DONALD W          MD</t>
  </si>
  <si>
    <t>(716) 649-6687</t>
  </si>
  <si>
    <t>ROBINSON DONALD</t>
  </si>
  <si>
    <t>SCHENK, GREGORY, MD</t>
  </si>
  <si>
    <t>E0210774</t>
  </si>
  <si>
    <t>SCHENK GREGORY P           MD</t>
  </si>
  <si>
    <t>(716) 688-9641</t>
  </si>
  <si>
    <t>GSCHENK@KALEIDAHEALTH.ORG</t>
  </si>
  <si>
    <t>SCHENK GREGORY</t>
  </si>
  <si>
    <t>LOUIS LAZAR FAM MED</t>
  </si>
  <si>
    <t>PETERSON, CHRISTINE,</t>
  </si>
  <si>
    <t>PETERSON, CHRISTINE, CASAC</t>
  </si>
  <si>
    <t>PETERSONC@SHSWNY.ORG</t>
  </si>
  <si>
    <t>PETERSON CHRISTINE</t>
  </si>
  <si>
    <t>FOX, CHESTER, MD</t>
  </si>
  <si>
    <t>E0254288</t>
  </si>
  <si>
    <t>FOX CHESTER H              MD</t>
  </si>
  <si>
    <t>CFOX@KALEIDAHEALTH.ORG</t>
  </si>
  <si>
    <t>FOX CHESTER</t>
  </si>
  <si>
    <t>FOX CHESTER H</t>
  </si>
  <si>
    <t>10 MAPLE AVE</t>
  </si>
  <si>
    <t>BLOOMFIELD</t>
  </si>
  <si>
    <t>Brown, Karen</t>
  </si>
  <si>
    <t>E0112185</t>
  </si>
  <si>
    <t>BROWN KAREN SUE</t>
  </si>
  <si>
    <t>BROWN KAREN</t>
  </si>
  <si>
    <t>Klice, Ashley, Chautauqua County Chapter NYSARC Inc/dba The Resource Center</t>
  </si>
  <si>
    <t>(716) 661-1065</t>
  </si>
  <si>
    <t>KLICE ASHLEY</t>
  </si>
  <si>
    <t>Larson, Aleshia, Chautauqua County Chapter NYSARC Inc/dba The Resource Center</t>
  </si>
  <si>
    <t>E0035041</t>
  </si>
  <si>
    <t>LARSON ALESHIA ELIZABETH</t>
  </si>
  <si>
    <t>(716) 661-1066</t>
  </si>
  <si>
    <t>BREWER ALESHIA</t>
  </si>
  <si>
    <t>BREWER ALESHIA ELIZABETH LARSON</t>
  </si>
  <si>
    <t>Larson, Candy, Chautauqua County Chapter NYSARC Inc/dba The Resource Center</t>
  </si>
  <si>
    <t>(716) 661-1067</t>
  </si>
  <si>
    <t>LARSON CANDACE</t>
  </si>
  <si>
    <t>344 E 4TH ST</t>
  </si>
  <si>
    <t>Larson, Douglas, Chautauqua County Chapter NYSARC Inc/dba The Resource Center</t>
  </si>
  <si>
    <t>E0026105</t>
  </si>
  <si>
    <t>LARSON DOUGLAS</t>
  </si>
  <si>
    <t>(716) 661-1068</t>
  </si>
  <si>
    <t>LARSON DOUGLAS DR.</t>
  </si>
  <si>
    <t>LARSON DOUGLAS MARSHALL</t>
  </si>
  <si>
    <t>680 FAIRMOUNT AVE</t>
  </si>
  <si>
    <t>Lewis, Donna, Chautauqua County Chapter NYSARC Inc/dba The Resource Center</t>
  </si>
  <si>
    <t>(716) 661-1069</t>
  </si>
  <si>
    <t>LEWIS DONNA</t>
  </si>
  <si>
    <t>Luka-Conley, Leanna, Chautauqua County Chapter NYSARC Inc/dba The Resource Center</t>
  </si>
  <si>
    <t>(716) 661-1070</t>
  </si>
  <si>
    <t>LUKA-CONLEY LEANNA</t>
  </si>
  <si>
    <t>Mayle, Ryan, Chautauqua County Chapter NYSARC Inc/dba The Resource Center</t>
  </si>
  <si>
    <t>E0344950</t>
  </si>
  <si>
    <t>MAYLE RYAN W</t>
  </si>
  <si>
    <t>(716) 661-1071</t>
  </si>
  <si>
    <t>MAYLE RYAN</t>
  </si>
  <si>
    <t>880 E 2ND ST</t>
  </si>
  <si>
    <t>McMahon-Tronettie, Callean, Chautauqua County Chapter NYSARC Inc/dba The Resource Center</t>
  </si>
  <si>
    <t>E0075876</t>
  </si>
  <si>
    <t>MCMAHON-TRONETTI CAILLEAN</t>
  </si>
  <si>
    <t>(716) 661-1072</t>
  </si>
  <si>
    <t>MCMAHON-TRONETTI CAILLEAN DR.</t>
  </si>
  <si>
    <t>845 RTS 5&amp;20</t>
  </si>
  <si>
    <t>Megat, Shawn, Chautauqua County Chapter NYSARC Inc/dba The Resource Center</t>
  </si>
  <si>
    <t>(716) 661-1073</t>
  </si>
  <si>
    <t>200 Dunham Ave.</t>
  </si>
  <si>
    <t>Jamestown</t>
  </si>
  <si>
    <t>Merwin, Michele, Chautauqua County Chapter NYSARC Inc/dba The Resource Center</t>
  </si>
  <si>
    <t>(716) 661-1074</t>
  </si>
  <si>
    <t>MERWIN MICHELE</t>
  </si>
  <si>
    <t>186 LAKE SHORE DR W</t>
  </si>
  <si>
    <t>Morrison, Brittany, Chautauqua County Chapter NYSARC Inc/dba The Resource Center</t>
  </si>
  <si>
    <t>(716) 661-1075</t>
  </si>
  <si>
    <t>MORRISON BRITTANY</t>
  </si>
  <si>
    <t>Morrison, Melinda, Chautauqua County Chapter NYSARC Inc/dba The Resource Center</t>
  </si>
  <si>
    <t>(716) 661-1076</t>
  </si>
  <si>
    <t>MORRISON MELINDA MS.</t>
  </si>
  <si>
    <t>OMH Gateways, , Chautauqua County Chapter NYSARC Inc/dba The Resource Center</t>
  </si>
  <si>
    <t>(716) 661-1077</t>
  </si>
  <si>
    <t>OPWDD Article 16, , Chautauqua County Chapter NYSARC Inc/dba The Resource Center</t>
  </si>
  <si>
    <t>(716) 661-1078</t>
  </si>
  <si>
    <t>Paddock, Carol, Chautauqua County Chapter NYSARC Inc/dba The Resource Center</t>
  </si>
  <si>
    <t>E0344460</t>
  </si>
  <si>
    <t>PADDOCK CAROL</t>
  </si>
  <si>
    <t>(716) 661-1079</t>
  </si>
  <si>
    <t>PADDOCK CAROL MS.</t>
  </si>
  <si>
    <t>Pharmacy, , Chautauqua County Chapter NYSARC Inc/dba The Resource Center</t>
  </si>
  <si>
    <t>E0228636</t>
  </si>
  <si>
    <t>RESOURCE CENTER CHAUTAUQUA COUNTY</t>
  </si>
  <si>
    <t>(716) 661-1080</t>
  </si>
  <si>
    <t>CHAUTAUQUA CO. CHAPTER OF NYSARC INC DBA THE RESOURCE CENTER</t>
  </si>
  <si>
    <t>712 W 8TH ST</t>
  </si>
  <si>
    <t>PHARMACY</t>
  </si>
  <si>
    <t>Pietrusik, Micheal, Chautauqua County Chapter NYSARC Inc/dba The Resource Center</t>
  </si>
  <si>
    <t>E0215142</t>
  </si>
  <si>
    <t>PIETRUSIK MICHAEL JOSEPH DPM</t>
  </si>
  <si>
    <t>(716) 661-1081</t>
  </si>
  <si>
    <t>PIETRUSIK MICHAEL</t>
  </si>
  <si>
    <t>PIETRUSIK MICHAEL JOSEPH</t>
  </si>
  <si>
    <t>3277 S PARK AVE</t>
  </si>
  <si>
    <t>Piotrowski, Deborah, Chautauqua County Chapter NYSARC Inc/dba The Resource Center</t>
  </si>
  <si>
    <t>E0084060</t>
  </si>
  <si>
    <t>PIOTROWSKI DEBORAH MARY</t>
  </si>
  <si>
    <t>(716) 661-1082</t>
  </si>
  <si>
    <t>PIOTROWSKI DEBORAH</t>
  </si>
  <si>
    <t>350 E 2ND ST</t>
  </si>
  <si>
    <t>Pitts, Nicole, Chautauqua County Chapter NYSARC Inc/dba The Resource Center</t>
  </si>
  <si>
    <t>E0340559</t>
  </si>
  <si>
    <t>PITTS NICOLE MARIE</t>
  </si>
  <si>
    <t>(716) 661-1083</t>
  </si>
  <si>
    <t>PITTS NICOLE</t>
  </si>
  <si>
    <t>Porebski, diana, Chautauqua County Chapter NYSARC Inc/dba The Resource Center</t>
  </si>
  <si>
    <t>(716) 661-1084</t>
  </si>
  <si>
    <t>POREBSKI DIANA</t>
  </si>
  <si>
    <t>51 E 3RD ST</t>
  </si>
  <si>
    <t>Reslink, Holly, Chautauqua County Chapter NYSARC Inc/dba The Resource Center</t>
  </si>
  <si>
    <t>E0339259</t>
  </si>
  <si>
    <t>BENSON HOLLY SUZANNE</t>
  </si>
  <si>
    <t>(716) 661-1085</t>
  </si>
  <si>
    <t>RESLINK HOLLY DR.</t>
  </si>
  <si>
    <t>RESLINK HOLLY SUZANNE</t>
  </si>
  <si>
    <t>Rice, Ryan, Chautauqua County Chapter NYSARC Inc/dba The Resource Center</t>
  </si>
  <si>
    <t>(716) 661-1086</t>
  </si>
  <si>
    <t>RICE RYAN</t>
  </si>
  <si>
    <t>Rosendahl, Tana, Chautauqua County Chapter NYSARC Inc/dba The Resource Center</t>
  </si>
  <si>
    <t>(716) 661-1087</t>
  </si>
  <si>
    <t>ROSENDAHL TANA</t>
  </si>
  <si>
    <t>517 SPRING ST</t>
  </si>
  <si>
    <t>Shear, Anne, Chautauqua County Chapter NYSARC Inc/dba The Resource Center</t>
  </si>
  <si>
    <t>E0026056</t>
  </si>
  <si>
    <t>SHEAR ANNE RENEE</t>
  </si>
  <si>
    <t>(716) 661-1088</t>
  </si>
  <si>
    <t>SHEAR ANNE DR.</t>
  </si>
  <si>
    <t>896 E 2ND ST</t>
  </si>
  <si>
    <t>Sherry , Joseph, Chautauqua County Chapter NYSARC Inc/dba The Resource Center</t>
  </si>
  <si>
    <t>(716) 661-1089</t>
  </si>
  <si>
    <t>SHERRY JOSEPH MR.</t>
  </si>
  <si>
    <t>110 LINCOLN ST</t>
  </si>
  <si>
    <t>RIDGWAY</t>
  </si>
  <si>
    <t>Sirianno, Lisa, Chautauqua County Chapter NYSARC Inc/dba The Resource Center</t>
  </si>
  <si>
    <t>(716) 661-1090</t>
  </si>
  <si>
    <t>SIRIANNO LISA</t>
  </si>
  <si>
    <t>Slear, Jared, Chautauqua County Chapter NYSARC Inc/dba The Resource Center</t>
  </si>
  <si>
    <t>(716) 661-1091</t>
  </si>
  <si>
    <t>SLEAR JARED</t>
  </si>
  <si>
    <t>75 JONES GIFFORD AVE</t>
  </si>
  <si>
    <t>Smith, Karen, Chautauqua County Chapter NYSARC Inc/dba The Resource Center</t>
  </si>
  <si>
    <t>E0037532</t>
  </si>
  <si>
    <t>SMITH KAREN P</t>
  </si>
  <si>
    <t>(716) 661-1092</t>
  </si>
  <si>
    <t>SMITH KAREN</t>
  </si>
  <si>
    <t>186 LAKESHORE DR W</t>
  </si>
  <si>
    <t>BATRA, MANAV, MBBS</t>
  </si>
  <si>
    <t>E0350507</t>
  </si>
  <si>
    <t>BATRA MANAV</t>
  </si>
  <si>
    <t>BATRA, MANAV, MD</t>
  </si>
  <si>
    <t>(716) 601-9545</t>
  </si>
  <si>
    <t>MBATRA@KALEIDAHEALTH.ORG</t>
  </si>
  <si>
    <t>3980 SHERIDAN DR 6TH FL</t>
  </si>
  <si>
    <t>ECKLER, JUSTIN, MD</t>
  </si>
  <si>
    <t>E0352667</t>
  </si>
  <si>
    <t>ECKLER JUSTIN</t>
  </si>
  <si>
    <t>JECKLER@KALEIDAHEALTH.ORG</t>
  </si>
  <si>
    <t>COX, MATTHEW, MD</t>
  </si>
  <si>
    <t>E0290321</t>
  </si>
  <si>
    <t>COX MATTHEW</t>
  </si>
  <si>
    <t>COX MATTHEW DR.</t>
  </si>
  <si>
    <t>COX MATTHEW RYAN</t>
  </si>
  <si>
    <t>SINGH, SHIPRA, MD</t>
  </si>
  <si>
    <t>E0372531</t>
  </si>
  <si>
    <t>SINGH SHIPRA</t>
  </si>
  <si>
    <t>SINGH , SHIPRA, MD</t>
  </si>
  <si>
    <t>(504) 988-5458</t>
  </si>
  <si>
    <t>SSINGH1@UPA.CHOB.EDU</t>
  </si>
  <si>
    <t>SINGH SHIPRA DR.</t>
  </si>
  <si>
    <t>THATIGOTLA, BALA GANGADHARA, MD</t>
  </si>
  <si>
    <t>E0321758</t>
  </si>
  <si>
    <t>THATIGOTLA BALA GANGADHARA REDDY</t>
  </si>
  <si>
    <t>THATIGOTLA BALA GANGADHARA DR.</t>
  </si>
  <si>
    <t>(646) 938-3785</t>
  </si>
  <si>
    <t>KINGSBURY, ERIC, CASACT</t>
  </si>
  <si>
    <t>KINGSBURY,  ERIC, SR COUNSELOR QHP</t>
  </si>
  <si>
    <t>(716) 572-2479</t>
  </si>
  <si>
    <t>KINGSBURY ERIC MR.</t>
  </si>
  <si>
    <t>MARTHIA, VANESSA, FNP</t>
  </si>
  <si>
    <t>E0322861</t>
  </si>
  <si>
    <t>MARTHIA VANESSA ELIZABETH</t>
  </si>
  <si>
    <t>VMARTHIA@KALEIDAHEALTH.ORG</t>
  </si>
  <si>
    <t>MARTHIA VANESSA</t>
  </si>
  <si>
    <t>139 PROFESSIONAL PAR</t>
  </si>
  <si>
    <t>JANKOWSKI, PATRICIA,</t>
  </si>
  <si>
    <t>JANKOWSKI,  PATRICIA, SR COUNSELOR LICENSED</t>
  </si>
  <si>
    <t>JANKOWSKI PATRICIA</t>
  </si>
  <si>
    <t>MARLIN, LISA, NP</t>
  </si>
  <si>
    <t>E0322445</t>
  </si>
  <si>
    <t>MARLIN LISA</t>
  </si>
  <si>
    <t>MARLIN, LISA, FNP</t>
  </si>
  <si>
    <t>LMARLIN@KALEIDAHEALTH.ORG</t>
  </si>
  <si>
    <t>MADDING, AMANDA, MSW</t>
  </si>
  <si>
    <t>MADDING,  AMANDA, SR COUNSELOR LICENSED</t>
  </si>
  <si>
    <t>MADDING AMANDA MRS.</t>
  </si>
  <si>
    <t>BARRETT, MATTHEW, MD</t>
  </si>
  <si>
    <t>E0352166</t>
  </si>
  <si>
    <t>BARRETT MATTHEW JAMES</t>
  </si>
  <si>
    <t>(313) 745-5147</t>
  </si>
  <si>
    <t>MBARRETT@KALEIDAHEALTH.ORG</t>
  </si>
  <si>
    <t>BARRETT MATTHEW DR.</t>
  </si>
  <si>
    <t>WOOGEN, MICHELLE, MA</t>
  </si>
  <si>
    <t>WOOGEN, MICHELE,</t>
  </si>
  <si>
    <t>WOOGEN MICHELLE MS.</t>
  </si>
  <si>
    <t>1231 DELAWARE AVE, SUITE 101</t>
  </si>
  <si>
    <t>SACKS, DAWN, NP</t>
  </si>
  <si>
    <t>E0377538</t>
  </si>
  <si>
    <t>SACKS DAWN M</t>
  </si>
  <si>
    <t>SACKS, DAWN, ANP</t>
  </si>
  <si>
    <t>(716) 216-4250</t>
  </si>
  <si>
    <t>DSACKS@KALEIDAHEALTH.ORG</t>
  </si>
  <si>
    <t>SACKS DAWN</t>
  </si>
  <si>
    <t>SACKS DAWN MARIE</t>
  </si>
  <si>
    <t>BAGGETT, MICHAEL, MD</t>
  </si>
  <si>
    <t>E0059300</t>
  </si>
  <si>
    <t>BAGGETT MICHAEL ALLEN MD</t>
  </si>
  <si>
    <t>BAGGETT MICHAEL</t>
  </si>
  <si>
    <t>WOODMAN, HENRI, MD</t>
  </si>
  <si>
    <t>E0219533</t>
  </si>
  <si>
    <t>WOODMAN HENRI T            MD</t>
  </si>
  <si>
    <t>(716) 632-3577</t>
  </si>
  <si>
    <t>HWOODMAN@KALEIDAHEALTH.ORG</t>
  </si>
  <si>
    <t>WOODMAN HENRI</t>
  </si>
  <si>
    <t>LIPFORD, BENITA, MD</t>
  </si>
  <si>
    <t>E0122388</t>
  </si>
  <si>
    <t>LIPFORD BENITA P MD</t>
  </si>
  <si>
    <t>(716) 887-8282</t>
  </si>
  <si>
    <t>BLIPFORD@KALEIDAHEALTH.ORG</t>
  </si>
  <si>
    <t>LIPFORD BENITA</t>
  </si>
  <si>
    <t>SCIOLINO, MELISSA, MD</t>
  </si>
  <si>
    <t>E0083896</t>
  </si>
  <si>
    <t>SCIOLINO MELISSA NANCY MD</t>
  </si>
  <si>
    <t>MSCIOLINO@KALEIDAHEALTH.ORG</t>
  </si>
  <si>
    <t>SCIOLINO MELISSA</t>
  </si>
  <si>
    <t>SCIOLINO MELISSA NANCY</t>
  </si>
  <si>
    <t>LOCKPORT PEDIATRIC</t>
  </si>
  <si>
    <t>MAZZIOTTI, MARK, MD</t>
  </si>
  <si>
    <t>E0348013</t>
  </si>
  <si>
    <t>MAZZIOTTI MARK V</t>
  </si>
  <si>
    <t>(713) 798-1750</t>
  </si>
  <si>
    <t>MMAZZIOTTI@KALEIDAHEALTH.ORG</t>
  </si>
  <si>
    <t>MAZZIOTTI MARK</t>
  </si>
  <si>
    <t>UNITED CEREBRAL PALSY ASSOC OF NYS INC.</t>
  </si>
  <si>
    <t>(212) 947-5770</t>
  </si>
  <si>
    <t>CAMPBELL, LAURIE, NP</t>
  </si>
  <si>
    <t>E0026569</t>
  </si>
  <si>
    <t>CAMPBELL LAURIE ANN NP</t>
  </si>
  <si>
    <t>CAMPBELL, LAURIE, ANP</t>
  </si>
  <si>
    <t>LACAMPBELL@KALEIDAHEALTH.ORG</t>
  </si>
  <si>
    <t>CAMPBELL LAURIE</t>
  </si>
  <si>
    <t>QUIGG, RICHARD, MD</t>
  </si>
  <si>
    <t>E0343558</t>
  </si>
  <si>
    <t>QUIGG RICHARD J JR</t>
  </si>
  <si>
    <t>RQUIGG@KALEIDAHEALTH.ORG</t>
  </si>
  <si>
    <t>QUIGG RICHARD</t>
  </si>
  <si>
    <t>ASPIRE OF WESTERN NEW YORK INC.</t>
  </si>
  <si>
    <t>E0252034</t>
  </si>
  <si>
    <t>ASPIRE OF WESTERN NEW YORK IN</t>
  </si>
  <si>
    <t>TOM SY</t>
  </si>
  <si>
    <t>TASY@ASPIREWNY.ORG</t>
  </si>
  <si>
    <t>DOH CLINIC</t>
  </si>
  <si>
    <t>DUNN, ANDREW,</t>
  </si>
  <si>
    <t>E0014142</t>
  </si>
  <si>
    <t>DUNN ANDREW TERRELL   MD</t>
  </si>
  <si>
    <t>DUNN, ANDREW, MD</t>
  </si>
  <si>
    <t>ADUNN2@KALEIDAHEALTH.ORG</t>
  </si>
  <si>
    <t>DUNN ANDREW DR.</t>
  </si>
  <si>
    <t>DUNN ANDREW TERRELL MD</t>
  </si>
  <si>
    <t>RAJENDRAN, SHANTHI, MD</t>
  </si>
  <si>
    <t>E0100934</t>
  </si>
  <si>
    <t>SHANTHI RAJENDRAN PHYS PC</t>
  </si>
  <si>
    <t>(716) 689-4587</t>
  </si>
  <si>
    <t>RAJENDRAN SHANTHI DR.</t>
  </si>
  <si>
    <t>16 MAIN ST</t>
  </si>
  <si>
    <t>AKRON</t>
  </si>
  <si>
    <t>LAKE SHORE BEHAVIORAL HEALTH</t>
  </si>
  <si>
    <t>E0026922</t>
  </si>
  <si>
    <t>HOWARD K. HITZEL, PSY.D., PRESIDENT</t>
  </si>
  <si>
    <t>(716) 842-0440</t>
  </si>
  <si>
    <t>HHITZEL@LAKE-SHORE.ORG</t>
  </si>
  <si>
    <t>KUCZMANSKI, MARK, PA</t>
  </si>
  <si>
    <t>E0009323</t>
  </si>
  <si>
    <t>KUCZMANSKI MARK R RPA</t>
  </si>
  <si>
    <t>MKUCZMANSKI@KALEIDAHEALTH.ORG</t>
  </si>
  <si>
    <t>KUCZMANSKI MARK</t>
  </si>
  <si>
    <t>KUCZMANSKI MARK RICHARD RPA</t>
  </si>
  <si>
    <t>DARNER, THERESA,</t>
  </si>
  <si>
    <t>DARNER THERESA</t>
  </si>
  <si>
    <t>MEHTA, VINAY, MD</t>
  </si>
  <si>
    <t>E0345201</t>
  </si>
  <si>
    <t>MEHTA VINAY</t>
  </si>
  <si>
    <t>(716) 835-2981</t>
  </si>
  <si>
    <t>VMEHTA@KALEIDAHEALTH.ORG</t>
  </si>
  <si>
    <t>MEHTA VINAY DR.</t>
  </si>
  <si>
    <t>Kelly A. Keech, NP</t>
  </si>
  <si>
    <t>E0296785</t>
  </si>
  <si>
    <t>KEECH KELLY ANN</t>
  </si>
  <si>
    <t>(716) 376-2412</t>
  </si>
  <si>
    <t>RICE KELLY</t>
  </si>
  <si>
    <t>RICE KELLY ANN</t>
  </si>
  <si>
    <t>SHULMAN, DAVID, MD</t>
  </si>
  <si>
    <t>E0179681</t>
  </si>
  <si>
    <t>SHULMAN DAVID S MD</t>
  </si>
  <si>
    <t>SHULMAN DAVID</t>
  </si>
  <si>
    <t>SHULMAN DAVID STEVEN</t>
  </si>
  <si>
    <t>INTEGRATED CARE SYSTEMS, LLC</t>
  </si>
  <si>
    <t>JOHN DUNN</t>
  </si>
  <si>
    <t>(716) 778-7111</t>
  </si>
  <si>
    <t>JDUNN@NEWFANEHEALTH.COM</t>
  </si>
  <si>
    <t>2709 TRANSIT RD</t>
  </si>
  <si>
    <t>POJE, CHRISTOPHER, MD</t>
  </si>
  <si>
    <t>E0144177</t>
  </si>
  <si>
    <t>POJE CHRISTOPHER P MD</t>
  </si>
  <si>
    <t>(716) 392-9730</t>
  </si>
  <si>
    <t>CPOJE@KALEIDAHEALTH.ORG</t>
  </si>
  <si>
    <t>POJE CHRISTOPHER DR.</t>
  </si>
  <si>
    <t>POJE CHRISTOPHER PETER</t>
  </si>
  <si>
    <t>KHAWAR, SARWAT, MD</t>
  </si>
  <si>
    <t>E0082400</t>
  </si>
  <si>
    <t>KHAWAR SARWAT MD</t>
  </si>
  <si>
    <t>KHAWAR SARWAT</t>
  </si>
  <si>
    <t>O'DELL MED CENTER</t>
  </si>
  <si>
    <t>ABSOLUT CENTER FOR NURSING AND REHABILITATION AT AURORA PARK, LLC</t>
  </si>
  <si>
    <t>E0253150</t>
  </si>
  <si>
    <t>ABSOLUT CTR NRS/REH AT AURORA PARK</t>
  </si>
  <si>
    <t>KIRSTEN WHITTEMORE, LNHA</t>
  </si>
  <si>
    <t>KWHITTEMORE@ABSOLUTCARE.COM</t>
  </si>
  <si>
    <t>ABSOLUT CTR NRS &amp;REHAB AURORA PARK</t>
  </si>
  <si>
    <t>292 MAIN ST</t>
  </si>
  <si>
    <t>BEECHWOOD HEALTH CARE CENTER INC.</t>
  </si>
  <si>
    <t>E0251998</t>
  </si>
  <si>
    <t>BEECHWOOD HOMES</t>
  </si>
  <si>
    <t>DANIEL P. O'NEILL, PRESIDENT/CEO</t>
  </si>
  <si>
    <t>(716) 810-7000</t>
  </si>
  <si>
    <t>DONEILL@BEECHWOODCARE.ORG</t>
  </si>
  <si>
    <t>2235 MILLERSPORT HWY</t>
  </si>
  <si>
    <t>LUKASIK, ANTOINETTE, DDS</t>
  </si>
  <si>
    <t>E0145073</t>
  </si>
  <si>
    <t>LUKASIK ANTIONETTE A DDS</t>
  </si>
  <si>
    <t>(716) 672-2854</t>
  </si>
  <si>
    <t>ALUKASIK@KALEIDAHEALTH.ORG</t>
  </si>
  <si>
    <t>LUKASIK ANTOINETTE DR.</t>
  </si>
  <si>
    <t>LUKASIK ANTOINETTE</t>
  </si>
  <si>
    <t>85 W MAIN ST</t>
  </si>
  <si>
    <t>CHILD &amp; ADOLESCENT TREATMENT CENTER INC</t>
  </si>
  <si>
    <t>LANCASTER, , SATELLITE</t>
  </si>
  <si>
    <t>CHILD &amp; ADOLESCENT TREATMENT SERVICE INC</t>
  </si>
  <si>
    <t>UCPA OF NIAGARA COUNTY, INC.</t>
  </si>
  <si>
    <t>E0201726</t>
  </si>
  <si>
    <t>UCP NIAGARA LOCKPORT ADULT IC</t>
  </si>
  <si>
    <t>JOHN J M REARDON</t>
  </si>
  <si>
    <t>(716) 297-0798</t>
  </si>
  <si>
    <t>JMREARDON@NIAGARACP.ORG</t>
  </si>
  <si>
    <t>UCP NIAGARA LOCKPORT ADULT ICF</t>
  </si>
  <si>
    <t>LOCKPORT ADULT ICF</t>
  </si>
  <si>
    <t>CERTO, MARGARET, DDS</t>
  </si>
  <si>
    <t>E0164750</t>
  </si>
  <si>
    <t>CERTO MARGARET ANN DDS</t>
  </si>
  <si>
    <t>(716) 855-3290</t>
  </si>
  <si>
    <t>MCERTO@KALEIDAHEALTH.ORG</t>
  </si>
  <si>
    <t>CERTO MARGARET DR.</t>
  </si>
  <si>
    <t>CERTO MARGARET ANN</t>
  </si>
  <si>
    <t>DRYJA, ERIC, LCSWR</t>
  </si>
  <si>
    <t>E0298862</t>
  </si>
  <si>
    <t>DRYJA ERIC DAVID</t>
  </si>
  <si>
    <t>DRYJA, ERIC, LCSW-R</t>
  </si>
  <si>
    <t>DRYJAE@SHSWNY.ORG</t>
  </si>
  <si>
    <t>DRYJA ERIC MR.</t>
  </si>
  <si>
    <t>58 W BUFFALO ST</t>
  </si>
  <si>
    <t>REYNOLDS, ANN, MD</t>
  </si>
  <si>
    <t>E0044146</t>
  </si>
  <si>
    <t>REYNOLDS ANNE MARIE MD</t>
  </si>
  <si>
    <t>REYNOLDS , ANNE MARIE , MD</t>
  </si>
  <si>
    <t>AREYNOLDS@UPA.CHOB.EDU</t>
  </si>
  <si>
    <t>REYNOLDS ANN</t>
  </si>
  <si>
    <t>REYNOLDS ANNE MARIE</t>
  </si>
  <si>
    <t>WOMEN &amp; CHILDRENS</t>
  </si>
  <si>
    <t>POCHATKO, DAVID, MD</t>
  </si>
  <si>
    <t>E0150626</t>
  </si>
  <si>
    <t>POCHATKO DAVID JOHN MD</t>
  </si>
  <si>
    <t>DPOCHATKO@KALEIDAHEALTH.ORG</t>
  </si>
  <si>
    <t>POCHATKO DAVID</t>
  </si>
  <si>
    <t>DIAZ-REYES, GUSTAVO, MD</t>
  </si>
  <si>
    <t>E0036727</t>
  </si>
  <si>
    <t>DIAZ-REYES GUSTAVO ADOLFO MD</t>
  </si>
  <si>
    <t>GDIAZ-REYES@KALEIDAHEALTH.ORG</t>
  </si>
  <si>
    <t>DIAZ-REYES GUSTAVO DR.</t>
  </si>
  <si>
    <t>MACLEAN, CRAIG, DO</t>
  </si>
  <si>
    <t>E0190670</t>
  </si>
  <si>
    <t>MACLEAN CRAIG K MD</t>
  </si>
  <si>
    <t>MACLEAN CRAIG</t>
  </si>
  <si>
    <t>(716) 646-6700</t>
  </si>
  <si>
    <t>10626 MAIN STREET</t>
  </si>
  <si>
    <t>MEHBOOB, SHAHID, MD</t>
  </si>
  <si>
    <t>E0060431</t>
  </si>
  <si>
    <t>MEHBOOB SHAHID MD</t>
  </si>
  <si>
    <t>SMEHBOOB@KALEIDAHEALTH.ORG</t>
  </si>
  <si>
    <t>MEHBOOB SHAHID</t>
  </si>
  <si>
    <t>ACADEMIC MED SERVICE</t>
  </si>
  <si>
    <t>MANEYAPANDA, BIDAPPA, MD</t>
  </si>
  <si>
    <t>E0234552</t>
  </si>
  <si>
    <t>MANEYAPANDA BIDAPPA G      MD</t>
  </si>
  <si>
    <t>(716) 885-9200</t>
  </si>
  <si>
    <t>BMANEYAPANDA@KALEIDAHEALTH.ORG</t>
  </si>
  <si>
    <t>MANEYAPANDA BIDAPPA</t>
  </si>
  <si>
    <t>173 HIGH ST</t>
  </si>
  <si>
    <t>MOLINA, ISABEL, PMHNPBC</t>
  </si>
  <si>
    <t>E0057111</t>
  </si>
  <si>
    <t>MOLINA ISABEL B</t>
  </si>
  <si>
    <t>MOLINA, ISABEL, NP</t>
  </si>
  <si>
    <t>ISABEL.MOLINA@OMH.NY.GOV</t>
  </si>
  <si>
    <t>MOLINA ISABEL MS.</t>
  </si>
  <si>
    <t>355 CENTRAL AVE</t>
  </si>
  <si>
    <t>ROSS, CAROL, LCSWR</t>
  </si>
  <si>
    <t>ROSS, CAROL, LCSW-R</t>
  </si>
  <si>
    <t>(716) 439-7400</t>
  </si>
  <si>
    <t>CAROL.ROSS@NIAGARACOUNTY.COM</t>
  </si>
  <si>
    <t>ROSS CAROL MRS.</t>
  </si>
  <si>
    <t>5467 UPPER MOUNTAIN ROAD</t>
  </si>
  <si>
    <t>UNIVERSITY PSYCHIATRIC PRACTICE, INC</t>
  </si>
  <si>
    <t>E0160129</t>
  </si>
  <si>
    <t>UNIVERSITY PSYCHIATRIC PRACTICE INC</t>
  </si>
  <si>
    <t>PAUL CAVARETTA</t>
  </si>
  <si>
    <t>(716) 898-4535</t>
  </si>
  <si>
    <t>PC32@BUFFALO.EDU</t>
  </si>
  <si>
    <t>FILICE, MICHAEL, MD</t>
  </si>
  <si>
    <t>E0091030</t>
  </si>
  <si>
    <t>FILICE MICHAEL MD</t>
  </si>
  <si>
    <t>MFILICE@KALEIDAHEALTH.ORG</t>
  </si>
  <si>
    <t>FILICE MICHAEL</t>
  </si>
  <si>
    <t>UNIVERSITY EMERGENCY</t>
  </si>
  <si>
    <t>NYITRAI, ALYSON, PA</t>
  </si>
  <si>
    <t>E0316074</t>
  </si>
  <si>
    <t>ALYSON L NYITRAI</t>
  </si>
  <si>
    <t>(716) 828-1410</t>
  </si>
  <si>
    <t>ANYITRAI@KALEIDAHEALTH.ORG</t>
  </si>
  <si>
    <t>ZORATTI ALYSON MISS</t>
  </si>
  <si>
    <t>ZORATTI ALYSON L</t>
  </si>
  <si>
    <t>100 HIGH ST # C368</t>
  </si>
  <si>
    <t>Pierre E. Dionne, MD</t>
  </si>
  <si>
    <t>E0191074</t>
  </si>
  <si>
    <t>DIONNE PIERRE EUGENE MD</t>
  </si>
  <si>
    <t>(716) 376-2399</t>
  </si>
  <si>
    <t>DIONNE PIERRE</t>
  </si>
  <si>
    <t>OLEAN MED GROUP</t>
  </si>
  <si>
    <t>LEARY, DANIEL, MD</t>
  </si>
  <si>
    <t>E0219955</t>
  </si>
  <si>
    <t>LEARY DANIEL A          MD PC</t>
  </si>
  <si>
    <t>(716) 671-8393</t>
  </si>
  <si>
    <t>DLEARY@KALEIDAHEALTH.ORG</t>
  </si>
  <si>
    <t>LEARY DANIEL</t>
  </si>
  <si>
    <t>LEARY DANIEL A</t>
  </si>
  <si>
    <t>SIMPSON, GEORGE, MD</t>
  </si>
  <si>
    <t>E0175820</t>
  </si>
  <si>
    <t>SIMPSON GEORGE TRUE II MD</t>
  </si>
  <si>
    <t>(716) 862-6054</t>
  </si>
  <si>
    <t>GSIMPSON@KALEIDAHEALTH.ORG</t>
  </si>
  <si>
    <t>MELTSER, HENRY, MD</t>
  </si>
  <si>
    <t>E0031265</t>
  </si>
  <si>
    <t>MELTSER HENRY MARK MD</t>
  </si>
  <si>
    <t>(716) 688-4330</t>
  </si>
  <si>
    <t>HMELTSER@KALEIDAHEALTH.ORG</t>
  </si>
  <si>
    <t>MELTSER HENRY DR.</t>
  </si>
  <si>
    <t>825 WEHRLE DR</t>
  </si>
  <si>
    <t>CUMMINGS, DECHANTEL, LMSW</t>
  </si>
  <si>
    <t>CUMMINGS, DECHANTEL, LCSW</t>
  </si>
  <si>
    <t>(716) 881-2405</t>
  </si>
  <si>
    <t>DCUMMINGS@CATSWNY.ORG</t>
  </si>
  <si>
    <t>CUMMINGS DECHANTEL MS.</t>
  </si>
  <si>
    <t>1487 MAIN ST</t>
  </si>
  <si>
    <t>ANDERSON, CINDY, CRNA</t>
  </si>
  <si>
    <t>ANDERSON, CYNTHIA, CRNA</t>
  </si>
  <si>
    <t>CANDERSON4@KALEIDAHEALTH.ORG</t>
  </si>
  <si>
    <t>ANDERSON CINDY</t>
  </si>
  <si>
    <t>CONLEY, DANIELLE, MD</t>
  </si>
  <si>
    <t>E0016551</t>
  </si>
  <si>
    <t>CONLEY DANIELLE</t>
  </si>
  <si>
    <t>(716) 332-4472</t>
  </si>
  <si>
    <t>DCONLEY2@KALEIDAHEALTH.ORG</t>
  </si>
  <si>
    <t>560 FRANKLIN ST</t>
  </si>
  <si>
    <t>APPASAMY, SURESH, MD</t>
  </si>
  <si>
    <t>E0007591</t>
  </si>
  <si>
    <t>APPASAMY SURESH</t>
  </si>
  <si>
    <t>(916) 734-3774</t>
  </si>
  <si>
    <t>APPASAMY SURESH DR.</t>
  </si>
  <si>
    <t>APPASAMY SURESH MD</t>
  </si>
  <si>
    <t>E0171043</t>
  </si>
  <si>
    <t>CAH PEOPLE SRV DEV DIS</t>
  </si>
  <si>
    <t>(716) 817-7452</t>
  </si>
  <si>
    <t>ROTHSTEIN, DAVID, MD</t>
  </si>
  <si>
    <t>E0383524</t>
  </si>
  <si>
    <t>ROTHSTEIN DAVID</t>
  </si>
  <si>
    <t>DROTHSTEIN@KALEIDAHEALTH.ORG</t>
  </si>
  <si>
    <t>ROTHSTEIN DAVID DR.</t>
  </si>
  <si>
    <t>ROTHSTEIN DAVID HERSHEL</t>
  </si>
  <si>
    <t>FINNEGAN, MICHAEL, MSED</t>
  </si>
  <si>
    <t>FINNEGAN, MICHAEL, LMHCP</t>
  </si>
  <si>
    <t>FINNEGAN MICHAEL MR.</t>
  </si>
  <si>
    <t>OSTROM, ELIZABETH, NP</t>
  </si>
  <si>
    <t>E0361159</t>
  </si>
  <si>
    <t>OSTROM ELIZABETH ANNE</t>
  </si>
  <si>
    <t>OSTROM,  ELIZABETH, NURSE PRACTITIONER - PSYCH</t>
  </si>
  <si>
    <t>OSTROM ELIZABETH</t>
  </si>
  <si>
    <t>6520 NIAGARA FALLS BLVD</t>
  </si>
  <si>
    <t>MUNICH, STEPHAN, MD</t>
  </si>
  <si>
    <t>(312) 942-8613</t>
  </si>
  <si>
    <t>SMUNICH@KALEIDAHEALTH.ORG</t>
  </si>
  <si>
    <t>MUNICH STEPHAN DR.</t>
  </si>
  <si>
    <t>1725 W HARRISON ST, SUITE 1115</t>
  </si>
  <si>
    <t>CHICAGO</t>
  </si>
  <si>
    <t>PONE, ENTELA, MD</t>
  </si>
  <si>
    <t>E0317578</t>
  </si>
  <si>
    <t>LEVINE ENTELA PONE</t>
  </si>
  <si>
    <t>EMILIE CAMILLERI</t>
  </si>
  <si>
    <t>ECAMILLERI@ECMC.EDU</t>
  </si>
  <si>
    <t>PONE ENTELA</t>
  </si>
  <si>
    <t>DENUE, CHELSEA, PA</t>
  </si>
  <si>
    <t>E0310385</t>
  </si>
  <si>
    <t>CHELSEA RENEE DENN</t>
  </si>
  <si>
    <t>(716) 668-5331</t>
  </si>
  <si>
    <t>CDENUE@KALEIDAHEALTH.ORG</t>
  </si>
  <si>
    <t>DENUE CHELSEA</t>
  </si>
  <si>
    <t>DENUE CHELSEA RENEE</t>
  </si>
  <si>
    <t>LAUER, KRISTY, LCSW</t>
  </si>
  <si>
    <t>E0364308</t>
  </si>
  <si>
    <t>LAUER KRISTY L</t>
  </si>
  <si>
    <t>LAUER KRISTY</t>
  </si>
  <si>
    <t>REYNOLDS, JEFFREY, PA</t>
  </si>
  <si>
    <t>E0355139</t>
  </si>
  <si>
    <t>REYNOLDS JEFFREY MULLIN</t>
  </si>
  <si>
    <t>REYNOLDS JEFFREY</t>
  </si>
  <si>
    <t>322 PARK AVE</t>
  </si>
  <si>
    <t>BALON, WALTER, MD</t>
  </si>
  <si>
    <t>E0223891</t>
  </si>
  <si>
    <t>BALON WALTER               MD</t>
  </si>
  <si>
    <t>WBALON@KALEIDAHEALTH.ORG</t>
  </si>
  <si>
    <t>BALON WALTER DR.</t>
  </si>
  <si>
    <t>BUFFALO GENERAL HOSP</t>
  </si>
  <si>
    <t>IACONA, MARIE, MD</t>
  </si>
  <si>
    <t>E0189354</t>
  </si>
  <si>
    <t>IACONA MARIE A MD</t>
  </si>
  <si>
    <t>MIACONA@KALEIDAHEALTH.ORG</t>
  </si>
  <si>
    <t>IACONA MARIE</t>
  </si>
  <si>
    <t>BUFFALO CARDIOLOGY</t>
  </si>
  <si>
    <t>KOLESNIKOV, SERGEI, MD</t>
  </si>
  <si>
    <t>E0063346</t>
  </si>
  <si>
    <t>KOLESNIKOV SERGEI MD</t>
  </si>
  <si>
    <t>SKOLESNIKOV@KALEIDAHEALTH.ORG</t>
  </si>
  <si>
    <t>KOLESNIKOV SERGEI</t>
  </si>
  <si>
    <t>KACHURKA, DIANA, LCSWR</t>
  </si>
  <si>
    <t>E0022538</t>
  </si>
  <si>
    <t>KACHURKA DIANA</t>
  </si>
  <si>
    <t>KACHURKA, DIANA L., LCSWR</t>
  </si>
  <si>
    <t>KACHURKA DIANA L</t>
  </si>
  <si>
    <t>SKILLON, JAMEEKA,</t>
  </si>
  <si>
    <t>CADE,  JAMEEKA, COUNSLEOR I</t>
  </si>
  <si>
    <t>(716) 834-8163</t>
  </si>
  <si>
    <t>SKILLON JAMEEKA MRS.</t>
  </si>
  <si>
    <t>105 RODNEY AVE</t>
  </si>
  <si>
    <t>RIESTER, SHAWN, DPT</t>
  </si>
  <si>
    <t>E0287241</t>
  </si>
  <si>
    <t>RIESTER SHAWN</t>
  </si>
  <si>
    <t>(716) 818-0172</t>
  </si>
  <si>
    <t>RIESTER SHAWN DR.</t>
  </si>
  <si>
    <t>162 MILL ST</t>
  </si>
  <si>
    <t>REYNOLDS, RENEE, MD</t>
  </si>
  <si>
    <t>E0351494</t>
  </si>
  <si>
    <t>REYNOLDS RENEE M</t>
  </si>
  <si>
    <t>REYNOLDS, RENEE , MD</t>
  </si>
  <si>
    <t>(585) 739-4799</t>
  </si>
  <si>
    <t>RREYNOLDS@KALEIDAHEALTH.ORG</t>
  </si>
  <si>
    <t>REYNOLDS RENEE MRS.</t>
  </si>
  <si>
    <t>VATTIPALLY, VIKRAM, MD</t>
  </si>
  <si>
    <t>E0376702</t>
  </si>
  <si>
    <t>VATTIPALLY VIKRAM REDDY</t>
  </si>
  <si>
    <t>VATTIPALLY VIKRAM DR.</t>
  </si>
  <si>
    <t>(716) 278-4402</t>
  </si>
  <si>
    <t>E0232492</t>
  </si>
  <si>
    <t>PEOPLE SVC DEV DISAB ADULT DT</t>
  </si>
  <si>
    <t>DAY TREATMENT OMR</t>
  </si>
  <si>
    <t>ADAMS, TIMOTHY, MD</t>
  </si>
  <si>
    <t>E0009952</t>
  </si>
  <si>
    <t>ADAMS TIMOTHY MARTIN  MD</t>
  </si>
  <si>
    <t>TADAMS2@KALEIDAHEALTH.ORG</t>
  </si>
  <si>
    <t>ADAMS TIMOTHY DR.</t>
  </si>
  <si>
    <t>PARKER, KIRSTEN, ANP</t>
  </si>
  <si>
    <t>E0339549</t>
  </si>
  <si>
    <t>PARKER KIRSTEN FOSTER</t>
  </si>
  <si>
    <t>(716) 863-0231</t>
  </si>
  <si>
    <t>KPARKER2@KALEIDAHEALTH.ORG</t>
  </si>
  <si>
    <t>PARKER KIRSTEN MRS.</t>
  </si>
  <si>
    <t>2150 WEHRLE DR STE 200</t>
  </si>
  <si>
    <t>HALL, DANIELLE, RNFNP</t>
  </si>
  <si>
    <t>E0330925</t>
  </si>
  <si>
    <t>HALL DANIELLE Y</t>
  </si>
  <si>
    <t>HALL, DANIELLE, FNP</t>
  </si>
  <si>
    <t>DHALL2@KALEIDAHEALTH.ORG</t>
  </si>
  <si>
    <t>HALL DANIELLE</t>
  </si>
  <si>
    <t>295 ESSJAY RD</t>
  </si>
  <si>
    <t>KINDZIA, AMANDA, PAC</t>
  </si>
  <si>
    <t>E0364490</t>
  </si>
  <si>
    <t>KINDZIA AMANDA JEAN</t>
  </si>
  <si>
    <t>KINDZIA, AMANDA,</t>
  </si>
  <si>
    <t>(716) 934-4758</t>
  </si>
  <si>
    <t>KINDZIA AMANDA</t>
  </si>
  <si>
    <t>113 MAIN ST</t>
  </si>
  <si>
    <t>MCVIGE, JENNIFER, MD</t>
  </si>
  <si>
    <t>E0312193</t>
  </si>
  <si>
    <t>MCVIGE JENNIFER WILLIAMS</t>
  </si>
  <si>
    <t>JMCVIGE@KALEIDAHEALTH.ORG</t>
  </si>
  <si>
    <t>MCVIGE JENNIFER DR.</t>
  </si>
  <si>
    <t>3980 SHERIDAN DR FL 3</t>
  </si>
  <si>
    <t>CALANDRA, SALVATORE, MD</t>
  </si>
  <si>
    <t>E0154373</t>
  </si>
  <si>
    <t>CALANDRA SALVATORE MICHAEL MD</t>
  </si>
  <si>
    <t>(716) 634-3502</t>
  </si>
  <si>
    <t>SCALANDRA2@KALEIDAHEALTH.ORG</t>
  </si>
  <si>
    <t>CALANDRA SALVATORE DR.</t>
  </si>
  <si>
    <t>KLINKOVA, OLGA, MD</t>
  </si>
  <si>
    <t>E0311151</t>
  </si>
  <si>
    <t>KLINKOVA OLGA VLADIMIROVNA</t>
  </si>
  <si>
    <t>(716) 898-5210</t>
  </si>
  <si>
    <t>KLINKOVA OLGA</t>
  </si>
  <si>
    <t>FOSS, MARIA, NNP</t>
  </si>
  <si>
    <t>E0298891</t>
  </si>
  <si>
    <t>FOSS MARIA ELIZABETH</t>
  </si>
  <si>
    <t>(716) 913-0640</t>
  </si>
  <si>
    <t>MFOSS@KALEIDAHEALTH.ORG</t>
  </si>
  <si>
    <t>FOSS MARIA MRS.</t>
  </si>
  <si>
    <t>LEE, JI YOUNG, MD</t>
  </si>
  <si>
    <t>E0302669</t>
  </si>
  <si>
    <t>JI YOUNG LEE</t>
  </si>
  <si>
    <t>LEE JI YOUNG</t>
  </si>
  <si>
    <t>CHAUTAUQUA COUNTY DMH HEALTH HOMES</t>
  </si>
  <si>
    <t>E0341782</t>
  </si>
  <si>
    <t>CHAUTAUQUA COUNTY DEPARTMENT OF MH</t>
  </si>
  <si>
    <t>PATRICIA BRINKMAN</t>
  </si>
  <si>
    <t>(716) 753-4104</t>
  </si>
  <si>
    <t>BRINKMPA@CO.CHAUTAUQUA.NY.US</t>
  </si>
  <si>
    <t>7 N ERIE ST</t>
  </si>
  <si>
    <t>ILUSTRE, RICARDO, MD</t>
  </si>
  <si>
    <t>E0124719</t>
  </si>
  <si>
    <t>ILUSTRE RICARDO PESIGAN MD</t>
  </si>
  <si>
    <t>ILUSTRE RICARDO</t>
  </si>
  <si>
    <t>ILUSTRE RICARDO PESIGAN</t>
  </si>
  <si>
    <t>HALLETT, MICHAEL, MD</t>
  </si>
  <si>
    <t>E0115736</t>
  </si>
  <si>
    <t>HALLETT MICHAEL P MD</t>
  </si>
  <si>
    <t>MHALLETT@KALEIDAHEALTH.ORG</t>
  </si>
  <si>
    <t>HALLETT MICHAEL</t>
  </si>
  <si>
    <t>HALLETT MICHAEL PAUL</t>
  </si>
  <si>
    <t>KUPKOWSKI, DAVID, MD</t>
  </si>
  <si>
    <t>E0072791</t>
  </si>
  <si>
    <t>KUPKOWSKI DAVID GERALD MD</t>
  </si>
  <si>
    <t>(518) 383-5450</t>
  </si>
  <si>
    <t>DKUPKOWSKI@KALEIDAHEALTH.ORG</t>
  </si>
  <si>
    <t>KUPKOWSKI DAVID</t>
  </si>
  <si>
    <t>IQBAL, AZHER,</t>
  </si>
  <si>
    <t>E0127075</t>
  </si>
  <si>
    <t>IQBAL AZHER MD</t>
  </si>
  <si>
    <t>IQBAL, AZHER, MD</t>
  </si>
  <si>
    <t>(716) 852-1977</t>
  </si>
  <si>
    <t>AIQBAL@KALEIDAHEALTH.ORG</t>
  </si>
  <si>
    <t>IQBAL AZHER</t>
  </si>
  <si>
    <t>BUFFALO GENERAL XRAY</t>
  </si>
  <si>
    <t>GROVER, MARY, LCSWRAC</t>
  </si>
  <si>
    <t>E0037480</t>
  </si>
  <si>
    <t>GROVER MARY F</t>
  </si>
  <si>
    <t>GROVER,  MARY, LCSW-R, ACSW</t>
  </si>
  <si>
    <t>MGROVER@CATSWNY.ORG</t>
  </si>
  <si>
    <t>GROVER MARY MS.</t>
  </si>
  <si>
    <t>CRYAN, AMANDA, DDS</t>
  </si>
  <si>
    <t>E0015432</t>
  </si>
  <si>
    <t>CRYAN AMANDA MARIE  DDS</t>
  </si>
  <si>
    <t>(716) 580-3580</t>
  </si>
  <si>
    <t>ACRYAN@KALEIDAHEALTH.ORG</t>
  </si>
  <si>
    <t>CRYAN AMANDA DR.</t>
  </si>
  <si>
    <t>6501 TRANSIT RD</t>
  </si>
  <si>
    <t>FALISZEK, JAMES, MD</t>
  </si>
  <si>
    <t>E0362248</t>
  </si>
  <si>
    <t>FALISZEK JAMES</t>
  </si>
  <si>
    <t>JFALISZEK@KALEIDAHEALTH.ORG</t>
  </si>
  <si>
    <t>101 HOSPITAL RD</t>
  </si>
  <si>
    <t>PATCHOGUE</t>
  </si>
  <si>
    <t>DELCASTILLO, MARIA, MD</t>
  </si>
  <si>
    <t>E0122215</t>
  </si>
  <si>
    <t>DELCASTILLO MARIA C V MD</t>
  </si>
  <si>
    <t>MDELCASTILLO@KALEIDAHEALTH.ORG</t>
  </si>
  <si>
    <t>DELCASTILLO MARIA</t>
  </si>
  <si>
    <t>KREPPEL, SUSAN, NP</t>
  </si>
  <si>
    <t>E0011881</t>
  </si>
  <si>
    <t>KREPPEL SUSAN M NP</t>
  </si>
  <si>
    <t>KREPPEL, SUSAN, ANP</t>
  </si>
  <si>
    <t>SKREPPEL@KALEIDAHEALTH.ORG</t>
  </si>
  <si>
    <t>KREPPEL SUSAN</t>
  </si>
  <si>
    <t>6000 N BAILEY AVE</t>
  </si>
  <si>
    <t>PLEC, KRISTEN,</t>
  </si>
  <si>
    <t>PLEC, KRISTEN, CASACT</t>
  </si>
  <si>
    <t>PLEC KRISTEN</t>
  </si>
  <si>
    <t>ISAACSON, JENNIFER,</t>
  </si>
  <si>
    <t>ISAACSON,  JENNIFER, SR COUNSELOR LICENSED</t>
  </si>
  <si>
    <t>ISAACSON JENNIFER</t>
  </si>
  <si>
    <t>VALLONE, MARISA, RPAC</t>
  </si>
  <si>
    <t>E0378706</t>
  </si>
  <si>
    <t>VALLONE MARISA ANN</t>
  </si>
  <si>
    <t>VALLONE, MARISA, PA</t>
  </si>
  <si>
    <t>MVALLONE@KALEIDAHEALTH.ORG</t>
  </si>
  <si>
    <t>VALLONE MARISA</t>
  </si>
  <si>
    <t>ENGLERT, JESSICA, PHD</t>
  </si>
  <si>
    <t>E0333066</t>
  </si>
  <si>
    <t>ENGLERT JESSICA JANE</t>
  </si>
  <si>
    <t>(617) 259-1895</t>
  </si>
  <si>
    <t>JENGLERT@KALEIDAHEALTH.ORG</t>
  </si>
  <si>
    <t>ENGLERT JESSICA DR.</t>
  </si>
  <si>
    <t>DE NISCO, DAWN, CRNA</t>
  </si>
  <si>
    <t>DENISCO, DAWN, CRNA</t>
  </si>
  <si>
    <t>DDENISCO@KALEIDAHEALTH.ORG</t>
  </si>
  <si>
    <t>DE NISCO DAWN</t>
  </si>
  <si>
    <t>SZCZEPANSKI, JAMIE, MD</t>
  </si>
  <si>
    <t>E0385724</t>
  </si>
  <si>
    <t>SZCZEPANSKI JAMIE LYNN</t>
  </si>
  <si>
    <t>JSZCZEPANSKI@KALEIDAHEALTH.ORG</t>
  </si>
  <si>
    <t>SZCZEPANSKI JAMIE</t>
  </si>
  <si>
    <t>IGNATIUS, PATRICK, MD</t>
  </si>
  <si>
    <t>E0238222</t>
  </si>
  <si>
    <t>IGNATIUS PATRICK M         MD</t>
  </si>
  <si>
    <t>DR. PATRICK IGNATIUS</t>
  </si>
  <si>
    <t>(716) 282-0144</t>
  </si>
  <si>
    <t>IGNATIUS_PATRICK@YAHOO.COM</t>
  </si>
  <si>
    <t>IGNATIUS PATRICK DR.</t>
  </si>
  <si>
    <t>620 10TH ST STE 710</t>
  </si>
  <si>
    <t>WEISBROT, AARON, DPM</t>
  </si>
  <si>
    <t>E0216339</t>
  </si>
  <si>
    <t>WEISBROT AARON DPM</t>
  </si>
  <si>
    <t>(716) 877-3624</t>
  </si>
  <si>
    <t>AWEISBROT@KALEIDAHEALTH.ORG</t>
  </si>
  <si>
    <t>WEISBROT AARON DR.</t>
  </si>
  <si>
    <t>WEISBROT AARON</t>
  </si>
  <si>
    <t>1241 COLVIN BLVD</t>
  </si>
  <si>
    <t>TELLER, AMY, FNPBC</t>
  </si>
  <si>
    <t>E0015618</t>
  </si>
  <si>
    <t>TELLER AMY</t>
  </si>
  <si>
    <t>TELLER, AMY, FNP</t>
  </si>
  <si>
    <t>(716) 859-1548</t>
  </si>
  <si>
    <t>ATELLER@KALEIDAHEALTH.ORG</t>
  </si>
  <si>
    <t>TELLER AMY LYNN NP</t>
  </si>
  <si>
    <t>HALLASEY-ROBERTS, DAVID, MD</t>
  </si>
  <si>
    <t>E0146101</t>
  </si>
  <si>
    <t>HALLASEY-ROBERTS DAVID LANCE</t>
  </si>
  <si>
    <t>HALLASEY-ROBERTS DAVID</t>
  </si>
  <si>
    <t>(716) 712-1000</t>
  </si>
  <si>
    <t>HALLASEY-ROBERTS DAVID LANCE MD</t>
  </si>
  <si>
    <t>6970 ERIE RD</t>
  </si>
  <si>
    <t>KALB, ROBERT, MD</t>
  </si>
  <si>
    <t>E0189997</t>
  </si>
  <si>
    <t>KALB ROBERT E MD</t>
  </si>
  <si>
    <t>RKALB@KALEIDAHEALTH.ORG</t>
  </si>
  <si>
    <t>KALB ROBERT DR.</t>
  </si>
  <si>
    <t>SANDS, AMY, MD</t>
  </si>
  <si>
    <t>E0116973</t>
  </si>
  <si>
    <t>SANDS M.D. AMY</t>
  </si>
  <si>
    <t>ASANDS@KALEIDAHEALTH.ORG</t>
  </si>
  <si>
    <t>SANDS AMY</t>
  </si>
  <si>
    <t>ALAM, HYDER, MD</t>
  </si>
  <si>
    <t>E0078836</t>
  </si>
  <si>
    <t>ALAM HYDER MD</t>
  </si>
  <si>
    <t>ALAM, HYDER,</t>
  </si>
  <si>
    <t>(716) 366-9008</t>
  </si>
  <si>
    <t>ALAM HYDER</t>
  </si>
  <si>
    <t>529 CENTRAL AVE</t>
  </si>
  <si>
    <t>WARTHLING, CHRISTA, RPAC</t>
  </si>
  <si>
    <t>E0031318</t>
  </si>
  <si>
    <t>WARTHLING CHRISTA R RPA</t>
  </si>
  <si>
    <t>WARTHLING, CHRISTA, PA</t>
  </si>
  <si>
    <t>CWARTHLING@KALEIDAHEALTH.ORG</t>
  </si>
  <si>
    <t>WARTHLING CHRISTA</t>
  </si>
  <si>
    <t>ZORN, JEFFREY, MD</t>
  </si>
  <si>
    <t>E0419414</t>
  </si>
  <si>
    <t>ZORN JEFFREY</t>
  </si>
  <si>
    <t>JZORN@KALEIDAHEALTH.ORG</t>
  </si>
  <si>
    <t>ZORN JEFFREY DR.</t>
  </si>
  <si>
    <t>MITCHELL, MICHAEL, MD</t>
  </si>
  <si>
    <t>E0133017</t>
  </si>
  <si>
    <t>MITCHELL MICHAEL JOSEPH MD</t>
  </si>
  <si>
    <t>(716) 282-0349</t>
  </si>
  <si>
    <t>MMITCHELL2@KALEIDAHEALTH.ORG</t>
  </si>
  <si>
    <t>MITCHELL MICHAEL DR.</t>
  </si>
  <si>
    <t>LEE, KEUN, MD</t>
  </si>
  <si>
    <t>E0238413</t>
  </si>
  <si>
    <t>LEE KEUN YONG              MD</t>
  </si>
  <si>
    <t>KLEE4@KALEIDAHEALTH.ORG</t>
  </si>
  <si>
    <t>LEE KEUN DR.</t>
  </si>
  <si>
    <t>SUNYAB</t>
  </si>
  <si>
    <t>Castro, Othoniel</t>
  </si>
  <si>
    <t>E0161370</t>
  </si>
  <si>
    <t>CASTRO OTHONIEL JR  MD</t>
  </si>
  <si>
    <t>CASTRO OTHONIEL DR.</t>
  </si>
  <si>
    <t>CASTRO OTHONIEL</t>
  </si>
  <si>
    <t>BAYOUMI, AHMED, MD</t>
  </si>
  <si>
    <t>E0113919</t>
  </si>
  <si>
    <t>BAYOUMI AHMED G M MD</t>
  </si>
  <si>
    <t>(585) 786-2290</t>
  </si>
  <si>
    <t>BAYOUMI AHMED DR.</t>
  </si>
  <si>
    <t>408 N MAIN ST</t>
  </si>
  <si>
    <t>AL-HATTAB, EYAD, MD</t>
  </si>
  <si>
    <t>E0009021</t>
  </si>
  <si>
    <t>ALHATTAB EYAD S MD</t>
  </si>
  <si>
    <t>AL-HATTAB, EYAD,</t>
  </si>
  <si>
    <t>(814) 362-8425</t>
  </si>
  <si>
    <t>AL-HATTAB EYAD DR.</t>
  </si>
  <si>
    <t>COMMUNITY CONCERN OF WNY</t>
  </si>
  <si>
    <t>E0232515</t>
  </si>
  <si>
    <t>JERRY S. BARTONE, MA MBA</t>
  </si>
  <si>
    <t>(716) 947-5025</t>
  </si>
  <si>
    <t>JBARTONE@COMMUNITYCONCERN.ORG</t>
  </si>
  <si>
    <t>6722 ERIE RD</t>
  </si>
  <si>
    <t>TEBO, LESLIE,</t>
  </si>
  <si>
    <t>TEBO, LESLIE, LMSW</t>
  </si>
  <si>
    <t>TEBOL@SHSWNY.ORG</t>
  </si>
  <si>
    <t>TEBO LESLIE</t>
  </si>
  <si>
    <t>DIPASQUALE, ALICIA, BSW</t>
  </si>
  <si>
    <t>DIPASQUA, AIMEE, MD</t>
  </si>
  <si>
    <t>(585) 975-9823</t>
  </si>
  <si>
    <t>DIPASQUAA@SHSWNY.ORG</t>
  </si>
  <si>
    <t>DIPASQUALE ALICIA</t>
  </si>
  <si>
    <t>39 DUNCAN ST</t>
  </si>
  <si>
    <t>MANGO, LAURA, MD</t>
  </si>
  <si>
    <t>E0338961</t>
  </si>
  <si>
    <t>MANGO LAURA JANEEN</t>
  </si>
  <si>
    <t>(716) 866-4396</t>
  </si>
  <si>
    <t>LMANGO@KALEIDAHEALTH.ORG</t>
  </si>
  <si>
    <t>MANGO LAURA</t>
  </si>
  <si>
    <t>LI, PING, MD</t>
  </si>
  <si>
    <t>E0347359</t>
  </si>
  <si>
    <t>LI PING MD</t>
  </si>
  <si>
    <t>PLI@KALEIDAHEALTH.ORG</t>
  </si>
  <si>
    <t>LI PING</t>
  </si>
  <si>
    <t>BOU-ABDALLAH, JAD, MD</t>
  </si>
  <si>
    <t>E0340956</t>
  </si>
  <si>
    <t>BOU-ABDALLAH JAD ZIAD</t>
  </si>
  <si>
    <t>(315) 464-1600</t>
  </si>
  <si>
    <t>JBOU-ABDALLAH@KALEIDAHEALTH.ORG</t>
  </si>
  <si>
    <t>BOU-ABDALLAH JAD</t>
  </si>
  <si>
    <t>SYDOW, GREGG, MD</t>
  </si>
  <si>
    <t>E0419319</t>
  </si>
  <si>
    <t>SYDOW GREGG</t>
  </si>
  <si>
    <t>GSYDOW@KALEIDAHEALTH.ORG</t>
  </si>
  <si>
    <t>SYDOW GREGG DR.</t>
  </si>
  <si>
    <t>315 SOUTH MANNING BO</t>
  </si>
  <si>
    <t>ALBANY</t>
  </si>
  <si>
    <t>JERMAK, CHRISTOPHER, MD</t>
  </si>
  <si>
    <t>E0010869</t>
  </si>
  <si>
    <t>JERMAK CHRISTOPHE</t>
  </si>
  <si>
    <t>CJERMAK@KALEIDAHEALTH.ORG</t>
  </si>
  <si>
    <t>JERMAK CHRISTOPHER DR.</t>
  </si>
  <si>
    <t>JERMAK CHRISTOPHER MICHAEL MD</t>
  </si>
  <si>
    <t>BAKER VICTORY HEALTHCARE CNTR</t>
  </si>
  <si>
    <t>E0110096</t>
  </si>
  <si>
    <t>BAKER VICTORY HEALTHCARE CTR</t>
  </si>
  <si>
    <t>BAKER VICTORY HEALTHCARE CENTER</t>
  </si>
  <si>
    <t>790 RIDGE RD</t>
  </si>
  <si>
    <t>HENNESEN, PAMELA, PA</t>
  </si>
  <si>
    <t>E0333123</t>
  </si>
  <si>
    <t>PAMELA ANNE HENNESEN</t>
  </si>
  <si>
    <t>PHENNESEN@KALEIDAHEALTH.ORG</t>
  </si>
  <si>
    <t>HENNESEN PAMELA</t>
  </si>
  <si>
    <t>HENNESEN PAMELA ANNE</t>
  </si>
  <si>
    <t>6935 ELAINE DR</t>
  </si>
  <si>
    <t>LIUTKUS, JONAS,</t>
  </si>
  <si>
    <t>LIUTKUS,  JONAS, COUNSELOR II</t>
  </si>
  <si>
    <t>LIUTKUS JONAS</t>
  </si>
  <si>
    <t>60 E AMHERST ST</t>
  </si>
  <si>
    <t>NIAGARA COUNTY TREASURERS OFFICE</t>
  </si>
  <si>
    <t>E0347684</t>
  </si>
  <si>
    <t>NIAGARA COUNTY DEPARTMENT OF HEALTH</t>
  </si>
  <si>
    <t>DANIEL STAPLETON</t>
  </si>
  <si>
    <t>(716) 278-1900</t>
  </si>
  <si>
    <t>DAN.STAPLETON@NIAGARACOUNTY.COM</t>
  </si>
  <si>
    <t>5467 UPPER MOUNTAIN RD STE 100</t>
  </si>
  <si>
    <t>KAREMBA, FELISTAS,</t>
  </si>
  <si>
    <t>KAREMBA, FELISTAS, CASAC</t>
  </si>
  <si>
    <t>KAREMBAF@SHSWNY.ORG</t>
  </si>
  <si>
    <t>KAREMBA FELISTAS</t>
  </si>
  <si>
    <t>BUNCY, LINDSAY,</t>
  </si>
  <si>
    <t>(716) 238-5394</t>
  </si>
  <si>
    <t>BUNCY LINDSAY</t>
  </si>
  <si>
    <t>1500 BROADWAY ST</t>
  </si>
  <si>
    <t>REHAC, BRIANNE,</t>
  </si>
  <si>
    <t>REHAC,  BRIANNE, COUNSELOR III</t>
  </si>
  <si>
    <t>REHAC BRIANNE</t>
  </si>
  <si>
    <t>MAROTTA, KELLY,</t>
  </si>
  <si>
    <t>MAROTTA, KELLY, LMSW</t>
  </si>
  <si>
    <t>MAROTTA KELLY MISS</t>
  </si>
  <si>
    <t>O'DELL, MELISSA,</t>
  </si>
  <si>
    <t>O'DELL, MELISSA, LMHC</t>
  </si>
  <si>
    <t>(716) 895-7168</t>
  </si>
  <si>
    <t>O'DELL MELISSA MRS.</t>
  </si>
  <si>
    <t>RYAN, MICHAEL, PA</t>
  </si>
  <si>
    <t>E0049012</t>
  </si>
  <si>
    <t>RYAN MICHAEL D RPA</t>
  </si>
  <si>
    <t>MRYAN2@KALEIDAHEALTH.ORG</t>
  </si>
  <si>
    <t>RYAN MICHAEL</t>
  </si>
  <si>
    <t>RYAN MICHAEL DONALD</t>
  </si>
  <si>
    <t>VERGOS, KATHERINE, MD</t>
  </si>
  <si>
    <t>E0150455</t>
  </si>
  <si>
    <t>VERGOS KATHERINE A MD</t>
  </si>
  <si>
    <t>(716) 656-4250</t>
  </si>
  <si>
    <t>KVERGOS@KALEIDAHEALTH.ORG</t>
  </si>
  <si>
    <t>VERGOS KATHERINE DR.</t>
  </si>
  <si>
    <t>VERGOS KATHERINE A  MD</t>
  </si>
  <si>
    <t>BUFF. PED ASSO ST101</t>
  </si>
  <si>
    <t>SHEPPARD, MARY, PNP</t>
  </si>
  <si>
    <t>E0065631</t>
  </si>
  <si>
    <t>SHEPPARD MARY T</t>
  </si>
  <si>
    <t>MSHEPPARD3@KALEIDAHEALTH.ORG</t>
  </si>
  <si>
    <t>SHEPPARD MARY</t>
  </si>
  <si>
    <t>BURKHOLZ, KIMBERLY, MD</t>
  </si>
  <si>
    <t>E0317122</t>
  </si>
  <si>
    <t>BURKHOLZ KIMBERLY</t>
  </si>
  <si>
    <t>KBURKHOLZ@KALEIDAHEALTH.ORG</t>
  </si>
  <si>
    <t>BURKHOLZ KIMBERLY DR.</t>
  </si>
  <si>
    <t>BILLING, LEE, DPM</t>
  </si>
  <si>
    <t>E0221251</t>
  </si>
  <si>
    <t>BILLING LEE D DPM</t>
  </si>
  <si>
    <t>(716) 675-6121</t>
  </si>
  <si>
    <t>LBILLING@KALEIDAHEALTH.ORG</t>
  </si>
  <si>
    <t>BILLING LEE DR.</t>
  </si>
  <si>
    <t>888 CENTER RD</t>
  </si>
  <si>
    <t>CONTINO, CARL, MD</t>
  </si>
  <si>
    <t>E0238330</t>
  </si>
  <si>
    <t>CONTINO CARL A             MD</t>
  </si>
  <si>
    <t>(716) 885-1424</t>
  </si>
  <si>
    <t>CCONTINO@KALEIDAHEALTH.ORG</t>
  </si>
  <si>
    <t>CONTINO CARL DR.</t>
  </si>
  <si>
    <t>CONTINO CARL A</t>
  </si>
  <si>
    <t>50 GATES CIR</t>
  </si>
  <si>
    <t>SCHAMANN, MARY, MD</t>
  </si>
  <si>
    <t>E0168511</t>
  </si>
  <si>
    <t>SCHAMANN MARY E MD</t>
  </si>
  <si>
    <t>MSCHAMANN@KALEIDAHEALTH.ORG</t>
  </si>
  <si>
    <t>SCHAMANN MARY DR.</t>
  </si>
  <si>
    <t>5800 BIG TREE RD</t>
  </si>
  <si>
    <t>LEWIS, P JEFFREY, MD</t>
  </si>
  <si>
    <t>E0187514</t>
  </si>
  <si>
    <t>LEWIS PAUL JEFFREY MD</t>
  </si>
  <si>
    <t>LEWIS, PAUL, MD</t>
  </si>
  <si>
    <t>PLEWIS@KALEIDAHEALTH.ORG</t>
  </si>
  <si>
    <t>LEWIS P JEFFREY</t>
  </si>
  <si>
    <t>SIEDLECKI, ANDREW, MD</t>
  </si>
  <si>
    <t>E0144137</t>
  </si>
  <si>
    <t>SIEDLECKI ANDREW JOSEPH MD</t>
  </si>
  <si>
    <t>(716) 634-8500</t>
  </si>
  <si>
    <t>ASIEDLECKI@KALEIDAHEALTH.ORG</t>
  </si>
  <si>
    <t>SIEDLECKI ANDREW DR.</t>
  </si>
  <si>
    <t>SIEDLECKI ANDREW JOSEPH</t>
  </si>
  <si>
    <t>1637 HERTEL AVE</t>
  </si>
  <si>
    <t>RASMUSSON, TIMOTHY, MD</t>
  </si>
  <si>
    <t>E0181238</t>
  </si>
  <si>
    <t>RASMUSSON TIMOTHY R MD</t>
  </si>
  <si>
    <t>TRASMUSSON@KALEIDAHEALTH.ORG</t>
  </si>
  <si>
    <t>RASMUSSON TIMOTHY</t>
  </si>
  <si>
    <t>TOWER, GRETCHEN, NP</t>
  </si>
  <si>
    <t>E0030824</t>
  </si>
  <si>
    <t>TOWER GRETCHEN L NP</t>
  </si>
  <si>
    <t>TOWER, GRETCHEN, ANP</t>
  </si>
  <si>
    <t>GTOWER@KALEIDAHEALTH.ORG</t>
  </si>
  <si>
    <t>TOWER GRETCHEN</t>
  </si>
  <si>
    <t>SIEGEL, MYRON, MD</t>
  </si>
  <si>
    <t>E0228837</t>
  </si>
  <si>
    <t>SIEGEL MYRON               MD</t>
  </si>
  <si>
    <t>MSIEGEL@KALEIDAHEALTH.ORG</t>
  </si>
  <si>
    <t>SIEGEL MYRON</t>
  </si>
  <si>
    <t>SIEGEL MYRON RALPH</t>
  </si>
  <si>
    <t>SOMMER, TARA,</t>
  </si>
  <si>
    <t>SOMMER,  TARA, COUNSELOR III</t>
  </si>
  <si>
    <t>SOMMER TARA</t>
  </si>
  <si>
    <t>MANNING, DZENITA, MD</t>
  </si>
  <si>
    <t>E0389264</t>
  </si>
  <si>
    <t>MANNING DZENITA GLAVASEVIC</t>
  </si>
  <si>
    <t>DMANNING@KALEIDAHEALTH.ORG</t>
  </si>
  <si>
    <t>MANNING DZENITA</t>
  </si>
  <si>
    <t>LUTHERAN SOCIAL SERVICES OF UPSTATE NEW YORK, INC.</t>
  </si>
  <si>
    <t>E0316471</t>
  </si>
  <si>
    <t>WARNER PLACE ADHC</t>
  </si>
  <si>
    <t>(716) 665-8137</t>
  </si>
  <si>
    <t>155 ALDREN AVE</t>
  </si>
  <si>
    <t>WOMEN'S MEDICINE OF NIAGARA, PLLC</t>
  </si>
  <si>
    <t>E0314497</t>
  </si>
  <si>
    <t>WOMENS MEDICINE OF NIAGARA PLLC</t>
  </si>
  <si>
    <t>5927 MILITARY RD</t>
  </si>
  <si>
    <t>Barb Walker, NP</t>
  </si>
  <si>
    <t>Linda Franke</t>
  </si>
  <si>
    <t>(716) 816-7267</t>
  </si>
  <si>
    <t>frankelqmc@gmail.com</t>
  </si>
  <si>
    <t>WALKER BARBARA</t>
  </si>
  <si>
    <t>515 MAIN ST, OLEAN GENERAL HOSPITAL</t>
  </si>
  <si>
    <t>STARKS, MICHAEL, LMSW</t>
  </si>
  <si>
    <t>MSTARKS@CATSWNY.ORG</t>
  </si>
  <si>
    <t>STARKS MICHAEL</t>
  </si>
  <si>
    <t>BUCELLO, MARGARET, NP</t>
  </si>
  <si>
    <t>E0324234</t>
  </si>
  <si>
    <t>BUCELLO MARGARET ANN</t>
  </si>
  <si>
    <t>BUCELLO, MARGARET, ANP</t>
  </si>
  <si>
    <t>(716) 859-2469</t>
  </si>
  <si>
    <t>MBUCELLO@KALEIDAHEALTH.ORG</t>
  </si>
  <si>
    <t>BUCELLO MARGARET MRS.</t>
  </si>
  <si>
    <t>HARK, TIFFANY, NP</t>
  </si>
  <si>
    <t>E0315953</t>
  </si>
  <si>
    <t>HARK TIFFANY</t>
  </si>
  <si>
    <t>HARK, , TIFFANY   , NP</t>
  </si>
  <si>
    <t>(716) 821-5936</t>
  </si>
  <si>
    <t>THARK@UPA.CHOB.EDU</t>
  </si>
  <si>
    <t>FABIANO TIFFANY</t>
  </si>
  <si>
    <t>FABIANO TIFFANY NICOLE</t>
  </si>
  <si>
    <t>HUTCHISON, ERIN, CASAC</t>
  </si>
  <si>
    <t>HUTCHISON,  ALIX, COUNSELOR III</t>
  </si>
  <si>
    <t>HUTCHISON ERIN</t>
  </si>
  <si>
    <t>COOKE, JILL, LCSW</t>
  </si>
  <si>
    <t>E0394781</t>
  </si>
  <si>
    <t>COOKE JILL ALLISON</t>
  </si>
  <si>
    <t>COOKE, JILL, LCSW/LMSW</t>
  </si>
  <si>
    <t>COOKE JILL MRS.</t>
  </si>
  <si>
    <t>WITTCOP, MATTHEW, ANP</t>
  </si>
  <si>
    <t>(716) 478-6739</t>
  </si>
  <si>
    <t>MWITTCOP@KALEIDAHEALTH.ORG</t>
  </si>
  <si>
    <t>WITTCOP MATTHEW MR.</t>
  </si>
  <si>
    <t>SOFAT, SURESH, MD</t>
  </si>
  <si>
    <t>E0201942</t>
  </si>
  <si>
    <t>SOFAT SURESH               MD</t>
  </si>
  <si>
    <t>(716) 433-1562</t>
  </si>
  <si>
    <t>SOFAT SURESH</t>
  </si>
  <si>
    <t>SOFAT SURESH MD</t>
  </si>
  <si>
    <t>PO BOX 964</t>
  </si>
  <si>
    <t>HORIZON VILLAGE</t>
  </si>
  <si>
    <t>E0011199</t>
  </si>
  <si>
    <t>HORIZON VILLAGE INC</t>
  </si>
  <si>
    <t>HERBERT M. WEIS, PH.D., CHIEF QUALITY AND COMPLIANCE OFFICER</t>
  </si>
  <si>
    <t>HWEIS@HORIZON-HEALTH.ORG</t>
  </si>
  <si>
    <t>314 ELLICOTT ST</t>
  </si>
  <si>
    <t>GLICK, MYRON, MD</t>
  </si>
  <si>
    <t>E0129391</t>
  </si>
  <si>
    <t>GLICK MYRON LYNN MD</t>
  </si>
  <si>
    <t>(716) 881-6191</t>
  </si>
  <si>
    <t>MGLICK@KALEIDAHEALTH.ORG</t>
  </si>
  <si>
    <t>GLICK MYRON</t>
  </si>
  <si>
    <t>GLICK MYRON LYNN</t>
  </si>
  <si>
    <t>NIAGARA COUNTY HEALTH DEPARTMENT</t>
  </si>
  <si>
    <t>E0156903</t>
  </si>
  <si>
    <t>NIAGARA CO HLTH DEPT PSSHSP</t>
  </si>
  <si>
    <t>(716) 278-1991</t>
  </si>
  <si>
    <t>NIAGARA CO HEALTH DEPT PSSHSP</t>
  </si>
  <si>
    <t>1001 11TH ST</t>
  </si>
  <si>
    <t>KAHN, BRENDA, CRNA</t>
  </si>
  <si>
    <t>BKAHN@KALEIDAHEALTH.ORG</t>
  </si>
  <si>
    <t>KAHN BRENDA MRS.</t>
  </si>
  <si>
    <t>219 BRYANT ST, DEPT/OF ANESTHESIA</t>
  </si>
  <si>
    <t>VISITING NURSING ASSOCIATION OF WESTERN NEW YORK, INC.</t>
  </si>
  <si>
    <t>E0266939</t>
  </si>
  <si>
    <t>VNA OF WESTERN NY INC</t>
  </si>
  <si>
    <t>CRAIG DLUGOSZ</t>
  </si>
  <si>
    <t>(716) 630-8000</t>
  </si>
  <si>
    <t>CDLUGOSZ@KALEIDAHEALTH.ORG</t>
  </si>
  <si>
    <t>2100 WEHRLE DR</t>
  </si>
  <si>
    <t>MISHRA, ARCHANA, MD</t>
  </si>
  <si>
    <t>E0087131</t>
  </si>
  <si>
    <t>MISHRA ARCHANA MD</t>
  </si>
  <si>
    <t>AMISHRA@KALEIDAHEALTH.ORG</t>
  </si>
  <si>
    <t>MISHRA ARCHANA</t>
  </si>
  <si>
    <t>LUCZKIEWICZ, DEBRA, MD</t>
  </si>
  <si>
    <t>E0295442</t>
  </si>
  <si>
    <t>LUCZKIEWICZ DEBRA LYNN</t>
  </si>
  <si>
    <t>(716) 601-3962</t>
  </si>
  <si>
    <t>DLUCZKIEWICZ@KALEIDAHEALTH.ORG</t>
  </si>
  <si>
    <t>LUCZKIEWICZ DEBRA DR.</t>
  </si>
  <si>
    <t>850 HOPKINS RD</t>
  </si>
  <si>
    <t>HALLIWELL-KEMP, TARA, DDSM</t>
  </si>
  <si>
    <t>E0336246</t>
  </si>
  <si>
    <t>HALLIWELL-KEMP TARA LYNN</t>
  </si>
  <si>
    <t>HALLIWELL-KEMP, TARA, DDS, MD</t>
  </si>
  <si>
    <t>(716) 694-1134</t>
  </si>
  <si>
    <t>THALLIWELLKEMP@KALEIDAHEALTH.ORG</t>
  </si>
  <si>
    <t>HALLIWELL-KEMP TARA DR.</t>
  </si>
  <si>
    <t>711 YOUNG ST</t>
  </si>
  <si>
    <t>GUAGLIANO, CASSIE, LCSW</t>
  </si>
  <si>
    <t>E0358079</t>
  </si>
  <si>
    <t>GUAGLIANO CASSIE LYNN</t>
  </si>
  <si>
    <t>GUAGLIANO,  CASSIE, SUPERVISING SENIOR COUNSELOR</t>
  </si>
  <si>
    <t>GUAGLIANO CASSIE</t>
  </si>
  <si>
    <t>SOBIERAJ, SCOTT, MD</t>
  </si>
  <si>
    <t>E0308526</t>
  </si>
  <si>
    <t>SOBIERAJ SCOTT ROBERT MD</t>
  </si>
  <si>
    <t>SSOBIERAJ@KALEIDAHEALTH.ORG</t>
  </si>
  <si>
    <t>SOBIERAJ SCOTT DR.</t>
  </si>
  <si>
    <t>BURKE, MARK, MD</t>
  </si>
  <si>
    <t>E0307730</t>
  </si>
  <si>
    <t>BURKE MARK STEVEN</t>
  </si>
  <si>
    <t>MBURKE@KALEIDAHEALTH.ORG</t>
  </si>
  <si>
    <t>BURKE MARK</t>
  </si>
  <si>
    <t>WALTER, MICHELLE, DO</t>
  </si>
  <si>
    <t>E0368527</t>
  </si>
  <si>
    <t>WALTER MICHELLE MARIE</t>
  </si>
  <si>
    <t>MWALTER@KALEIDAHEALTH.ORG</t>
  </si>
  <si>
    <t>WALTER MICHELLE</t>
  </si>
  <si>
    <t>BURAN, JOSEPH, MD</t>
  </si>
  <si>
    <t>E0192436</t>
  </si>
  <si>
    <t>BURAN JOSEPH EDWARD</t>
  </si>
  <si>
    <t>(716) 639-8358</t>
  </si>
  <si>
    <t>JBURAN@KALEIDAHEALTH.ORG</t>
  </si>
  <si>
    <t>BURAN JOSEPH DR.</t>
  </si>
  <si>
    <t>1542 MAPLE RD</t>
  </si>
  <si>
    <t>CIMASI, DEBORAH, RN</t>
  </si>
  <si>
    <t>CIMASI,  DEBORAH, RN</t>
  </si>
  <si>
    <t>CIMASI DEBORAH MRS.</t>
  </si>
  <si>
    <t>3020 BAILEY AVE, HORIZON HEALTH SERVICES</t>
  </si>
  <si>
    <t>OWCARZ, MATTHEW, DPT</t>
  </si>
  <si>
    <t>OWCARZ, MATTHEW, PT</t>
  </si>
  <si>
    <t>(716) 662-2922</t>
  </si>
  <si>
    <t>MOWCARZ@KALEIDAHEALTH.ORG</t>
  </si>
  <si>
    <t>OWCARZ MATTHEW</t>
  </si>
  <si>
    <t>3940 CALIFORNIA RD</t>
  </si>
  <si>
    <t>(716) 375-7340</t>
  </si>
  <si>
    <t>OCONNOR, GALE, MD</t>
  </si>
  <si>
    <t>E0149470</t>
  </si>
  <si>
    <t>OCONNOR GALE LAUREN MD</t>
  </si>
  <si>
    <t>O'CONNOR, GALE, MD</t>
  </si>
  <si>
    <t>(716) 712-0490</t>
  </si>
  <si>
    <t>GO'CONNOR@KALEIDAHEALTH.ORG</t>
  </si>
  <si>
    <t>OCONNOR GALE</t>
  </si>
  <si>
    <t>DELAVALLADE, DAWN, MD</t>
  </si>
  <si>
    <t>E0295838</t>
  </si>
  <si>
    <t>DAWN NICHELLE DELAVALLADE</t>
  </si>
  <si>
    <t>DDELAVALLADE@KALEIDAHEALTH.ORG</t>
  </si>
  <si>
    <t>DELAVALLADE DAWN DR.</t>
  </si>
  <si>
    <t>DELAVALLADE DAWN NICHELLE</t>
  </si>
  <si>
    <t>1634 BEAR PAW LN</t>
  </si>
  <si>
    <t>HANOVER</t>
  </si>
  <si>
    <t>MD</t>
  </si>
  <si>
    <t>ORTIZ, MARIA, LCSW</t>
  </si>
  <si>
    <t>E0329346</t>
  </si>
  <si>
    <t>ORTIZ MARIA MONSERATE</t>
  </si>
  <si>
    <t>ORTIZ, MARIA, LCSW-R</t>
  </si>
  <si>
    <t>(716) 883-0659</t>
  </si>
  <si>
    <t>MORTIZE@CFSBNY.ORG</t>
  </si>
  <si>
    <t>ORTIZ MARIA MRS.</t>
  </si>
  <si>
    <t>STRACK, BETSY, PA</t>
  </si>
  <si>
    <t>E0013617</t>
  </si>
  <si>
    <t>STRACK BETSY L RPA</t>
  </si>
  <si>
    <t>STRACK BETSY</t>
  </si>
  <si>
    <t>STRACK BETSY LYNN RPA</t>
  </si>
  <si>
    <t>517 SUNSET DR</t>
  </si>
  <si>
    <t>VIOLANTI, PAUL, PNPFNP</t>
  </si>
  <si>
    <t>E0072916</t>
  </si>
  <si>
    <t>VIOLANTI PAUL JOSEPH</t>
  </si>
  <si>
    <t>PAUL VIOLANTI, , PNP/FNP</t>
  </si>
  <si>
    <t>VIOLANTI PAUL MR.</t>
  </si>
  <si>
    <t>MACKOWIAK, SUSAN, ANP</t>
  </si>
  <si>
    <t>E0001889</t>
  </si>
  <si>
    <t>MACKOWIAK SUSAN</t>
  </si>
  <si>
    <t>MACKOWIAK, SUSAN,</t>
  </si>
  <si>
    <t>MACKOWIAK SUSAN A</t>
  </si>
  <si>
    <t>609 CENTRAL AVE</t>
  </si>
  <si>
    <t>MARSH, DIANE, CASAC</t>
  </si>
  <si>
    <t>MARSH,  DIANE , SR COUNSELOR QHP</t>
  </si>
  <si>
    <t>MARSH DIANE MS.</t>
  </si>
  <si>
    <t>AL-ATRASH, FIDA, MD</t>
  </si>
  <si>
    <t>E0351157</t>
  </si>
  <si>
    <t>AL-ATRASH FIDA</t>
  </si>
  <si>
    <t>FALATRASH@KALEIDAHEALTH.ORG</t>
  </si>
  <si>
    <t>WEINGARTEN, MICHAEL, MD</t>
  </si>
  <si>
    <t>E0321955</t>
  </si>
  <si>
    <t>WEINGARTEN MICHAEL</t>
  </si>
  <si>
    <t>(716) 662-7932</t>
  </si>
  <si>
    <t>MWEINGARTEN@KALEIDAHEALTH.ORG</t>
  </si>
  <si>
    <t>WEINGARTEN MICHAEL SCOTT</t>
  </si>
  <si>
    <t>OHIRA, MASASHI, MD</t>
  </si>
  <si>
    <t>E0363012</t>
  </si>
  <si>
    <t>OHIRA MASASHI</t>
  </si>
  <si>
    <t>(716) 898-5972</t>
  </si>
  <si>
    <t>OHIRA MASASHI DR.</t>
  </si>
  <si>
    <t>WIDEMAN, MONICA, FNPBC</t>
  </si>
  <si>
    <t>E0351563</t>
  </si>
  <si>
    <t>MONICA ELIZABETH WIDEMAN</t>
  </si>
  <si>
    <t>WIDEMAN, MONICA, FNP</t>
  </si>
  <si>
    <t>MWIDEMAN@KALEIDAHEALTH.ORG</t>
  </si>
  <si>
    <t>WIDEMAN MONICA</t>
  </si>
  <si>
    <t>WIDEMAN MONICA ELIZABETH</t>
  </si>
  <si>
    <t>4772 N FRENCH RD</t>
  </si>
  <si>
    <t>PACKIANATHAN, NALINI, MD</t>
  </si>
  <si>
    <t>E0330644</t>
  </si>
  <si>
    <t>PACKIANATHAN NALINI BRIDGET</t>
  </si>
  <si>
    <t>(716) 630-1130</t>
  </si>
  <si>
    <t>NPACKIANATHAN@KALEIDAHEALTH.ORG</t>
  </si>
  <si>
    <t>PACKIANATHAN NALINI DR.</t>
  </si>
  <si>
    <t>SINGH, KAMALJOT, MD</t>
  </si>
  <si>
    <t>E0316187</t>
  </si>
  <si>
    <t>SINGH KAMALJOT</t>
  </si>
  <si>
    <t>KSINGH2@KALEIDAHEALTH.ORG</t>
  </si>
  <si>
    <t>MILLER, KATIE, PA</t>
  </si>
  <si>
    <t>E0288782</t>
  </si>
  <si>
    <t>MILLER KATIE LYNN PA</t>
  </si>
  <si>
    <t>KMILLER3@KALEIDAHEALTH.ORG</t>
  </si>
  <si>
    <t>MILLER KATIE MS.</t>
  </si>
  <si>
    <t>USEN, JOSHUA, DO</t>
  </si>
  <si>
    <t>E0074480</t>
  </si>
  <si>
    <t>USEN JOSHUA MICHAEL DO</t>
  </si>
  <si>
    <t>(716) 636-7800</t>
  </si>
  <si>
    <t>JUSEN@KALEIDAHEALTH.ORG</t>
  </si>
  <si>
    <t>USEN JOSHUA DR.</t>
  </si>
  <si>
    <t>1416 SWEET HOME RD STE 12</t>
  </si>
  <si>
    <t>SIEPIERSKI, REBECCA,</t>
  </si>
  <si>
    <t>SIEPIERSKI, REBECCA, MHC-P</t>
  </si>
  <si>
    <t>SIEPIERSKIR@SHSWNY.ORG</t>
  </si>
  <si>
    <t>SIEPIERSKI REBECCA</t>
  </si>
  <si>
    <t>2309 EGGERT RD, SUITE 9</t>
  </si>
  <si>
    <t>RICHARDSON, VALERIE, RPAC</t>
  </si>
  <si>
    <t>E0346995</t>
  </si>
  <si>
    <t>HETRICK VALERIE R</t>
  </si>
  <si>
    <t>RICHARDSON, VALERIE, PA</t>
  </si>
  <si>
    <t>VRICHARDSON@KALEIDAHEALTH.ORG</t>
  </si>
  <si>
    <t>RICHARDSON HETRICK VALERIE</t>
  </si>
  <si>
    <t>400 INTERNATIONAL DR STE 2</t>
  </si>
  <si>
    <t>RIEDY, NICOLE, DO</t>
  </si>
  <si>
    <t>E0333068</t>
  </si>
  <si>
    <t>RIEDY NICOLE</t>
  </si>
  <si>
    <t>(716) 861-3537</t>
  </si>
  <si>
    <t>NRIEDY@KALEIDAHEALTH.ORG</t>
  </si>
  <si>
    <t>RIEDY NICOLE DR.</t>
  </si>
  <si>
    <t>KELLY MALLORY</t>
  </si>
  <si>
    <t>E0301785</t>
  </si>
  <si>
    <t>KELLY MALLORY L</t>
  </si>
  <si>
    <t>BINDIG, THERESA, RD</t>
  </si>
  <si>
    <t>T.BINDIG@NWBCHCC.ORG</t>
  </si>
  <si>
    <t>BINDIG THERESA</t>
  </si>
  <si>
    <t>HERNANDEZ, EVETTE, NPCN</t>
  </si>
  <si>
    <t>E0347542</t>
  </si>
  <si>
    <t>HERNANDEZ EVETTE M</t>
  </si>
  <si>
    <t>HERNANDEZ, EVETTE, CNM</t>
  </si>
  <si>
    <t>(716) 885-2229</t>
  </si>
  <si>
    <t>EVETTEBMS@GMAIL.COM</t>
  </si>
  <si>
    <t>HERNANDEZ EVETTE</t>
  </si>
  <si>
    <t>KARN EMILY</t>
  </si>
  <si>
    <t>E0334713</t>
  </si>
  <si>
    <t>MOUNTAIN EMILY MARGARET</t>
  </si>
  <si>
    <t>KARN EMILY M</t>
  </si>
  <si>
    <t>132 W MAIN ST</t>
  </si>
  <si>
    <t>SIMMONS, BRYNN,</t>
  </si>
  <si>
    <t>E0326301</t>
  </si>
  <si>
    <t>SIMMONS BRYNN LOUISE</t>
  </si>
  <si>
    <t>SHARON POREMBA</t>
  </si>
  <si>
    <t>(716) 532-5609</t>
  </si>
  <si>
    <t>SANNP2@AOL.COM</t>
  </si>
  <si>
    <t>SIMMONS BRYNN</t>
  </si>
  <si>
    <t>43 NIAGARA ST</t>
  </si>
  <si>
    <t>MUNSON, ELIZABETH, PA</t>
  </si>
  <si>
    <t>E0310421</t>
  </si>
  <si>
    <t>ELIZABETH ANN MUNSON</t>
  </si>
  <si>
    <t>EMUNSON@KALEIDAHEALTH.ORG</t>
  </si>
  <si>
    <t>MUNSON ELIZABETH</t>
  </si>
  <si>
    <t>MUNSON ELIZABETH ANN</t>
  </si>
  <si>
    <t>BORKE, JESSE, MD</t>
  </si>
  <si>
    <t>E0351384</t>
  </si>
  <si>
    <t>BORKE JESSE ABRAHAM</t>
  </si>
  <si>
    <t>JBORKE@KALEIDAHEALTH.ORG</t>
  </si>
  <si>
    <t>BORKE JESSE DR.</t>
  </si>
  <si>
    <t>GILLEZEAU, BETH, PA</t>
  </si>
  <si>
    <t>BGILLEZEAU@KALEIDAHEALTH.ORG</t>
  </si>
  <si>
    <t>GILLEZEAU BETH</t>
  </si>
  <si>
    <t>8750 TRANSIT RD, SUITE 105</t>
  </si>
  <si>
    <t>ORLEANS COUNTY HEALTH DEPT.</t>
  </si>
  <si>
    <t>E0156899</t>
  </si>
  <si>
    <t>ORLEANS CO HLTH DEPT PSSHSP</t>
  </si>
  <si>
    <t>(585) 589-3268</t>
  </si>
  <si>
    <t>ORLEANS COUNTY HLTH DEPT</t>
  </si>
  <si>
    <t>SCHNEGGENBURGER, JILL, MD</t>
  </si>
  <si>
    <t>E0346073</t>
  </si>
  <si>
    <t>SCHLEIFER-SCHNEGGENBURGER JILL</t>
  </si>
  <si>
    <t>SCHLEIFER-SCHNEGGENBURGER, JILL, MD</t>
  </si>
  <si>
    <t>JSCHLEIFER-SCHNEGGENBURGER@KALEIDAHEALTH.ORG</t>
  </si>
  <si>
    <t>SCHNEGGENBURGER JILL DR.</t>
  </si>
  <si>
    <t>JOY-PARDI, JUDY, MD</t>
  </si>
  <si>
    <t>E0143933</t>
  </si>
  <si>
    <t>JOY-PARDI JUDYANN V MD</t>
  </si>
  <si>
    <t>(716) 565-1978</t>
  </si>
  <si>
    <t>JJOYPARDI@KALEIDAHEALTH.ORG</t>
  </si>
  <si>
    <t>JOY-PARDI JUDY DR.</t>
  </si>
  <si>
    <t>MUKKAMALA, SOMASEKHARA, MD</t>
  </si>
  <si>
    <t>E0241516</t>
  </si>
  <si>
    <t>MUKKAMALA SOMASEKHARA R    MD</t>
  </si>
  <si>
    <t>SMUKKAMALA@KALEIDAHEALTH.ORG</t>
  </si>
  <si>
    <t>MUKKAMALA SOMASEKHARA DR.</t>
  </si>
  <si>
    <t>DEGRAFF MEM HOSPITAL</t>
  </si>
  <si>
    <t>WESTFIELD FAMILY PHYSICIANS</t>
  </si>
  <si>
    <t>WESTFIELD FAMILY PHYSICIANS, ,</t>
  </si>
  <si>
    <t>115 EAST MAIN STREET</t>
  </si>
  <si>
    <t>SHERMAN</t>
  </si>
  <si>
    <t>FOLEY, MICHAEL, DDS</t>
  </si>
  <si>
    <t>E0067533</t>
  </si>
  <si>
    <t>FOLEY MICHAEL J DDS</t>
  </si>
  <si>
    <t>(716) 662-3882</t>
  </si>
  <si>
    <t>MFOLEY2@KALEIDAHEALTH.ORG</t>
  </si>
  <si>
    <t>FOLEY MICHAEL DR.</t>
  </si>
  <si>
    <t>FOLEY MICHAEL JOHN</t>
  </si>
  <si>
    <t>3476 SHERIDAN DR</t>
  </si>
  <si>
    <t>YOSUICO, VICTOR, MD</t>
  </si>
  <si>
    <t>E0017107</t>
  </si>
  <si>
    <t>YOSUICO VICTOR ERNESTO DAVID MD</t>
  </si>
  <si>
    <t>VYOSUICO@KALEIDAHEALTH.ORG</t>
  </si>
  <si>
    <t>YOSUICO VICTOR</t>
  </si>
  <si>
    <t>SABHARWAL, GAURAVI, MD</t>
  </si>
  <si>
    <t>E0315959</t>
  </si>
  <si>
    <t>SABHARWAL GAURAVI</t>
  </si>
  <si>
    <t>(313) 623-2714</t>
  </si>
  <si>
    <t>GSABHARWAL@KALEIDAHEALTH.ORG</t>
  </si>
  <si>
    <t>SABHARWAL GAURAVI KAUR</t>
  </si>
  <si>
    <t>LEE, PAUL,</t>
  </si>
  <si>
    <t>E0057129</t>
  </si>
  <si>
    <t>LEE PAUL JONG HYUK MD</t>
  </si>
  <si>
    <t>LEE, PAUL, MD</t>
  </si>
  <si>
    <t>PLEE@KALEIDAHEALTH.ORG</t>
  </si>
  <si>
    <t>LEE PAUL DR.</t>
  </si>
  <si>
    <t>BUFFALO RETINA-VIT</t>
  </si>
  <si>
    <t>RESZEL, ROBERT, DDS</t>
  </si>
  <si>
    <t>E0159433</t>
  </si>
  <si>
    <t>RESZEL ROBERT JAMES II DDS</t>
  </si>
  <si>
    <t>RESZEL II, ROBERT, DDS</t>
  </si>
  <si>
    <t>(716) 693-3719</t>
  </si>
  <si>
    <t>RRESZELII@KALEIDAHEALTH.ORG</t>
  </si>
  <si>
    <t>RESZEL ROBERT DR.</t>
  </si>
  <si>
    <t>SUITE 4</t>
  </si>
  <si>
    <t>BAMBACH, BARBARA, MD</t>
  </si>
  <si>
    <t>E0143383</t>
  </si>
  <si>
    <t>BAMBACH BARBARA J MD</t>
  </si>
  <si>
    <t>BBAMBACH@KALEIDAHEALTH.ORG</t>
  </si>
  <si>
    <t>BAMBACH BARBARA</t>
  </si>
  <si>
    <t>CHILDRENS HSP</t>
  </si>
  <si>
    <t>PEER, GERALD, MD</t>
  </si>
  <si>
    <t>E0208328</t>
  </si>
  <si>
    <t>GERALD L PEER</t>
  </si>
  <si>
    <t>(716) 838-0640</t>
  </si>
  <si>
    <t>GPEER@KALEIDAHEALTH.ORG</t>
  </si>
  <si>
    <t>PEER GERALD DR.</t>
  </si>
  <si>
    <t>PEER GERALD LAWRENCE</t>
  </si>
  <si>
    <t>PELL, MICHAEL, MD</t>
  </si>
  <si>
    <t>E0134817</t>
  </si>
  <si>
    <t>PELL MICHAEL ANTHONY MD</t>
  </si>
  <si>
    <t>MPELL@KALEIDAHEALTH.ORG</t>
  </si>
  <si>
    <t>PELL MICHAEL</t>
  </si>
  <si>
    <t>ZIRNA, HARRY, DPM</t>
  </si>
  <si>
    <t>E0208239</t>
  </si>
  <si>
    <t>ZIRNA HARRY I DPM</t>
  </si>
  <si>
    <t>(585) 798-1515</t>
  </si>
  <si>
    <t>HZIRNA@KALEIDAHEALTH.ORG</t>
  </si>
  <si>
    <t>ZIRNA HARRY</t>
  </si>
  <si>
    <t>ZIRNA HARRY I</t>
  </si>
  <si>
    <t>300 OHIO ST</t>
  </si>
  <si>
    <t>MAULUCCI, MARINA, DPM</t>
  </si>
  <si>
    <t>E0202238</t>
  </si>
  <si>
    <t>MAULUCCI MARINA A DPM</t>
  </si>
  <si>
    <t>(716) 886-8289</t>
  </si>
  <si>
    <t>MMAULUCCI@KALEIDAHEALTH.ORG</t>
  </si>
  <si>
    <t>MAULUCCI MARINA</t>
  </si>
  <si>
    <t>191 NORTH ST STE 2</t>
  </si>
  <si>
    <t>GRIMM, KATHLEEN, MD</t>
  </si>
  <si>
    <t>E0125598</t>
  </si>
  <si>
    <t>GRIMM KATHLEEN T MD</t>
  </si>
  <si>
    <t>KGRIMM2@KALEIDAHEALTH.ORG</t>
  </si>
  <si>
    <t>GRIMM KATHLEEN DR.</t>
  </si>
  <si>
    <t>FRAWLEY, THOMAS, DDS</t>
  </si>
  <si>
    <t>E0124755</t>
  </si>
  <si>
    <t>FRAWLEY THOMAS K DDS</t>
  </si>
  <si>
    <t>(716) 649-7718</t>
  </si>
  <si>
    <t>TFRAWLEY@KALEIDAHEALTH.ORG</t>
  </si>
  <si>
    <t>FRAWLEY THOMAS DR.</t>
  </si>
  <si>
    <t>ERIE CTY MC/ORAL SUR</t>
  </si>
  <si>
    <t>BUTLER, NANCY, DPM</t>
  </si>
  <si>
    <t>E0196422</t>
  </si>
  <si>
    <t>BUTLER NANCY A DPM</t>
  </si>
  <si>
    <t>(716) 444-2159</t>
  </si>
  <si>
    <t>NBUTLER@KALEIDAHEALTH.ORG</t>
  </si>
  <si>
    <t>BUTLER NANCY</t>
  </si>
  <si>
    <t>6745 TRANSIT RD</t>
  </si>
  <si>
    <t>WEGRZYN, SUSAN, ANP</t>
  </si>
  <si>
    <t>E0014087</t>
  </si>
  <si>
    <t>WEGRZYN SUSAN D NP</t>
  </si>
  <si>
    <t>SWEGRZYN@KALEIDAHEALTH.ORG</t>
  </si>
  <si>
    <t>WEGRZYN SUSAN</t>
  </si>
  <si>
    <t>ABSOLUT CENTER FOR NURSING AND REHABILITATION AT ORCHARD PARK, LLC</t>
  </si>
  <si>
    <t>E0223300</t>
  </si>
  <si>
    <t>ABSOLUT CT NRS &amp; REH AT ORCHARD PAR</t>
  </si>
  <si>
    <t>DANIEL DETOR</t>
  </si>
  <si>
    <t>DDETOR@ABSOLUTCARE.COM</t>
  </si>
  <si>
    <t>6060 ARMOR DUELLS RD</t>
  </si>
  <si>
    <t>JACKSON, KIMBERLY, MD</t>
  </si>
  <si>
    <t>E0286185</t>
  </si>
  <si>
    <t>JACKSON KIMBERLY</t>
  </si>
  <si>
    <t>DRKIMJ24@YAHOO.COM</t>
  </si>
  <si>
    <t>JACKSON KIMBERLY DR.</t>
  </si>
  <si>
    <t>JACKSON KIMBERLY L MD</t>
  </si>
  <si>
    <t>RODRIGUEZ, HEIDI, LMHC</t>
  </si>
  <si>
    <t>RODRIGUEZ, HEIDI, LMSW</t>
  </si>
  <si>
    <t>HRODRIGUEZ@CATSWNY.ORG</t>
  </si>
  <si>
    <t>RODRIGUEZ HEIDI</t>
  </si>
  <si>
    <t>GELMAN-KOESSLER, LISA, MD</t>
  </si>
  <si>
    <t>E0010237</t>
  </si>
  <si>
    <t>GELMAN-KOESSLER LISA MD</t>
  </si>
  <si>
    <t>(716) 633-4575</t>
  </si>
  <si>
    <t>LGELMANKOESSLER@KALEIDAHEALTH.ORG</t>
  </si>
  <si>
    <t>GELMAN-KOESSLER LISA</t>
  </si>
  <si>
    <t>SANDS, JOANN, DNPANPB</t>
  </si>
  <si>
    <t>E0294574</t>
  </si>
  <si>
    <t>SNYDER JOANN MARIE</t>
  </si>
  <si>
    <t>SANDS, JOANN, ANP</t>
  </si>
  <si>
    <t>(716) 984-9417</t>
  </si>
  <si>
    <t>JSANDS@KALEIDAHEALTH.ORG</t>
  </si>
  <si>
    <t>SANDS JOANN MRS.</t>
  </si>
  <si>
    <t>SANDS JOANN M</t>
  </si>
  <si>
    <t>JONES, KELLY, ANP</t>
  </si>
  <si>
    <t>E0300426</t>
  </si>
  <si>
    <t>JONE KELLY A</t>
  </si>
  <si>
    <t>KJONES2@KALEIDAHEALTH.ORG</t>
  </si>
  <si>
    <t>JONES KELLY MRS.</t>
  </si>
  <si>
    <t>JONES KELLY ANN</t>
  </si>
  <si>
    <t>100 COLLEGE PKWY STE 220</t>
  </si>
  <si>
    <t>RADOVIC, MARIJA, MD</t>
  </si>
  <si>
    <t>E0298949</t>
  </si>
  <si>
    <t>RADOVIC MARIJA</t>
  </si>
  <si>
    <t>MRADOVIC@KALEIDAHEALTH.ORG</t>
  </si>
  <si>
    <t>RADOVIC MARIJA DR.</t>
  </si>
  <si>
    <t>KURUVILLA, ELIZABETH, MD</t>
  </si>
  <si>
    <t>E0342174</t>
  </si>
  <si>
    <t>KURUVILLA ELIZABETH</t>
  </si>
  <si>
    <t>EKURUVILLA@KALEIDAHEALTH.ORG</t>
  </si>
  <si>
    <t>RAJAN ELIZABETH</t>
  </si>
  <si>
    <t>NOLDER, KAREN, NNP</t>
  </si>
  <si>
    <t>E0314362</t>
  </si>
  <si>
    <t>NOLDER KAREN W</t>
  </si>
  <si>
    <t>(716) 632-6228</t>
  </si>
  <si>
    <t>KNOLDER@KALEIDAHEALTH.ORG</t>
  </si>
  <si>
    <t>NOLDER KAREN MRS.</t>
  </si>
  <si>
    <t>ARGENTIERI, JENNIFER, MD</t>
  </si>
  <si>
    <t>E0315240</t>
  </si>
  <si>
    <t>ARGENTIERI JENNIFER ANN</t>
  </si>
  <si>
    <t>ARGENTIERI,  JENNIFER, MD</t>
  </si>
  <si>
    <t>(716) 553-1981</t>
  </si>
  <si>
    <t>JARGENTIERI@UPA.CHOB.EDU</t>
  </si>
  <si>
    <t>ARGENTIERI JENNIFER</t>
  </si>
  <si>
    <t>3415 BAINBRIDGE AVE</t>
  </si>
  <si>
    <t>NICHOLS, ERIN,</t>
  </si>
  <si>
    <t>E0446281</t>
  </si>
  <si>
    <t>KENNEDY ERIN ELIZABETH</t>
  </si>
  <si>
    <t>NICHOLS, ERIN, PA</t>
  </si>
  <si>
    <t>ENICHOLS@KALEIDAHEALTH.ORG</t>
  </si>
  <si>
    <t>KENNEDY ERIN</t>
  </si>
  <si>
    <t>CHAUDHRY, MONIR, MD</t>
  </si>
  <si>
    <t>E0306500</t>
  </si>
  <si>
    <t>CHAUDHRY MONIR AHMAD</t>
  </si>
  <si>
    <t>CHAUDHRY MONIR</t>
  </si>
  <si>
    <t>(716) 483-2603</t>
  </si>
  <si>
    <t>51 GLASGOW AVE</t>
  </si>
  <si>
    <t>WEBB, KRISTIN, PA</t>
  </si>
  <si>
    <t>E0079015</t>
  </si>
  <si>
    <t>WEBB KRISTIN MARIE RPA</t>
  </si>
  <si>
    <t>WEBB, KRISTIN, PA-C</t>
  </si>
  <si>
    <t>KWEBB2@KALEIDAHEALTH.ORG</t>
  </si>
  <si>
    <t>WEBB KRISTIN</t>
  </si>
  <si>
    <t>2625 HARLEM RD</t>
  </si>
  <si>
    <t>DOFITAS, STEVE, MD</t>
  </si>
  <si>
    <t>E0057886</t>
  </si>
  <si>
    <t>DOFITAS STEVE BANARIA MD</t>
  </si>
  <si>
    <t>SDOFITAS@KALEIDAHEALTH.ORG</t>
  </si>
  <si>
    <t>DOFITAS STEVE DR.</t>
  </si>
  <si>
    <t>SUITE #5</t>
  </si>
  <si>
    <t>E0203988</t>
  </si>
  <si>
    <t>UCP NIAGARA NIAGARA ADULT ICF</t>
  </si>
  <si>
    <t>9155 LOCKPORT RD</t>
  </si>
  <si>
    <t>DEPAUL COMMUNITY SERVICES INC</t>
  </si>
  <si>
    <t>E0263461</t>
  </si>
  <si>
    <t>DE PAUL COMMUNITY SVCS INC</t>
  </si>
  <si>
    <t>JAMES M. WHALEN, CFO</t>
  </si>
  <si>
    <t>(585) 426-8000</t>
  </si>
  <si>
    <t>JWHALEN@DEPAUL.ORG</t>
  </si>
  <si>
    <t>DEPAUL COMMUNITY SVCS INC</t>
  </si>
  <si>
    <t>150 MOUNT HOPE AVE</t>
  </si>
  <si>
    <t>BERNAS, GEOFFREY, MD</t>
  </si>
  <si>
    <t>E0010258</t>
  </si>
  <si>
    <t>BERNAS GEOFFREY ALLEN MD</t>
  </si>
  <si>
    <t>(716) 821-4400</t>
  </si>
  <si>
    <t>GBERNAS@KALEIDAHEALTH.ORG</t>
  </si>
  <si>
    <t>BERNAS GEOFFREY DR.</t>
  </si>
  <si>
    <t>200 STERLING DR STE 400</t>
  </si>
  <si>
    <t>HOSPICE OF ORLEANS, INC.</t>
  </si>
  <si>
    <t>E0136342</t>
  </si>
  <si>
    <t>HOSPICE OF ORLEANS INC</t>
  </si>
  <si>
    <t>MARY ANNE FISCHER</t>
  </si>
  <si>
    <t>(585) 589-0809</t>
  </si>
  <si>
    <t>MFISCHER@HOSPICEOFORLEANS.ORG</t>
  </si>
  <si>
    <t>14080 STATE ROUTE 31</t>
  </si>
  <si>
    <t>YUNKER, JENNIFER, MD</t>
  </si>
  <si>
    <t>E0059225</t>
  </si>
  <si>
    <t>YUNKER JENNIFER L MD</t>
  </si>
  <si>
    <t>JYUNKER@KALEIDAHEALTH.ORG</t>
  </si>
  <si>
    <t>YUNKER JENNIFER DR.</t>
  </si>
  <si>
    <t>LILLIS, KATHLEEN, MD</t>
  </si>
  <si>
    <t>E0169639</t>
  </si>
  <si>
    <t>LILLIS KATHLEEN A MD</t>
  </si>
  <si>
    <t>KLILLIS2@KALEIDAHEALTH.ORG</t>
  </si>
  <si>
    <t>LILLIS KATHLEEN DR.</t>
  </si>
  <si>
    <t>ACQUILANO, KRISTEN, LCSW</t>
  </si>
  <si>
    <t>(585) 589-7066</t>
  </si>
  <si>
    <t>ACQUILANOK@SHSWNY.ORG</t>
  </si>
  <si>
    <t>ACQUILANO KRISTEN</t>
  </si>
  <si>
    <t>14014 ROUTE 31</t>
  </si>
  <si>
    <t>CORLISS, JENNIFER, MD</t>
  </si>
  <si>
    <t>E0331174</t>
  </si>
  <si>
    <t>CORLISS JENNIFER M MD</t>
  </si>
  <si>
    <t>(716) 668-8964</t>
  </si>
  <si>
    <t>JCORLISS@KALEIDAHEALTH.ORG</t>
  </si>
  <si>
    <t>CORLISS JENNIFER DR.</t>
  </si>
  <si>
    <t>PATEL, SIMAL, MD</t>
  </si>
  <si>
    <t>E0324278</t>
  </si>
  <si>
    <t>PATEL SIMAL JAYANT MD</t>
  </si>
  <si>
    <t>PATEL SIMAL</t>
  </si>
  <si>
    <t>TOLAND, SUZANNE, ANP</t>
  </si>
  <si>
    <t>E0032630</t>
  </si>
  <si>
    <t>TOLAND SUZANNE E</t>
  </si>
  <si>
    <t>(716) 837-6066</t>
  </si>
  <si>
    <t>STOLAND@KALEIDAHEALTH.ORG</t>
  </si>
  <si>
    <t>TOLAND SUZANNE MRS.</t>
  </si>
  <si>
    <t>CHRISTIE, JORDAN, PA</t>
  </si>
  <si>
    <t>E0342724</t>
  </si>
  <si>
    <t>CHRISTIE JORDAN KAIL</t>
  </si>
  <si>
    <t>CHRISTIE JORDAN</t>
  </si>
  <si>
    <t>CHITGAR, SAHAR,</t>
  </si>
  <si>
    <t>E0356110</t>
  </si>
  <si>
    <t>CHITGAR SAHAR</t>
  </si>
  <si>
    <t>CHITGAR, SAHAR, MD</t>
  </si>
  <si>
    <t>(773) 348-5742</t>
  </si>
  <si>
    <t>SCHITGAR@KALEIDAHEALTH.ORG</t>
  </si>
  <si>
    <t>626 FRANKHAUSER RD</t>
  </si>
  <si>
    <t>SPIROPOULOS, CONSTANTINA, MD</t>
  </si>
  <si>
    <t>E0104198</t>
  </si>
  <si>
    <t>SPIROPOULOS CONSTANTINA</t>
  </si>
  <si>
    <t>(716) 837-0995</t>
  </si>
  <si>
    <t>CSPIROPOULOS@KALEIDAHEALTH.ORG</t>
  </si>
  <si>
    <t>SPIROPOULOS CONSTANTINA DR.</t>
  </si>
  <si>
    <t>ANDERSON, KERENZA, PA</t>
  </si>
  <si>
    <t>E0366674</t>
  </si>
  <si>
    <t>ANDERSON KERENZA ANNE</t>
  </si>
  <si>
    <t>KANDERSON3@KALEIDAHEALTH.ORG</t>
  </si>
  <si>
    <t>ANDERSON KERENZA</t>
  </si>
  <si>
    <t>TOBIAS, SUSAN, NP</t>
  </si>
  <si>
    <t>E0004537</t>
  </si>
  <si>
    <t>TOBIAS SUSAN</t>
  </si>
  <si>
    <t>TOBIAS, SUSAN, ANP</t>
  </si>
  <si>
    <t>(716) 882-1023</t>
  </si>
  <si>
    <t>STOBIAS@KALEIDAHEALTH.ORG</t>
  </si>
  <si>
    <t>TOBIAS SUSAN MRS.</t>
  </si>
  <si>
    <t>TOBIAS SUSAN PANDOLFI</t>
  </si>
  <si>
    <t>TLC HEALTH NETWORK HOME HLTH SER</t>
  </si>
  <si>
    <t>845 MAIN RD</t>
  </si>
  <si>
    <t>MARFURT, JEAN ANN, MD</t>
  </si>
  <si>
    <t>E0181129</t>
  </si>
  <si>
    <t>MARFURT JEANANN M  MD</t>
  </si>
  <si>
    <t>MARFURT, JEAN, MD</t>
  </si>
  <si>
    <t>(716) 565-9030</t>
  </si>
  <si>
    <t>JMARFURT@KALEIDAHEALTH.ORG</t>
  </si>
  <si>
    <t>MARFURT JEAN ANN DR.</t>
  </si>
  <si>
    <t>DZIELSKI, DEBORAH, ANP</t>
  </si>
  <si>
    <t>E0014342</t>
  </si>
  <si>
    <t>DZIELSKI DEBORAH L</t>
  </si>
  <si>
    <t>DDZIELSKI@KALEIDAHEALTH.ORG</t>
  </si>
  <si>
    <t>DZIELSKI DEBORAH</t>
  </si>
  <si>
    <t>AHMAD, MISBAH, MD</t>
  </si>
  <si>
    <t>E0322872</t>
  </si>
  <si>
    <t>AHMAD MISBAH</t>
  </si>
  <si>
    <t>AHMAD MISBAH DR.</t>
  </si>
  <si>
    <t>MILLER, JENNIFER, MD</t>
  </si>
  <si>
    <t>E0008735</t>
  </si>
  <si>
    <t>MILLER JENNIFER ELIZABETH MD</t>
  </si>
  <si>
    <t>JMILLER3@KALEIDAHEALTH.ORG</t>
  </si>
  <si>
    <t>MILLER JENNIFER</t>
  </si>
  <si>
    <t>3675 SOUTHWESTERN BLVD</t>
  </si>
  <si>
    <t>ALAIMO, MARIBETH, LCSW</t>
  </si>
  <si>
    <t>E0361975</t>
  </si>
  <si>
    <t>ALAIMO MARIBETH HYE-JEE</t>
  </si>
  <si>
    <t>ALAIMO,  MARIBETH, PROGRAM DIRECTOR</t>
  </si>
  <si>
    <t>ALAIMO MARIBETH MS.</t>
  </si>
  <si>
    <t>LAMPASSO, JAMES, MD</t>
  </si>
  <si>
    <t>E0176254</t>
  </si>
  <si>
    <t>LAMPASSO JAMES G  MD</t>
  </si>
  <si>
    <t>JLAMPASSO@KALEIDAHEALTH.ORG</t>
  </si>
  <si>
    <t>LAMPASSO JAMES</t>
  </si>
  <si>
    <t>E0091589</t>
  </si>
  <si>
    <t>CHAUTAUQUA COUNTY MH</t>
  </si>
  <si>
    <t>BRINKMAN@CO.CHAUTUAQUA</t>
  </si>
  <si>
    <t>All Other:: Case Management / Health Home:: Mental Health:: Substance Abuse</t>
  </si>
  <si>
    <t>CHAUTAUQUA CNTY MENTAL HEALTH</t>
  </si>
  <si>
    <t>TALLMAN, JAKE, MD</t>
  </si>
  <si>
    <t>E0320991</t>
  </si>
  <si>
    <t>TALLMAN JACOB</t>
  </si>
  <si>
    <t>(607) 545-0032</t>
  </si>
  <si>
    <t>TALLMAN JAKE</t>
  </si>
  <si>
    <t>12 N CHURCH ST</t>
  </si>
  <si>
    <t>CANASERAGA</t>
  </si>
  <si>
    <t>EASTERN NIAGARA MEDICAL GROUP PC</t>
  </si>
  <si>
    <t>E0094902</t>
  </si>
  <si>
    <t>WAGDY GHALY MD PC</t>
  </si>
  <si>
    <t>(585) 798-3992</t>
  </si>
  <si>
    <t>EASTERN NIAGARA MEDICAL GROUP P C</t>
  </si>
  <si>
    <t>WERTHMAN-EHRENREICH, AMANDA, MD</t>
  </si>
  <si>
    <t>E0307869</t>
  </si>
  <si>
    <t>WERTHMAN-EHRENREICH AMANDA ANNE</t>
  </si>
  <si>
    <t>AWERTHMANEHRENREICH@KALEIDAHEALTH.ORG</t>
  </si>
  <si>
    <t>WERTHMAN-EHRENREICH AMANDA DR.</t>
  </si>
  <si>
    <t>HENDERSON, JILLIAN, LCSW</t>
  </si>
  <si>
    <t>E0369486</t>
  </si>
  <si>
    <t>HENDERSON JILLIAN COURTNEY</t>
  </si>
  <si>
    <t>HENDERSON,  JILLIAN, LCSW</t>
  </si>
  <si>
    <t>JHENDERSON@CATSWNY.ORG</t>
  </si>
  <si>
    <t>HENDERSON JILLIAN MISS</t>
  </si>
  <si>
    <t>SU, WINNIE, MD</t>
  </si>
  <si>
    <t>E0333204</t>
  </si>
  <si>
    <t>SU WINNIE S</t>
  </si>
  <si>
    <t>SU, WINNIE, MD, FRCPC</t>
  </si>
  <si>
    <t>WSU@KALEIDAHEALTH.ORG</t>
  </si>
  <si>
    <t>SU WINNIE</t>
  </si>
  <si>
    <t>HINCHY, NICOLE, DDS</t>
  </si>
  <si>
    <t>E0361382</t>
  </si>
  <si>
    <t>HINCHY NICOLE V</t>
  </si>
  <si>
    <t>HINCHEY, NICOLE, DDS</t>
  </si>
  <si>
    <t>NHINCHEY@ECMC.EDU</t>
  </si>
  <si>
    <t>HINCHY NICOLE</t>
  </si>
  <si>
    <t>RIVERA-BARBER, MERCEDES, ANP</t>
  </si>
  <si>
    <t>E0433039</t>
  </si>
  <si>
    <t>BARBER MERCEDES</t>
  </si>
  <si>
    <t>BARBER, MERCEDES, ANP</t>
  </si>
  <si>
    <t>MBARBER2@KALEIDAHEALTH.ORG</t>
  </si>
  <si>
    <t>RIVERA-BARBER MERCEDES MRS.</t>
  </si>
  <si>
    <t>2715 HIGHLAND AVE</t>
  </si>
  <si>
    <t>SWANSON, SCOTT, PT</t>
  </si>
  <si>
    <t>E0455573</t>
  </si>
  <si>
    <t>SWANSON SCOTT WILLIAM</t>
  </si>
  <si>
    <t>(716) 753-0403</t>
  </si>
  <si>
    <t>SSWANSON@KALEIDAHEALTH.ORG</t>
  </si>
  <si>
    <t>SWANSON SCOTT</t>
  </si>
  <si>
    <t>CARROLL, JENNIFER,</t>
  </si>
  <si>
    <t>CARROLL, JENNIFER, LCSW</t>
  </si>
  <si>
    <t>JCARROLL@CFSBNY.ORG</t>
  </si>
  <si>
    <t>CARROLL JENNIFER</t>
  </si>
  <si>
    <t>148 ELMWOOD AVE</t>
  </si>
  <si>
    <t>MCCARTY-NEVEU, TINA, CASAC</t>
  </si>
  <si>
    <t>MCCARTY-NEVEU, TINA, CASAC-T</t>
  </si>
  <si>
    <t>MCCARTYNEVEUT@SHSWNY.ORG</t>
  </si>
  <si>
    <t>MCCARTY-NEVEU TINA MRS.</t>
  </si>
  <si>
    <t>DEBACCO, LAURA, RPAC</t>
  </si>
  <si>
    <t>E0318711</t>
  </si>
  <si>
    <t>DEBACCO LAURA MARJORIE</t>
  </si>
  <si>
    <t>(716) 297-9379</t>
  </si>
  <si>
    <t>DEBACCO LAURA MISS</t>
  </si>
  <si>
    <t>MERINO, RONALD, MD</t>
  </si>
  <si>
    <t>E0315527</t>
  </si>
  <si>
    <t>MERINO RONALD</t>
  </si>
  <si>
    <t>(607) 277-2170</t>
  </si>
  <si>
    <t>MERINO RONALD DR.</t>
  </si>
  <si>
    <t>201 W 3RD ST</t>
  </si>
  <si>
    <t>FRITSCHI, KRISTA,</t>
  </si>
  <si>
    <t>FRITSCHI,  KRISTA, COUNSELOR III</t>
  </si>
  <si>
    <t>FRITSCHI KRISTA</t>
  </si>
  <si>
    <t>YARLAGADDA, NAVEEN, MD</t>
  </si>
  <si>
    <t>E0362266</t>
  </si>
  <si>
    <t>YARLAGADDA NAVEEN KUMAR</t>
  </si>
  <si>
    <t>NYARLAGADDA@KALEIDAHEALTH.ORG</t>
  </si>
  <si>
    <t>YARLAGADDA NAVEEN DR.</t>
  </si>
  <si>
    <t>SAMUEL, NATASHA, NP</t>
  </si>
  <si>
    <t>E0334224</t>
  </si>
  <si>
    <t>SAMUEL NATASHA</t>
  </si>
  <si>
    <t>SAMUEL, NATASHA, ANP</t>
  </si>
  <si>
    <t>NSAMUEL@KALEIDAHEALTH.ORG</t>
  </si>
  <si>
    <t>THOMSON, KELLY,</t>
  </si>
  <si>
    <t>THOMSON, KELLY, LMSW</t>
  </si>
  <si>
    <t>KTHOMPSON@CATSWNY.ORG</t>
  </si>
  <si>
    <t>HUMMEL KELLY MRS.</t>
  </si>
  <si>
    <t>340 FOUGERON ST</t>
  </si>
  <si>
    <t>O'MARA, SARAH, RPAC</t>
  </si>
  <si>
    <t>E0346588</t>
  </si>
  <si>
    <t>O'MARA SARAH ANNE</t>
  </si>
  <si>
    <t>O'MARA, SARAH, PA</t>
  </si>
  <si>
    <t>(716) 646-6075</t>
  </si>
  <si>
    <t>SO'MARA2@KALEIDAHEALTH.ORG</t>
  </si>
  <si>
    <t>O'MARA SARAH</t>
  </si>
  <si>
    <t>LANDI, MICHAEL, MD</t>
  </si>
  <si>
    <t>E0137663</t>
  </si>
  <si>
    <t>LANDI MICHAEL K MD</t>
  </si>
  <si>
    <t>MLANDI@KALEIDAHEALTH.ORG</t>
  </si>
  <si>
    <t>LANDI MICHAEL DR.</t>
  </si>
  <si>
    <t>WEGMAN, THERESA, MD</t>
  </si>
  <si>
    <t>E0107582</t>
  </si>
  <si>
    <t>WEGMAN THERESA M MD</t>
  </si>
  <si>
    <t>(716) 662-3443</t>
  </si>
  <si>
    <t>TWEGMAN@KALEIDAHEALTH.ORG</t>
  </si>
  <si>
    <t>WEGMAN THERESA DR.</t>
  </si>
  <si>
    <t>24 CARROW ST</t>
  </si>
  <si>
    <t>MIN, INKEE, MD</t>
  </si>
  <si>
    <t>E0229446</t>
  </si>
  <si>
    <t>MIN INKEE                  MD</t>
  </si>
  <si>
    <t>IMIN@KALEIDAHEALTH.ORG</t>
  </si>
  <si>
    <t>MIN INKEE DR.</t>
  </si>
  <si>
    <t>BALTI, MOHAMAD, MD</t>
  </si>
  <si>
    <t>E0241546</t>
  </si>
  <si>
    <t>BALTI MOHAMAD A            MD</t>
  </si>
  <si>
    <t>MBALTI@KALEIDAHEALTH.ORG</t>
  </si>
  <si>
    <t>BALTI MOHAMAD</t>
  </si>
  <si>
    <t>GUPTA, ANJU, MD</t>
  </si>
  <si>
    <t>E0295660</t>
  </si>
  <si>
    <t>GUPTA ANJU</t>
  </si>
  <si>
    <t>AGUPTA2@KALEIDAHEALTH.ORG</t>
  </si>
  <si>
    <t>GUPTA ANJU DR.</t>
  </si>
  <si>
    <t>GUPTA ANJU MD</t>
  </si>
  <si>
    <t>94 OLEAN ST STE 210</t>
  </si>
  <si>
    <t>DANIELS, JONATHAN, MD</t>
  </si>
  <si>
    <t>E0071231</t>
  </si>
  <si>
    <t>DANIELS JOHNATHAN D MD</t>
  </si>
  <si>
    <t>JDANIELS2@KALEIDAHEALTH.ORG</t>
  </si>
  <si>
    <t>DANIELS JONATHAN DR.</t>
  </si>
  <si>
    <t>HANSEN, ROSEMARY, ANP</t>
  </si>
  <si>
    <t>E0338575</t>
  </si>
  <si>
    <t>HANSEN ROSEMARY E</t>
  </si>
  <si>
    <t>(716) 930-0245</t>
  </si>
  <si>
    <t>RHANSEN@KALEIDAHEALTH.ORG</t>
  </si>
  <si>
    <t>HANSEN ROSEMARY DR.</t>
  </si>
  <si>
    <t>MCLAUGHLIN, SCOTT, PA</t>
  </si>
  <si>
    <t>E0317632</t>
  </si>
  <si>
    <t>MCLAUGHLIN SCOTT WILLIAM</t>
  </si>
  <si>
    <t>SMCLAUGHLIN@KALEIDAHEALTH.ORG</t>
  </si>
  <si>
    <t>MCLAUGHLIN SCOTT</t>
  </si>
  <si>
    <t>NIEDERMAYER, CATHLEEN, FNP</t>
  </si>
  <si>
    <t>E0315170</t>
  </si>
  <si>
    <t>NIEDERMAYER CATHLEEN MARIE NP</t>
  </si>
  <si>
    <t>(716) 650-9760</t>
  </si>
  <si>
    <t>CNIEDERMAYER@KALEIDAHEALTH.ORG</t>
  </si>
  <si>
    <t>NIEDERMAYER CATHLEEN MS.</t>
  </si>
  <si>
    <t>NIEDERMAYER CATHLEEN MARIE</t>
  </si>
  <si>
    <t>ROSWELL PARK CANCER INSTITUTE</t>
  </si>
  <si>
    <t>OGNIBENE, DEBRA, LMSW</t>
  </si>
  <si>
    <t>E0386169</t>
  </si>
  <si>
    <t>OGNIBENE DEBRA</t>
  </si>
  <si>
    <t>DEBOGNIBENE@YAHOO.COM</t>
  </si>
  <si>
    <t>NAGEL, BROOKE,</t>
  </si>
  <si>
    <t>NAGEL,  BROOKE, COUNSELOR III</t>
  </si>
  <si>
    <t>NAGEL BROOKE</t>
  </si>
  <si>
    <t>KAUFMAN, RACHEL, MD</t>
  </si>
  <si>
    <t>E0338292</t>
  </si>
  <si>
    <t>KAUFMAN RACHEL BETH</t>
  </si>
  <si>
    <t>(585) 275-4174</t>
  </si>
  <si>
    <t>RKAUFMAN@KALEIDAHEALTH.ORG</t>
  </si>
  <si>
    <t>KAUFMAN RACHEL DR.</t>
  </si>
  <si>
    <t>1360 N FOREST RD</t>
  </si>
  <si>
    <t>SOUTHERN TIER ENVIRONMENTS FOR LIVING</t>
  </si>
  <si>
    <t>E0081096</t>
  </si>
  <si>
    <t>SOUTHERN TIER ENVFOR LIV  MH</t>
  </si>
  <si>
    <t>(716) 366-3200</t>
  </si>
  <si>
    <t>515 WASHINGTON ST</t>
  </si>
  <si>
    <t>RIESTER, HEATHER, RNCNM</t>
  </si>
  <si>
    <t>E0371658</t>
  </si>
  <si>
    <t>RIESTER HEATHER C</t>
  </si>
  <si>
    <t>RIESTER, HEATHER, CNM</t>
  </si>
  <si>
    <t>(716) 625-8911</t>
  </si>
  <si>
    <t>HRIESTER@KALEIDAHEALTH.ORG</t>
  </si>
  <si>
    <t>RIESTER HEATHER MRS.</t>
  </si>
  <si>
    <t>OSMAN, MAGDA, MD</t>
  </si>
  <si>
    <t>E0023050</t>
  </si>
  <si>
    <t>OSMAN MAGDA GAMAL MD</t>
  </si>
  <si>
    <t>MOSMAN@KALEIDAHEALTH.ORG</t>
  </si>
  <si>
    <t>OSMAN MAGDA DR.</t>
  </si>
  <si>
    <t>6245 SHERIDAN DR</t>
  </si>
  <si>
    <t>SMITH, GLENNELL, MDPHD</t>
  </si>
  <si>
    <t>E0138519</t>
  </si>
  <si>
    <t>WELLNESS MEDICAL PRACTICE PLLC</t>
  </si>
  <si>
    <t>SMITH, GLENNELL, MD</t>
  </si>
  <si>
    <t>(716) 881-4300</t>
  </si>
  <si>
    <t>SMITH GLENNELL</t>
  </si>
  <si>
    <t>SMITH GLENNELL RENFORD</t>
  </si>
  <si>
    <t>E0146569</t>
  </si>
  <si>
    <t>PARIS JOSEPH A MD</t>
  </si>
  <si>
    <t>ABBASI, ISRAR, MD</t>
  </si>
  <si>
    <t>E0080485</t>
  </si>
  <si>
    <t>ABBASI ISRAR A MD</t>
  </si>
  <si>
    <t>ABBASI ISRAR DR.</t>
  </si>
  <si>
    <t>(716) 526-4041</t>
  </si>
  <si>
    <t>All Other:: Mental Health:: Practitioner - Non-Primary Care Provider (PCP)</t>
  </si>
  <si>
    <t>HUGHES, THOMAS, MD</t>
  </si>
  <si>
    <t>E0104574</t>
  </si>
  <si>
    <t>HUGHES THOMAS FRANCIS</t>
  </si>
  <si>
    <t>(716) 626-5840</t>
  </si>
  <si>
    <t>THUGHES2@KALEIDAHEALTH.ORG</t>
  </si>
  <si>
    <t>HUGHES THOMAS</t>
  </si>
  <si>
    <t>RIVERSIDE FAM CARE</t>
  </si>
  <si>
    <t>CALKINS, JOAN, MD</t>
  </si>
  <si>
    <t>E0148415</t>
  </si>
  <si>
    <t>CALKINS JOAN GROSVENOR MD</t>
  </si>
  <si>
    <t>(716) 646-5188</t>
  </si>
  <si>
    <t>JCALKINS@KALEIDAHEALTH.ORG</t>
  </si>
  <si>
    <t>CALKINS JOAN MS.</t>
  </si>
  <si>
    <t>VILLAGE PEDS RHEUMAT</t>
  </si>
  <si>
    <t>CHAZEN, MARK, MD</t>
  </si>
  <si>
    <t>E0126035</t>
  </si>
  <si>
    <t>CHAZEN MARK DAVID MD</t>
  </si>
  <si>
    <t>(716) 844-5000</t>
  </si>
  <si>
    <t>MCHAZEN@KALEIDAHEALTH.ORG</t>
  </si>
  <si>
    <t>CHAZEN MARK MR.</t>
  </si>
  <si>
    <t>CHAZEN MARK DAVID</t>
  </si>
  <si>
    <t>SCIME, CHRISTINE, CPNP</t>
  </si>
  <si>
    <t>E0065723</t>
  </si>
  <si>
    <t>SCIME CHRISTINE E NP</t>
  </si>
  <si>
    <t>SCIME CHRISTINE</t>
  </si>
  <si>
    <t>SCIME CHRISTINE ELAINE</t>
  </si>
  <si>
    <t>E0159742</t>
  </si>
  <si>
    <t>BUFFALO PSYCHIATRIC CTR</t>
  </si>
  <si>
    <t>(518) 473-0795</t>
  </si>
  <si>
    <t>SUPVD C/0361886</t>
  </si>
  <si>
    <t>CELERON</t>
  </si>
  <si>
    <t>MANGOLD, DANIEL, MD</t>
  </si>
  <si>
    <t>E0160126</t>
  </si>
  <si>
    <t>MANGOLD DANIEL  MD</t>
  </si>
  <si>
    <t>DMANGOLD@KALEIDAHEALTH.ORG</t>
  </si>
  <si>
    <t>MANGOLD DANIEL DR.</t>
  </si>
  <si>
    <t>UNIV PSYCH PRACTICE</t>
  </si>
  <si>
    <t>DIAZ, RICHARD,</t>
  </si>
  <si>
    <t>DIAZ, RICHARD, MSW</t>
  </si>
  <si>
    <t>RDIAZ@CATSWNY.ORG</t>
  </si>
  <si>
    <t>DIAZ RICHARD</t>
  </si>
  <si>
    <t>AMBRUS, JULIAN, MD</t>
  </si>
  <si>
    <t>E0132031</t>
  </si>
  <si>
    <t>AMBRUS JULIAN L JR MD</t>
  </si>
  <si>
    <t>JAMBRUS@KALEIDAHEALTH.ORG</t>
  </si>
  <si>
    <t>AMBRUS JULIAN</t>
  </si>
  <si>
    <t>ACADEMIC MED SVC</t>
  </si>
  <si>
    <t>SHEHATA, NADY, MD</t>
  </si>
  <si>
    <t>E0203817</t>
  </si>
  <si>
    <t>SHEHATA NADY MD</t>
  </si>
  <si>
    <t>(716) 835-3097</t>
  </si>
  <si>
    <t>SHEHATA NADY DR.</t>
  </si>
  <si>
    <t>ABU-SITTA, MOEEN, MD</t>
  </si>
  <si>
    <t>E0176808</t>
  </si>
  <si>
    <t>ABU-SITTA MOEEN I MD</t>
  </si>
  <si>
    <t>(716) 634-0600</t>
  </si>
  <si>
    <t>MABUSITTA2@KALEIDAHEALTH.ORG</t>
  </si>
  <si>
    <t>ABU-SITTA MOEEN DR.</t>
  </si>
  <si>
    <t>KIELISZEK, KAREN, NP</t>
  </si>
  <si>
    <t>E0038857</t>
  </si>
  <si>
    <t>KIELISZEK KAREN</t>
  </si>
  <si>
    <t>KIELISZEK, KAREN, WNP</t>
  </si>
  <si>
    <t>(716) 887-8272</t>
  </si>
  <si>
    <t>KKIELISZEK@KALEIDAHEALTH.ORG</t>
  </si>
  <si>
    <t>HUCKELL, GRAHAM, MD</t>
  </si>
  <si>
    <t>E0147424</t>
  </si>
  <si>
    <t>HUCKELL GRAHAM RICHMOND MD</t>
  </si>
  <si>
    <t>GHUCKELL@KALEIDAHEALTH.ORG</t>
  </si>
  <si>
    <t>HUCKELL GRAHAM DR.</t>
  </si>
  <si>
    <t>BUFFALO GEN-ORTHO CL</t>
  </si>
  <si>
    <t>SISSON JOSIE</t>
  </si>
  <si>
    <t>E0057051</t>
  </si>
  <si>
    <t>SISSON JOSIE TERESITA RPA</t>
  </si>
  <si>
    <t>3045 SOUTH WESTERN BOULEVARD</t>
  </si>
  <si>
    <t>PAUL, SUCHARITA, MD</t>
  </si>
  <si>
    <t>E0284578</t>
  </si>
  <si>
    <t>PAUL SUCHARITA</t>
  </si>
  <si>
    <t>(508) 457-3929</t>
  </si>
  <si>
    <t>SPAUL@KALEIDAHEALTH.ORG</t>
  </si>
  <si>
    <t>PAUL SUCHARITA MD</t>
  </si>
  <si>
    <t>MOJICA, WILFRIDO, MD</t>
  </si>
  <si>
    <t>E0072775</t>
  </si>
  <si>
    <t>MOJICA WILFRIDO</t>
  </si>
  <si>
    <t>WMOJICA@KALEIDAHEALTH.ORG</t>
  </si>
  <si>
    <t>LARGO, DONALD, MD</t>
  </si>
  <si>
    <t>E0186926</t>
  </si>
  <si>
    <t>DONALD J LARGO JR</t>
  </si>
  <si>
    <t>DLARGO2@KALEIDAHEALTH.ORG</t>
  </si>
  <si>
    <t>LARGO DONALD</t>
  </si>
  <si>
    <t>LARGO DONALD J JR</t>
  </si>
  <si>
    <t>LEE-KWEN, PETERKIN, MD</t>
  </si>
  <si>
    <t>E0127880</t>
  </si>
  <si>
    <t>LEE-KWEN PETERKIN MD</t>
  </si>
  <si>
    <t>LEE-KWEN PETERKIN</t>
  </si>
  <si>
    <t>(716) 712-0890</t>
  </si>
  <si>
    <t>849 ROUTES 5 &amp; 20</t>
  </si>
  <si>
    <t>SALERNO, KILIAN, MD</t>
  </si>
  <si>
    <t>E0040559</t>
  </si>
  <si>
    <t>SALERNO KILIAN E MD</t>
  </si>
  <si>
    <t>KMAY@KALEIDAHEALTH.ORG</t>
  </si>
  <si>
    <t>SALERNO KILIAN</t>
  </si>
  <si>
    <t>SALERNO KILIAN ELIZABETH</t>
  </si>
  <si>
    <t>MCCALLUM, MAUREEN, NP</t>
  </si>
  <si>
    <t>E0086793</t>
  </si>
  <si>
    <t>MURE MAUREEN ANN</t>
  </si>
  <si>
    <t>MCCALLUM, MAUREEN, ANP</t>
  </si>
  <si>
    <t>MMCCALLUM@KALEIDAHEALTH.ORG</t>
  </si>
  <si>
    <t>MCCALLUM MAUREEN</t>
  </si>
  <si>
    <t>MCCALLUM MAUREEN ANN</t>
  </si>
  <si>
    <t>CHERTACK, CRAIG, MD</t>
  </si>
  <si>
    <t>E0197283</t>
  </si>
  <si>
    <t>CHERTACK CRAIG S           MD</t>
  </si>
  <si>
    <t>CCHERTACK@KALEIDAHEALTH.ORG</t>
  </si>
  <si>
    <t>CHERTACK CRAIG</t>
  </si>
  <si>
    <t>PRASAD, DHEERENDRA, MD</t>
  </si>
  <si>
    <t>E0034263</t>
  </si>
  <si>
    <t>PRASAD DHEERENDRA MD</t>
  </si>
  <si>
    <t>DPRASAD@KALEIDAHEALTH.ORG</t>
  </si>
  <si>
    <t>PRASAD DHEERENDRA</t>
  </si>
  <si>
    <t>VERLENI, GUST, PA</t>
  </si>
  <si>
    <t>E0065906</t>
  </si>
  <si>
    <t>VERLENI GUST P RPA</t>
  </si>
  <si>
    <t>VERLENI GUST</t>
  </si>
  <si>
    <t>(716) 661-1583</t>
  </si>
  <si>
    <t>VERLENI GUST PINE</t>
  </si>
  <si>
    <t>LOGAN, RODNEY, MD</t>
  </si>
  <si>
    <t>E0233276</t>
  </si>
  <si>
    <t>LOGAN RODNEY D             MD</t>
  </si>
  <si>
    <t>(585) 237-3227</t>
  </si>
  <si>
    <t>LOGAN RODNEY MR.</t>
  </si>
  <si>
    <t>3 HANDLEY ST</t>
  </si>
  <si>
    <t>PERRY</t>
  </si>
  <si>
    <t>HABIB, FARZANA, MD</t>
  </si>
  <si>
    <t>E0020339</t>
  </si>
  <si>
    <t>FARZANA HABIB</t>
  </si>
  <si>
    <t>(716) 568-2155</t>
  </si>
  <si>
    <t>FHABIB@KALEIDAHEALTH.ORG</t>
  </si>
  <si>
    <t>HABIB FARZANA</t>
  </si>
  <si>
    <t>2590 WILLIAM ST</t>
  </si>
  <si>
    <t>KRZAN, JOHN, MD</t>
  </si>
  <si>
    <t>E0186271</t>
  </si>
  <si>
    <t>HAMBURG PEDIATRICS PC</t>
  </si>
  <si>
    <t>(716) 312-7400</t>
  </si>
  <si>
    <t>JKRZAN@KALEIDAHEALTH.ORG</t>
  </si>
  <si>
    <t>KRZAN JOHN</t>
  </si>
  <si>
    <t>KRZAN JOHN JOSEPH JR</t>
  </si>
  <si>
    <t>ORCHARD PK PED #A</t>
  </si>
  <si>
    <t>NAIK, ASHOK, MD</t>
  </si>
  <si>
    <t>E0231537</t>
  </si>
  <si>
    <t>NAIK ASHOK P               MD</t>
  </si>
  <si>
    <t>(585) 344-0871</t>
  </si>
  <si>
    <t>ANAIK@KALEIDAHEALTH.ORG</t>
  </si>
  <si>
    <t>NAIK ASHOK</t>
  </si>
  <si>
    <t>4156 W MAIN STREET RD</t>
  </si>
  <si>
    <t>NIEMIEC, EDWARD, MD</t>
  </si>
  <si>
    <t>E0209846</t>
  </si>
  <si>
    <t>NIEMIEC EDWARD ROBERT      MD</t>
  </si>
  <si>
    <t>(716) 833-5100</t>
  </si>
  <si>
    <t>ENIEMIEC@KALEIDAHEALTH.ORG</t>
  </si>
  <si>
    <t>NIEMIEC EDWARD DR.</t>
  </si>
  <si>
    <t>495 INTL DRIVE</t>
  </si>
  <si>
    <t>HUNTLEY, GARY, CRC</t>
  </si>
  <si>
    <t>HUNTLEYG@SHSWNY.ORG</t>
  </si>
  <si>
    <t>HUNTLEY GARY</t>
  </si>
  <si>
    <t>326 ORCHARD PARK RD, SPECTRUM HUMAN SERVICES</t>
  </si>
  <si>
    <t>MORRIS, ELIZABETH, LCSW0705</t>
  </si>
  <si>
    <t>E0358515</t>
  </si>
  <si>
    <t>MORRIS ELIZABETH A</t>
  </si>
  <si>
    <t>MORRIS, ELIZABETH, LCSW</t>
  </si>
  <si>
    <t>(716) 876-3996</t>
  </si>
  <si>
    <t>EMORRIS@CFSBNY.ORG</t>
  </si>
  <si>
    <t>MORRIS ELIZABETH MS.</t>
  </si>
  <si>
    <t>JOHN, CHRISTOPHER, PAC</t>
  </si>
  <si>
    <t>E0007996</t>
  </si>
  <si>
    <t>JOHN CHRISTOPHER PATRICK RPA</t>
  </si>
  <si>
    <t>JOHN CHRISTOPHER</t>
  </si>
  <si>
    <t>(716) 499-1466</t>
  </si>
  <si>
    <t>189 E MAIN ST</t>
  </si>
  <si>
    <t>FANTON, MELISSA, RPAC</t>
  </si>
  <si>
    <t>E0285149</t>
  </si>
  <si>
    <t>FANTON MELISSA MARY RPA</t>
  </si>
  <si>
    <t>(716) 592-3600</t>
  </si>
  <si>
    <t>FANTON MELISSA</t>
  </si>
  <si>
    <t>FANTON MELISSA MARY</t>
  </si>
  <si>
    <t>BOTZENHART, JANETTE, CASAC</t>
  </si>
  <si>
    <t>BOTZENHART,  JANETTE , SR COUNSELOR QHP</t>
  </si>
  <si>
    <t>BOTZENHART JANETTE MRS.</t>
  </si>
  <si>
    <t>LAJKO, JENNIFER, PA</t>
  </si>
  <si>
    <t>E0336164</t>
  </si>
  <si>
    <t>LAJKO JENNIFER</t>
  </si>
  <si>
    <t>(716) 282-1221</t>
  </si>
  <si>
    <t>LAJKO JENNIFER MS.</t>
  </si>
  <si>
    <t>2697 MAIN STREET</t>
  </si>
  <si>
    <t>MARINIDES, GEORGE, MD</t>
  </si>
  <si>
    <t>E0115759</t>
  </si>
  <si>
    <t>MARINIDES GEORGE N MD</t>
  </si>
  <si>
    <t>(716) 838-3188</t>
  </si>
  <si>
    <t>GMARINIDES@KALEIDAHEALTH.ORG</t>
  </si>
  <si>
    <t>MARINIDES GEORGE</t>
  </si>
  <si>
    <t>PEOPLE INC HCBS 13</t>
  </si>
  <si>
    <t>E0016288</t>
  </si>
  <si>
    <t>SCHOFIELD HM HEALTH CARE TBI</t>
  </si>
  <si>
    <t>E0010032</t>
  </si>
  <si>
    <t>JONES, GLENDA,</t>
  </si>
  <si>
    <t>E0439097</t>
  </si>
  <si>
    <t>JONES GLENDA GAIL</t>
  </si>
  <si>
    <t>JONES, GLENDA, NP</t>
  </si>
  <si>
    <t>(716) 491-1996</t>
  </si>
  <si>
    <t>GLENDA.JONES@FAMILYCHOICENY.COM</t>
  </si>
  <si>
    <t>JONES GLENDA MRS.</t>
  </si>
  <si>
    <t>ARORA, GAUTAM, MD</t>
  </si>
  <si>
    <t>E0337145</t>
  </si>
  <si>
    <t>ARORA GAUTAM</t>
  </si>
  <si>
    <t>ARORA GAUTAM DR.</t>
  </si>
  <si>
    <t>(716) 276-8375</t>
  </si>
  <si>
    <t>3775 SENECA STREET</t>
  </si>
  <si>
    <t>ARMSTRONG, MARY, CASAC</t>
  </si>
  <si>
    <t>ARMSTRONG MARY</t>
  </si>
  <si>
    <t>1526 WALDEN AVE, STE 400</t>
  </si>
  <si>
    <t>MATHEW, BOBBY, MBBS</t>
  </si>
  <si>
    <t>E0283285</t>
  </si>
  <si>
    <t>MATHEW BOBBY</t>
  </si>
  <si>
    <t>BMATHEW2@KALEIDAHEALTH.ORG</t>
  </si>
  <si>
    <t>219 BRYANT STREET</t>
  </si>
  <si>
    <t>REAMER, PAMELA,</t>
  </si>
  <si>
    <t>E0043665</t>
  </si>
  <si>
    <t>REAMER PAMELA J NP</t>
  </si>
  <si>
    <t>(585) 798-3345</t>
  </si>
  <si>
    <t>REAMER PAMELA</t>
  </si>
  <si>
    <t>BAJWA, RAJINDER, MD</t>
  </si>
  <si>
    <t>E0354673</t>
  </si>
  <si>
    <t>BAJWA RAJINDER PAL SINGH</t>
  </si>
  <si>
    <t>BAJWA RAJINDER DR.</t>
  </si>
  <si>
    <t>621 10TH ST STE 704</t>
  </si>
  <si>
    <t>MOCHRIE, TIMOTHY, BSW</t>
  </si>
  <si>
    <t>MOCHRIE TIMOTHY</t>
  </si>
  <si>
    <t>ECKERT, LINDA, LCSWR</t>
  </si>
  <si>
    <t>ECKERT,  LINDA, LCSW-R</t>
  </si>
  <si>
    <t>LECKERT@CATSWNY.ORG</t>
  </si>
  <si>
    <t>ECKERT LINDA</t>
  </si>
  <si>
    <t>MOHR, GEOFFREY,</t>
  </si>
  <si>
    <t>MOHR,  GEOFFREY, SR COUNSELOR QHP</t>
  </si>
  <si>
    <t>MOHR GEOFFREY</t>
  </si>
  <si>
    <t>STURNIOLO, ANDREA, PA</t>
  </si>
  <si>
    <t>E0339255</t>
  </si>
  <si>
    <t>ANDREA STURNIOLO PA</t>
  </si>
  <si>
    <t>ASTURNIOLO@KALEIDAHEALTH.ORG</t>
  </si>
  <si>
    <t>CASTONGUAY ANDREA</t>
  </si>
  <si>
    <t>CASTONGUAY ANDREA RPA</t>
  </si>
  <si>
    <t>4949 HARLEM RD</t>
  </si>
  <si>
    <t>JURCZYNSKI, SARAH,</t>
  </si>
  <si>
    <t>PUNTURIERO, SARAH, LMSW</t>
  </si>
  <si>
    <t>SPUNTURIERO@CATSWNY.ORG</t>
  </si>
  <si>
    <t>JURCZYNSKI SARAH</t>
  </si>
  <si>
    <t>PALMER, BRIANA, LMSW</t>
  </si>
  <si>
    <t>E0373214</t>
  </si>
  <si>
    <t>PALMER BRIANA</t>
  </si>
  <si>
    <t>POSTLE, BRIANA, LMSW</t>
  </si>
  <si>
    <t>PALMPOST02@GMAIL.COM</t>
  </si>
  <si>
    <t>BROOKS-DEVLIN, TERRY JO, NPP</t>
  </si>
  <si>
    <t>E0381774</t>
  </si>
  <si>
    <t>BROOKS-DEVLIN TERRY JO</t>
  </si>
  <si>
    <t>BROOKS, TERRY JO, NP</t>
  </si>
  <si>
    <t>(716) 861-2749</t>
  </si>
  <si>
    <t>MASSUCCI, JOANNE, MD</t>
  </si>
  <si>
    <t>E0179149</t>
  </si>
  <si>
    <t>MASSUCCI JOANNE M MD</t>
  </si>
  <si>
    <t>JMASSUCCI@KALEIDAHEALTH.ORG</t>
  </si>
  <si>
    <t>MASSUCCI JOANNE</t>
  </si>
  <si>
    <t>GLICK, PHILIP, MD</t>
  </si>
  <si>
    <t>E0191455</t>
  </si>
  <si>
    <t>GLICK PHILIP LEON MD</t>
  </si>
  <si>
    <t>PGLICK@KALEIDAHEALTH.ORG</t>
  </si>
  <si>
    <t>GLICK PHILIP DR.</t>
  </si>
  <si>
    <t>PEDIATRIC SURG ASSOC</t>
  </si>
  <si>
    <t>LAWRENCE, LYNN, MD</t>
  </si>
  <si>
    <t>E0025447</t>
  </si>
  <si>
    <t>LAWRENCE LYNN</t>
  </si>
  <si>
    <t>NOUKLA, SHAHERA, MD</t>
  </si>
  <si>
    <t>E0062608</t>
  </si>
  <si>
    <t>NOUKLA SHAHERA AZMI MD</t>
  </si>
  <si>
    <t>(716) 689-0040</t>
  </si>
  <si>
    <t>SNOUKLA@KALEIDAHEALTH.ORG</t>
  </si>
  <si>
    <t>NOUKLA SHAHERA DR.</t>
  </si>
  <si>
    <t>BUFFALO MED GRP PC</t>
  </si>
  <si>
    <t>STERLING SURGICAL CENTER LLC</t>
  </si>
  <si>
    <t>E0070965</t>
  </si>
  <si>
    <t>HAWS, BRIANNA, CRNA</t>
  </si>
  <si>
    <t>(716) 712-0600</t>
  </si>
  <si>
    <t>BHAWS@KALEIDAHEALTH.ORG</t>
  </si>
  <si>
    <t>STERLING SURGICAL CENTER, LLC</t>
  </si>
  <si>
    <t>303 STERLING DR</t>
  </si>
  <si>
    <t>CURRAN, RICHARD, MD</t>
  </si>
  <si>
    <t>E0227223</t>
  </si>
  <si>
    <t>CURRAN RICHARD RUSSELL</t>
  </si>
  <si>
    <t>CURRAN RICHARD DR.</t>
  </si>
  <si>
    <t>E J MEYER MEMORIAL</t>
  </si>
  <si>
    <t>GONDA, CHERYL, CNP</t>
  </si>
  <si>
    <t>E0004281</t>
  </si>
  <si>
    <t>GONDA CHERYL LOUISE</t>
  </si>
  <si>
    <t>GONDA, CHERYL, WNP</t>
  </si>
  <si>
    <t>(716) 878-7737</t>
  </si>
  <si>
    <t>CGONDA@KALEIDAHEALTH.ORG</t>
  </si>
  <si>
    <t>GONDA CHERYL MRS.</t>
  </si>
  <si>
    <t>SIEMINSKI, SANDRA, MD</t>
  </si>
  <si>
    <t>E0306083</t>
  </si>
  <si>
    <t>FERNANDO SANDRA MARY</t>
  </si>
  <si>
    <t>(716) 408-6906</t>
  </si>
  <si>
    <t>SSIEMINSKI@KALEIDAHEALTH.ORG</t>
  </si>
  <si>
    <t>SIEMINSKI SANDRA</t>
  </si>
  <si>
    <t>SIEMINSKI SANDRA MARY</t>
  </si>
  <si>
    <t>1176 MAIN ST</t>
  </si>
  <si>
    <t>SMITH, PATRICIA, NP</t>
  </si>
  <si>
    <t>E0008805</t>
  </si>
  <si>
    <t>SMITH PATRICIA</t>
  </si>
  <si>
    <t>SMITH, PATRICIA, ANP</t>
  </si>
  <si>
    <t>PSMITH2@KALEIDAHEALTH.ORG</t>
  </si>
  <si>
    <t>ATTUWAYBI, BASHIR, MD</t>
  </si>
  <si>
    <t>E0297200</t>
  </si>
  <si>
    <t>ATTUWAYBI BASHIR</t>
  </si>
  <si>
    <t>BATTUWAYBI@KALEIDAHEALTH.ORG</t>
  </si>
  <si>
    <t>ATTUWAYBI BASHIR OMAR</t>
  </si>
  <si>
    <t>WHITEHEAD, AMANDA, FNP</t>
  </si>
  <si>
    <t>E0399849</t>
  </si>
  <si>
    <t>WHITEHEAD AMANDA</t>
  </si>
  <si>
    <t>AWHITEHEAD@KALEIDAHEALTH.ORG</t>
  </si>
  <si>
    <t>KEYSTONE MEDICAL SERVICES OF NIAGARA FALLS PC</t>
  </si>
  <si>
    <t>E0342079</t>
  </si>
  <si>
    <t>KEYSTONE MEDICAL SERVICES OF NIAGAR</t>
  </si>
  <si>
    <t>AMINA KIRKMAN</t>
  </si>
  <si>
    <t>GRATES SCIARRINO, ALEXIS, MD</t>
  </si>
  <si>
    <t>E0387497</t>
  </si>
  <si>
    <t>GRATES SCIARRINO ALEXIS ANNE</t>
  </si>
  <si>
    <t>AGRATES@KALEIDAHEALTH.ORG</t>
  </si>
  <si>
    <t>GRATES SCIARRINO ALEXIS DR.</t>
  </si>
  <si>
    <t>5965 TRANSIT RD</t>
  </si>
  <si>
    <t>FLINT, JESSICA, PAC</t>
  </si>
  <si>
    <t>E0311710</t>
  </si>
  <si>
    <t>FLINT JESSICA MARIE</t>
  </si>
  <si>
    <t>FLINT, JESSICA, PA</t>
  </si>
  <si>
    <t>JFLINT@KALEIDAHEALTH.ORG</t>
  </si>
  <si>
    <t>FLINT JESSICA</t>
  </si>
  <si>
    <t>MEKELBURG, KATHERINE, PA</t>
  </si>
  <si>
    <t>E0390910</t>
  </si>
  <si>
    <t>MEKELBURG KATHERINE</t>
  </si>
  <si>
    <t>MEKELBURG KATHERINE ALESSA</t>
  </si>
  <si>
    <t>PATERNOSTRO, CRISTINA,</t>
  </si>
  <si>
    <t>PATERNOSTRO,  CRISTINA, COUNSELOR III</t>
  </si>
  <si>
    <t>PATERNOSTRO CRISTINA</t>
  </si>
  <si>
    <t>WELCH, LEAH,</t>
  </si>
  <si>
    <t>WELCH, LEAH, MSW</t>
  </si>
  <si>
    <t>LWELCH@CATSWNY.ORG</t>
  </si>
  <si>
    <t>WELCH LEAH</t>
  </si>
  <si>
    <t>HEINLEN, STEPHANIE, MD</t>
  </si>
  <si>
    <t>E0049063</t>
  </si>
  <si>
    <t>HEINLEN STEPHANIE S MD</t>
  </si>
  <si>
    <t>SHEINLEN@KALEIDAHEALTH.ORG</t>
  </si>
  <si>
    <t>HEINLEN STEPHANIE DR.</t>
  </si>
  <si>
    <t>5 MOBILE INFIRMARY CIR # C</t>
  </si>
  <si>
    <t>MOBILE</t>
  </si>
  <si>
    <t>AL</t>
  </si>
  <si>
    <t>RUDOLPH, MARY, NP</t>
  </si>
  <si>
    <t>CHARLES, RICHARD, MD</t>
  </si>
  <si>
    <t>RCHARLES@KALEIDAHEALTH.ORG</t>
  </si>
  <si>
    <t>RUDOLPH MARY</t>
  </si>
  <si>
    <t>321 MIDDLEFIELD RD</t>
  </si>
  <si>
    <t>MENLO PARK</t>
  </si>
  <si>
    <t>CA</t>
  </si>
  <si>
    <t>BERENJI, FARID, MD</t>
  </si>
  <si>
    <t>E0041239</t>
  </si>
  <si>
    <t>BERENJI FARID MD</t>
  </si>
  <si>
    <t>FBERENJI@KALEIDAHEALTH.ORG</t>
  </si>
  <si>
    <t>BERENJI FARID DR.</t>
  </si>
  <si>
    <t>DEPT MEDICINE</t>
  </si>
  <si>
    <t>FAN, LIANG, MD</t>
  </si>
  <si>
    <t>E0058791</t>
  </si>
  <si>
    <t>FAN LIANG MD</t>
  </si>
  <si>
    <t>LFAN@KALEIDAHEALTH.ORG</t>
  </si>
  <si>
    <t>FAN LIANG</t>
  </si>
  <si>
    <t>NUESSLE, GREGG, LCSWR</t>
  </si>
  <si>
    <t>E0434958</t>
  </si>
  <si>
    <t>NUESSLE GREGG</t>
  </si>
  <si>
    <t>3959 N BUFFALO ST</t>
  </si>
  <si>
    <t>HART, CAITLIN, PAC</t>
  </si>
  <si>
    <t>E0388416</t>
  </si>
  <si>
    <t>CAITLIN MARY HART</t>
  </si>
  <si>
    <t>HART, CAITLIN, PA</t>
  </si>
  <si>
    <t>(716) 713-0736</t>
  </si>
  <si>
    <t>CHART2@KALEIDAHEALTH.ORG</t>
  </si>
  <si>
    <t>HART CAITLIN</t>
  </si>
  <si>
    <t>HART CAITLIN MARY</t>
  </si>
  <si>
    <t>SLOPKA, MARY SUSAN, ANP</t>
  </si>
  <si>
    <t>E0128478</t>
  </si>
  <si>
    <t>SLOPKA MARY SUSAN</t>
  </si>
  <si>
    <t>SLOPKA, MARY, ANP</t>
  </si>
  <si>
    <t>MSLOPKA@KALEIDAHEALTH.ORG</t>
  </si>
  <si>
    <t>SLOPKA MARY SUSAN MRS.</t>
  </si>
  <si>
    <t>ELDER MED SVCS</t>
  </si>
  <si>
    <t>DAVISON, GAVIN, MD</t>
  </si>
  <si>
    <t>E0389753</t>
  </si>
  <si>
    <t>DAVISON GAVIN MICHAEL</t>
  </si>
  <si>
    <t>GDAVISON@KALEIDAHEALTH.ORG</t>
  </si>
  <si>
    <t>DAVISON GAVIN DR.</t>
  </si>
  <si>
    <t>100 HIGH ST # D3</t>
  </si>
  <si>
    <t>SAHR, COURTNEY,</t>
  </si>
  <si>
    <t>POLKA, COURTNEY, SENIOR COUNSELOR - HV</t>
  </si>
  <si>
    <t>SAHR COURTNEY</t>
  </si>
  <si>
    <t>E0339484</t>
  </si>
  <si>
    <t>3287 NIAGARA FALLS BLVD UNIT 2</t>
  </si>
  <si>
    <t>COULTER,  ALICIA, SR COUNSELOR LICENSED</t>
  </si>
  <si>
    <t>E0427741</t>
  </si>
  <si>
    <t>COULTER ALICIA MARIE</t>
  </si>
  <si>
    <t>COULTER ALICIA</t>
  </si>
  <si>
    <t>2157 MAIN ST STE 100</t>
  </si>
  <si>
    <t>COMPLETE SENIOR CARE</t>
  </si>
  <si>
    <t>E0425795</t>
  </si>
  <si>
    <t>COMPLETE SENIOR CARE INC</t>
  </si>
  <si>
    <t>Marti L. Brotka, NP</t>
  </si>
  <si>
    <t>E0335684</t>
  </si>
  <si>
    <t>BROTKA MARTI LANGE</t>
  </si>
  <si>
    <t>(716) 376-2410</t>
  </si>
  <si>
    <t>BROTKA MARTI</t>
  </si>
  <si>
    <t>PERRY, GREGORY, MD</t>
  </si>
  <si>
    <t>E0353070</t>
  </si>
  <si>
    <t>PERRY GREGORY COLLIN</t>
  </si>
  <si>
    <t>(716) 713-5931</t>
  </si>
  <si>
    <t>GPERRY@KALEIDAHEALTH.ORG</t>
  </si>
  <si>
    <t>PERRY GREGORY DR.</t>
  </si>
  <si>
    <t>RAJA, QURATUL, MD</t>
  </si>
  <si>
    <t>E0353904</t>
  </si>
  <si>
    <t>RAJA QURATUL AIN</t>
  </si>
  <si>
    <t>RAJA, QURATUL,</t>
  </si>
  <si>
    <t>RAJA QURATUL DR.</t>
  </si>
  <si>
    <t>504 CENTRAL AVE</t>
  </si>
  <si>
    <t>TRENCHARD, JENNIFER,</t>
  </si>
  <si>
    <t>TRENCHARD, JENNIFER, LMSW</t>
  </si>
  <si>
    <t>DALIMONTE JENNIFER MRS.</t>
  </si>
  <si>
    <t>SALEMI, ADAM,</t>
  </si>
  <si>
    <t>(716) 242-9932</t>
  </si>
  <si>
    <t>SALEMI ADAM</t>
  </si>
  <si>
    <t>SKROBACZ, ANN, PHYSICIAN</t>
  </si>
  <si>
    <t>E0386740</t>
  </si>
  <si>
    <t>SKROBACZ ANN ELIZABETH</t>
  </si>
  <si>
    <t>SKROBACZ, ANN, PA</t>
  </si>
  <si>
    <t>(716) 244-2427</t>
  </si>
  <si>
    <t>ASKROBACZ@KALEIDAHEALTH.ORG</t>
  </si>
  <si>
    <t>SKROBACZ ANN MS.</t>
  </si>
  <si>
    <t>SHIELDS, EMILY,</t>
  </si>
  <si>
    <t>SHIELDS,  EMILY, COUNSELOR III</t>
  </si>
  <si>
    <t>SHIELDS EMILY</t>
  </si>
  <si>
    <t>3020 BAILEY AVE, FL 2</t>
  </si>
  <si>
    <t>SAMADI, DILARA, M</t>
  </si>
  <si>
    <t>E0143205</t>
  </si>
  <si>
    <t>SAMADI DILARA E MD</t>
  </si>
  <si>
    <t>SAMADI, DILARA, MD</t>
  </si>
  <si>
    <t>DSAMADI@KALEIDAHEALTH.ORG</t>
  </si>
  <si>
    <t>SAMADI DILARA DR.</t>
  </si>
  <si>
    <t>BENNETT, RICHARD, MD</t>
  </si>
  <si>
    <t>E0126472</t>
  </si>
  <si>
    <t>BENNETT RICHARD GORDON MD</t>
  </si>
  <si>
    <t>RBENNETT@KALEIDAHEALTH.ORG</t>
  </si>
  <si>
    <t>BENNETT RICHARD DR.</t>
  </si>
  <si>
    <t>BENNETT RICHARD GORDON</t>
  </si>
  <si>
    <t>4535 SOUTHWESTERN BLVD STE 704</t>
  </si>
  <si>
    <t>KILIAN, MELISSA, NP</t>
  </si>
  <si>
    <t>E0290167</t>
  </si>
  <si>
    <t>KILIAN MELISSA LYN NP</t>
  </si>
  <si>
    <t>KILIAN, MELISSA, FNP</t>
  </si>
  <si>
    <t>MKILIAN@KALEIDAHEALTH.ORG</t>
  </si>
  <si>
    <t>KILIAN MELISSA MS.</t>
  </si>
  <si>
    <t>KILIAN MELISSA LYN</t>
  </si>
  <si>
    <t>BUCK, STEVEN, MD</t>
  </si>
  <si>
    <t>E0239563</t>
  </si>
  <si>
    <t>BUCK STEVEN H MD</t>
  </si>
  <si>
    <t>SBUCK@KALEIDAHEALTH.ORG</t>
  </si>
  <si>
    <t>BUCK STEVEN DR.</t>
  </si>
  <si>
    <t>MCALOON, MARGARET, MD</t>
  </si>
  <si>
    <t>E0233381</t>
  </si>
  <si>
    <t>MCALOON MARGARET HONORA    MD</t>
  </si>
  <si>
    <t>(716) 878-7655</t>
  </si>
  <si>
    <t>MMCALOON@KALEIDAHEALTH.ORG</t>
  </si>
  <si>
    <t>MCALOON MARGARET</t>
  </si>
  <si>
    <t>MCALOON MARGARET HONORA</t>
  </si>
  <si>
    <t>PENVOSE-YI, JAN, MD</t>
  </si>
  <si>
    <t>E0022182</t>
  </si>
  <si>
    <t>PENVOSE-YI JAN RUTH MD</t>
  </si>
  <si>
    <t>PENVOSE-YI JAN</t>
  </si>
  <si>
    <t>1360 N FOREST RD STE 102</t>
  </si>
  <si>
    <t>PANAHON, NORMA,</t>
  </si>
  <si>
    <t>E0229003</t>
  </si>
  <si>
    <t>PANAHON NORMA C            MD</t>
  </si>
  <si>
    <t>PANAHON, NORMA, MD</t>
  </si>
  <si>
    <t>PANAHON NORMA</t>
  </si>
  <si>
    <t>PANAHON NORMA C</t>
  </si>
  <si>
    <t>E0199806</t>
  </si>
  <si>
    <t>CHAUTAUQUA ARC RSRC CHANDLER</t>
  </si>
  <si>
    <t>(716) 661-1412</t>
  </si>
  <si>
    <t>RSRC CTR CHANDLER ST</t>
  </si>
  <si>
    <t>SPERRY, TASHIA, PAC</t>
  </si>
  <si>
    <t>SPERRY, TASHIA, PA</t>
  </si>
  <si>
    <t>TSPERRY@KALEIDAHEALTH.ORG</t>
  </si>
  <si>
    <t>SPERRY TASHIA MS.</t>
  </si>
  <si>
    <t>3980 SHERIDAN DR, BUILDING A</t>
  </si>
  <si>
    <t>JERICHO ROAD MINISTRIES</t>
  </si>
  <si>
    <t>E0379121</t>
  </si>
  <si>
    <t>BRETT LAWTON</t>
  </si>
  <si>
    <t>BRETT.LAWTON@JRCHC.ORG</t>
  </si>
  <si>
    <t>JERICHO ROAD MINISTRIES INC</t>
  </si>
  <si>
    <t>1609 GENESEE ST</t>
  </si>
  <si>
    <t>CAMM, CAROLYN, LMSW</t>
  </si>
  <si>
    <t>(716) 816-2445</t>
  </si>
  <si>
    <t>CAROLYN.E.CAMM@OMH.NY.GOV</t>
  </si>
  <si>
    <t>CAMM CAROLYN MS.</t>
  </si>
  <si>
    <t>ASHTON, NICOLE,</t>
  </si>
  <si>
    <t>ASHTON, NICOLE, LMSW-P</t>
  </si>
  <si>
    <t>ASHTONN@SHSWNY.ORG</t>
  </si>
  <si>
    <t>ASHTON NICOLE</t>
  </si>
  <si>
    <t>RASSMAN, JEFFREY, RPAC</t>
  </si>
  <si>
    <t>E0037555</t>
  </si>
  <si>
    <t>RASSMAN JEFFREY S RPA</t>
  </si>
  <si>
    <t>RASSMAN, JEFFREY, PA</t>
  </si>
  <si>
    <t>JRASSMAN@KALEIDAHEALTH.ORG</t>
  </si>
  <si>
    <t>RASSMAN JEFFREY MR.</t>
  </si>
  <si>
    <t>CONTI, DAVID, MD</t>
  </si>
  <si>
    <t>E0229134</t>
  </si>
  <si>
    <t>CONTI DAVID R              MD</t>
  </si>
  <si>
    <t>(716) 631-8046</t>
  </si>
  <si>
    <t>DCONTI@KALEIDAHEALTH.ORG</t>
  </si>
  <si>
    <t>CONTI DAVID DR.</t>
  </si>
  <si>
    <t>CONTI DAVID R</t>
  </si>
  <si>
    <t>LEE, KAREN, FNP</t>
  </si>
  <si>
    <t>E0022531</t>
  </si>
  <si>
    <t>LEE KAREN J NP</t>
  </si>
  <si>
    <t>(716) 834-9486</t>
  </si>
  <si>
    <t>KLEE2@KALEIDAHEALTH.ORG</t>
  </si>
  <si>
    <t>LEE KAREN</t>
  </si>
  <si>
    <t>539 CLEVELAND DR</t>
  </si>
  <si>
    <t>EBLING, NANCY, DO</t>
  </si>
  <si>
    <t>E0081351</t>
  </si>
  <si>
    <t>EBLING NANCY C DO</t>
  </si>
  <si>
    <t>EBLING NANCY</t>
  </si>
  <si>
    <t>YALE, SANDRA, DO</t>
  </si>
  <si>
    <t>E0174558</t>
  </si>
  <si>
    <t>YALE SANDRA D  DO</t>
  </si>
  <si>
    <t>SYALE@KALEIDAHEALTH.ORG</t>
  </si>
  <si>
    <t>YALE SANDRA</t>
  </si>
  <si>
    <t>ECMC OFF</t>
  </si>
  <si>
    <t>SMOLINSKI, ROBERT, MD</t>
  </si>
  <si>
    <t>E0175419</t>
  </si>
  <si>
    <t>SMOLINSKI ROBERT J  MD</t>
  </si>
  <si>
    <t>RSMOLINSKI@KALEIDAHEALTH.ORG</t>
  </si>
  <si>
    <t>SMOLINSKI ROBERT</t>
  </si>
  <si>
    <t>SPORTS MEDICINE INST</t>
  </si>
  <si>
    <t>WELLS, THEODORE, MD</t>
  </si>
  <si>
    <t>E0122826</t>
  </si>
  <si>
    <t>WELLS GASTROENTEROLOGY LLP</t>
  </si>
  <si>
    <t>(716) 834-6152</t>
  </si>
  <si>
    <t>TWELLS2@KALEIDAHEALTH.ORG</t>
  </si>
  <si>
    <t>WELLS THEODORE</t>
  </si>
  <si>
    <t>KRUTCHICK, KAREN, MD</t>
  </si>
  <si>
    <t>E0139209</t>
  </si>
  <si>
    <t>KRUTCHICK KAREN LYN MD</t>
  </si>
  <si>
    <t>(716) 675-7376</t>
  </si>
  <si>
    <t>KKRUTCHICK@KALEIDAHEALTH.ORG</t>
  </si>
  <si>
    <t>KRUTCHICK KAREN</t>
  </si>
  <si>
    <t>KRUTCHICK KAREN LYN</t>
  </si>
  <si>
    <t>NOE, MICHAEL, MD</t>
  </si>
  <si>
    <t>E0223882</t>
  </si>
  <si>
    <t>NOE MICHAEL F              MD</t>
  </si>
  <si>
    <t>(716) 829-6941</t>
  </si>
  <si>
    <t>MNOE@KALEIDAHEALTH.ORG</t>
  </si>
  <si>
    <t>NOE MICHAEL</t>
  </si>
  <si>
    <t>DIVISION OF GERATRIC</t>
  </si>
  <si>
    <t>CORASANTI, JAMES, MDPHD</t>
  </si>
  <si>
    <t>E0187535</t>
  </si>
  <si>
    <t>CORASANTI JAMES G MD</t>
  </si>
  <si>
    <t>CORASANTI, JAMES, MD</t>
  </si>
  <si>
    <t>(716) 677-4414</t>
  </si>
  <si>
    <t>JCORASANTI@KALEIDAHEALTH.ORG</t>
  </si>
  <si>
    <t>CORASANTI JAMES DR.</t>
  </si>
  <si>
    <t>CORASANTI JAMES GERARD</t>
  </si>
  <si>
    <t>COLLINS, KERRY, LMHC</t>
  </si>
  <si>
    <t>KERRY.COLLINS@NIAGARACOUNTY.COM</t>
  </si>
  <si>
    <t>COLLINS KERRY MRS.</t>
  </si>
  <si>
    <t>5467 UPPER MOUNTAIN RD</t>
  </si>
  <si>
    <t>SCHREGEL, KRISTIN, FNP</t>
  </si>
  <si>
    <t>E0338156</t>
  </si>
  <si>
    <t>SCHREGEL KRISTIN D</t>
  </si>
  <si>
    <t>SCHREGEL KRISTIN MISS</t>
  </si>
  <si>
    <t>(716) 923-4380</t>
  </si>
  <si>
    <t>RASALINGAM, SHIVANI, MD</t>
  </si>
  <si>
    <t>E0340480</t>
  </si>
  <si>
    <t>RASALINGAM SHIVANI</t>
  </si>
  <si>
    <t>SRASALINGAM@KALEIDAHEALTH.ORG</t>
  </si>
  <si>
    <t>DUBOIS, SHERITA,</t>
  </si>
  <si>
    <t>DUBOIS, SHERITA, CRNA</t>
  </si>
  <si>
    <t>SPARMER@KALEIDAHEALTH.ORG</t>
  </si>
  <si>
    <t>DUBOIS SHERITA</t>
  </si>
  <si>
    <t>OWCZARZAK, KATHERINE, RN</t>
  </si>
  <si>
    <t>E0342843</t>
  </si>
  <si>
    <t>OWCZARZAK KATHERINE</t>
  </si>
  <si>
    <t>OWCZARAK, KATHERINE, RN</t>
  </si>
  <si>
    <t>OWCZARAKK@SHSWNY.ORG</t>
  </si>
  <si>
    <t>DONNELLY, MEGAN, PA</t>
  </si>
  <si>
    <t>E0313366</t>
  </si>
  <si>
    <t>DONNELLY MEGAN CHRISTINA</t>
  </si>
  <si>
    <t>MDONNELLY@KALEIDAHEALTH.ORG</t>
  </si>
  <si>
    <t>DONNELLY MEGAN</t>
  </si>
  <si>
    <t>SEYLER, TOBIE, RN</t>
  </si>
  <si>
    <t>TOBIE.SEYLER@NIAGARACOUNTY.COM</t>
  </si>
  <si>
    <t>SEYLER TOBIE MS.</t>
  </si>
  <si>
    <t>5467 UPPER MOUNTAIN RD, SUITE 200</t>
  </si>
  <si>
    <t>BUSLOVICH, STEVEN, MD</t>
  </si>
  <si>
    <t>E0384378</t>
  </si>
  <si>
    <t>BUSLOVICH STEVEN</t>
  </si>
  <si>
    <t>(212) 241-6500</t>
  </si>
  <si>
    <t>SBUSLOVICH@KALEIDAHEALTH.ORG</t>
  </si>
  <si>
    <t>BUSLOVICH STEVEN DR.</t>
  </si>
  <si>
    <t>1205 DELAWARE AVE</t>
  </si>
  <si>
    <t>NEW DIRECTIONS YOUTH &amp; FAMILY SERVICES INC</t>
  </si>
  <si>
    <t>E0263817</t>
  </si>
  <si>
    <t>NEW DIRECTIONS YOUTH &amp; FAMILY SVCS</t>
  </si>
  <si>
    <t>(716) 433-4487</t>
  </si>
  <si>
    <t>356 MAIN ST</t>
  </si>
  <si>
    <t>BHATIA, ASHISH, MD</t>
  </si>
  <si>
    <t>E0011731</t>
  </si>
  <si>
    <t>BHATIA ASHISH MD</t>
  </si>
  <si>
    <t>(716) 859-1400</t>
  </si>
  <si>
    <t>ABHATIA@KALEIDAHEALTH.ORG</t>
  </si>
  <si>
    <t>BHATIA ASHISH</t>
  </si>
  <si>
    <t>5225 SHERIDAN DR</t>
  </si>
  <si>
    <t>OSAWA, RYOSUKE, MD</t>
  </si>
  <si>
    <t>E0311096</t>
  </si>
  <si>
    <t>OSAWA RYOSUKE</t>
  </si>
  <si>
    <t>(716) 859-7224</t>
  </si>
  <si>
    <t>ROSAWA@KALEIDAHEALTH.ORG</t>
  </si>
  <si>
    <t>RIEDY, JOSEPH, DO</t>
  </si>
  <si>
    <t>E0309948</t>
  </si>
  <si>
    <t>RIEDY JOSEPH ANTHONY JR</t>
  </si>
  <si>
    <t>(716) 432-3353</t>
  </si>
  <si>
    <t>JRIEDY@KALEIDAHEALTH.ORG</t>
  </si>
  <si>
    <t>RIEDY JOSEPH DR.</t>
  </si>
  <si>
    <t>PUGH, JENNIFER, MD</t>
  </si>
  <si>
    <t>E0336018</t>
  </si>
  <si>
    <t>PUGH JENNIFER</t>
  </si>
  <si>
    <t>(412) 647-8283</t>
  </si>
  <si>
    <t>JPUGH@KALEIDAHEALTH.ORG</t>
  </si>
  <si>
    <t>PUGH JENNIFER DR.</t>
  </si>
  <si>
    <t>DOMINGUEZ, IVAN, MD</t>
  </si>
  <si>
    <t>E0335853</t>
  </si>
  <si>
    <t>DOMINGUEZ IVAN</t>
  </si>
  <si>
    <t>IDOMINGUEZ@KALEIDAHEALTH.ORG</t>
  </si>
  <si>
    <t>DOMINGUEZ IVAN DR.</t>
  </si>
  <si>
    <t>4600 MAIN ST STE 100</t>
  </si>
  <si>
    <t>PATEL, SUNIL, MD</t>
  </si>
  <si>
    <t>E0289281</t>
  </si>
  <si>
    <t>PATEL SUNIL KAMAL</t>
  </si>
  <si>
    <t>PATEL, SUNIL, MBBS</t>
  </si>
  <si>
    <t>(412) 513-9335</t>
  </si>
  <si>
    <t>SPATEL@KALEIDAHEALTH.ORG</t>
  </si>
  <si>
    <t>PATEL SUNIL DR.</t>
  </si>
  <si>
    <t>ZENT, JANNELL, FNP</t>
  </si>
  <si>
    <t>E0318675</t>
  </si>
  <si>
    <t>ZENT JANNELL LOUISA</t>
  </si>
  <si>
    <t>(215) 872-2911</t>
  </si>
  <si>
    <t>JZENT@KALEIDAHEALTH.ORG</t>
  </si>
  <si>
    <t>ZENT JANNELL MRS.</t>
  </si>
  <si>
    <t>SEANER, CHRISTINE, CRNA</t>
  </si>
  <si>
    <t>CSEANER@KALEIDAHEALTH.ORG</t>
  </si>
  <si>
    <t>SEANER CHRISTINE</t>
  </si>
  <si>
    <t>MCCANN, JENNIFER, NP</t>
  </si>
  <si>
    <t>E0013955</t>
  </si>
  <si>
    <t>MCCANN JENNIFER</t>
  </si>
  <si>
    <t>MCCANN, JENNIFER, WNP</t>
  </si>
  <si>
    <t>JMCCANN@KALEIDAHEALTH.ORG</t>
  </si>
  <si>
    <t>MCCANN JENNIFER MS.</t>
  </si>
  <si>
    <t>MCCANN JENNIFER LYNN RADICH NP</t>
  </si>
  <si>
    <t>100 COLLEGE PKWY STE 120</t>
  </si>
  <si>
    <t>MOSTERT, MARCELLE, MD</t>
  </si>
  <si>
    <t>E0159748</t>
  </si>
  <si>
    <t>MOSTERT MARCELLE A MD</t>
  </si>
  <si>
    <t>(716) 898-3255</t>
  </si>
  <si>
    <t>MOSTERTM@SHSWNY.ORG</t>
  </si>
  <si>
    <t>MOSTERT MARCELLE</t>
  </si>
  <si>
    <t>UNIV PSYCHIATRIC PRA</t>
  </si>
  <si>
    <t>QURESHI, MUHAMMAD, MD</t>
  </si>
  <si>
    <t>E0068527</t>
  </si>
  <si>
    <t>QURESHI MUHAMMAD ZAHID MD</t>
  </si>
  <si>
    <t>(318) 212-5665</t>
  </si>
  <si>
    <t>MQURESHI@KALEIDAHEALTH.ORG</t>
  </si>
  <si>
    <t>QURESHI MUHAMMAD DR.</t>
  </si>
  <si>
    <t>GIBBONS, WILLIAM, MD</t>
  </si>
  <si>
    <t>E0121868</t>
  </si>
  <si>
    <t>GIBBONS WILLIAM J</t>
  </si>
  <si>
    <t>(716) 859-2271</t>
  </si>
  <si>
    <t>WGIBBONS@KALEIDAHEALTH.ORG</t>
  </si>
  <si>
    <t>GIBBONS WILLIAM</t>
  </si>
  <si>
    <t>HAYES, CHERYL,</t>
  </si>
  <si>
    <t>E0107583</t>
  </si>
  <si>
    <t>HAYES CHERYL JUNE</t>
  </si>
  <si>
    <t>HAYES, CHERYL, WNP</t>
  </si>
  <si>
    <t>CHAYES@KALEIDAHEALTH.ORG</t>
  </si>
  <si>
    <t>HAYES CHERYL</t>
  </si>
  <si>
    <t>STE 500</t>
  </si>
  <si>
    <t>POTNICK, AARON, MD</t>
  </si>
  <si>
    <t>E0429870</t>
  </si>
  <si>
    <t>POTNICK AARON GREGORY</t>
  </si>
  <si>
    <t>(916) 716-3739</t>
  </si>
  <si>
    <t>APOTNICK@KALEIDAHEALTH.ORG</t>
  </si>
  <si>
    <t>POTNICK AARON</t>
  </si>
  <si>
    <t>967 N BROADWAY</t>
  </si>
  <si>
    <t>YONKERS</t>
  </si>
  <si>
    <t>CAPOZZI, STACIE, LMHC</t>
  </si>
  <si>
    <t>CAPOZZI,  STACIE, SR COUNSELOR LICENSED</t>
  </si>
  <si>
    <t>(716) 882-3151</t>
  </si>
  <si>
    <t>CAPOZZI STACIE</t>
  </si>
  <si>
    <t>625 DELAWARE AVE, SUITE 204</t>
  </si>
  <si>
    <t>E0267874</t>
  </si>
  <si>
    <t>ERIE COUNTY HOME</t>
  </si>
  <si>
    <t>JSANTIAGO</t>
  </si>
  <si>
    <t>All Other:: Nursing Home:: Pharmacy</t>
  </si>
  <si>
    <t>ERIE COUNTY MED CTR SNF</t>
  </si>
  <si>
    <t>SALCEDO, DANIEL, MD</t>
  </si>
  <si>
    <t>E0027964</t>
  </si>
  <si>
    <t>SALCEDO DANIEL MENESES MD</t>
  </si>
  <si>
    <t>(716) 505-1500</t>
  </si>
  <si>
    <t>DSALCEDO@KALEIDAHEALTH.ORG</t>
  </si>
  <si>
    <t>SALCEDO DANIEL</t>
  </si>
  <si>
    <t>BRAHMABHATT, VIKRAM, MD</t>
  </si>
  <si>
    <t>E0065923</t>
  </si>
  <si>
    <t>BRAHMABHATT VIKRAM N</t>
  </si>
  <si>
    <t>VBRAHMABHATT@KALEIDAHEALTH.ORG</t>
  </si>
  <si>
    <t>STE 202</t>
  </si>
  <si>
    <t>TROY</t>
  </si>
  <si>
    <t>SEEBALD, CATHLEEN, NP</t>
  </si>
  <si>
    <t>E0146626</t>
  </si>
  <si>
    <t>SEEBALD CATHLEEN A</t>
  </si>
  <si>
    <t>SEEBALD, CATHLEEN, ANP</t>
  </si>
  <si>
    <t>CSEEBALD@KALEIDAHEALTH.ORG</t>
  </si>
  <si>
    <t>SEEBALD CATHLEEN</t>
  </si>
  <si>
    <t>FRANCEMONE, CHARLES, MD</t>
  </si>
  <si>
    <t>E0215700</t>
  </si>
  <si>
    <t>FRANCEMONE CHARLES J       MD</t>
  </si>
  <si>
    <t>CFRANCEMONE@KALEIDAHEALTH.ORG</t>
  </si>
  <si>
    <t>FRANCEMONE CHARLES DR.</t>
  </si>
  <si>
    <t>FRANCEMONE CHARLES J</t>
  </si>
  <si>
    <t>MAPLEWOOD HEALTH CARE CENTER INC.</t>
  </si>
  <si>
    <t>(716) 681-9480</t>
  </si>
  <si>
    <t>FRIED, ALLYSON, PNP</t>
  </si>
  <si>
    <t>E0021636</t>
  </si>
  <si>
    <t>FRIED ALLYSON J NP</t>
  </si>
  <si>
    <t>AFRIED@KALEIDAHEALTH.ORG</t>
  </si>
  <si>
    <t>FRIED ALLYSON</t>
  </si>
  <si>
    <t>MERCHANT, SHEHZAD, MD</t>
  </si>
  <si>
    <t>E0018339</t>
  </si>
  <si>
    <t>MERCHANT SHEHZAD MD</t>
  </si>
  <si>
    <t>SMERCHANT@KALEIDAHEALTH.ORG</t>
  </si>
  <si>
    <t>MERCHANT SHEHZAD DR.</t>
  </si>
  <si>
    <t>RUBEN, CHERIE, PHD</t>
  </si>
  <si>
    <t>E0103221</t>
  </si>
  <si>
    <t>RUBEN CHERIE</t>
  </si>
  <si>
    <t>RUBEN, CHERIE, PH.D</t>
  </si>
  <si>
    <t>(716) 947-9993</t>
  </si>
  <si>
    <t>RUBEN CHERIE DR.</t>
  </si>
  <si>
    <t>RUBEN CHERIE B</t>
  </si>
  <si>
    <t>BELLES, WILLIAM, MD</t>
  </si>
  <si>
    <t>E0170462</t>
  </si>
  <si>
    <t>BELLES WILLIAM JOHN MD</t>
  </si>
  <si>
    <t>(716) 838-1100</t>
  </si>
  <si>
    <t>WBELLES@KALEIDAHEALTH.ORG</t>
  </si>
  <si>
    <t>BELLES WILLIAM DR.</t>
  </si>
  <si>
    <t>STE 154</t>
  </si>
  <si>
    <t>DEFRANCIS, ROY, DPM</t>
  </si>
  <si>
    <t>E0239460</t>
  </si>
  <si>
    <t>DEFRANCIS ROY DPM</t>
  </si>
  <si>
    <t>(716) 668-1610</t>
  </si>
  <si>
    <t>RDEFRANCIS@KALEIDAHEALTH.ORG</t>
  </si>
  <si>
    <t>DEFRANCIS ROY</t>
  </si>
  <si>
    <t>570 FRENCH RD</t>
  </si>
  <si>
    <t>Kathleen Kait NP</t>
  </si>
  <si>
    <t>E0049752</t>
  </si>
  <si>
    <t>KAIT KATHLEEN H</t>
  </si>
  <si>
    <t>KAIT KATHLEEN MRS.</t>
  </si>
  <si>
    <t>KAIT KATHLEEN HARRITY</t>
  </si>
  <si>
    <t>KENNETH L. GAYLES, M.D., P.C.</t>
  </si>
  <si>
    <t>(716) 895-1100</t>
  </si>
  <si>
    <t>HOFFMAN, KAREN, NP</t>
  </si>
  <si>
    <t>HOFFMAN, KAREN, FNP</t>
  </si>
  <si>
    <t>(716) 884-8358</t>
  </si>
  <si>
    <t>KHOFFMAN2@KALEIDAHEALTH.ORG</t>
  </si>
  <si>
    <t>HOFFMAN KAREN MS.</t>
  </si>
  <si>
    <t>FISHKIN, ZAIR, MDPHD</t>
  </si>
  <si>
    <t>E0298375</t>
  </si>
  <si>
    <t>FISHKIN ZAIR</t>
  </si>
  <si>
    <t>FISHKIN, ZAIR, MD</t>
  </si>
  <si>
    <t>ZFISHKIN@KALEIDAHEALTH.ORG</t>
  </si>
  <si>
    <t>FISHKIN ZAIR DR.</t>
  </si>
  <si>
    <t>700 MICHIGAN AVE</t>
  </si>
  <si>
    <t>MCCLURE DENTAL SERVICES</t>
  </si>
  <si>
    <t>(716) 886-1166</t>
  </si>
  <si>
    <t>844 W DELAVAN AVE</t>
  </si>
  <si>
    <t>PEERZADA, MAAJID, MD</t>
  </si>
  <si>
    <t>E0326183</t>
  </si>
  <si>
    <t>PEERZADA MAAJID M MD</t>
  </si>
  <si>
    <t>PEERZADA, MAAJID ,</t>
  </si>
  <si>
    <t>PEERZADA MAAJID DR.</t>
  </si>
  <si>
    <t>SILVESTRI, NICHOLAS, MD</t>
  </si>
  <si>
    <t>E0294664</t>
  </si>
  <si>
    <t>SILVESTRI NICHOLAS JOSEPH</t>
  </si>
  <si>
    <t>NSILVESTRI@KALEIDAHEALTH.ORG</t>
  </si>
  <si>
    <t>SILVESTRI NICHOLAS</t>
  </si>
  <si>
    <t>SILVESTRI NICHOLAS JOSEPH MD</t>
  </si>
  <si>
    <t>462 GRIDER STRET</t>
  </si>
  <si>
    <t>BROWN, MARY ELLEN, FNP</t>
  </si>
  <si>
    <t>E0000374</t>
  </si>
  <si>
    <t>MARY ELLEN BROWN</t>
  </si>
  <si>
    <t>MBROWN4@KALEIDAHEALTH.ORG</t>
  </si>
  <si>
    <t>BROWN MARY ELLEN</t>
  </si>
  <si>
    <t>273 DIVISION ST</t>
  </si>
  <si>
    <t>E0322165</t>
  </si>
  <si>
    <t>CHAUTAUQUA COUNTY CHAPTER OF NYSARC</t>
  </si>
  <si>
    <t>27A GIFFORD AVENUE</t>
  </si>
  <si>
    <t>CELORON</t>
  </si>
  <si>
    <t>JIMENEZ, RICARDO, LMHCCASA</t>
  </si>
  <si>
    <t>JIMENEZ, RICARDO, CASAC-T</t>
  </si>
  <si>
    <t>JIMENEZR@SHSWNY.ORG</t>
  </si>
  <si>
    <t>JIMENEZ RICHARD</t>
  </si>
  <si>
    <t>951 NIAGARA ST</t>
  </si>
  <si>
    <t>PERSAUD, AMANDA, MD</t>
  </si>
  <si>
    <t>E0346266</t>
  </si>
  <si>
    <t>PERSAUD AMANDA</t>
  </si>
  <si>
    <t>PERSAUD , AMANDA, MD</t>
  </si>
  <si>
    <t>(716) 316-3468</t>
  </si>
  <si>
    <t>APERSAUD@UPA.CHOB.EDU</t>
  </si>
  <si>
    <t>PERSAUD AMANDA MISS</t>
  </si>
  <si>
    <t>MARTIN, WILLIAM, PA</t>
  </si>
  <si>
    <t>E0339435</t>
  </si>
  <si>
    <t>MARTIN WILLIAM MATTHEW</t>
  </si>
  <si>
    <t>WMARTIN@KALEIDAHEALTH.ORG</t>
  </si>
  <si>
    <t>MARTIN WILLIAM</t>
  </si>
  <si>
    <t>DARGOUT, SHELLA, PA</t>
  </si>
  <si>
    <t>E0370623</t>
  </si>
  <si>
    <t>DARGOUT SHELIA</t>
  </si>
  <si>
    <t>(585) 944-6138</t>
  </si>
  <si>
    <t>SDARGOUT@KALEIDAHEALTH.ORG</t>
  </si>
  <si>
    <t>DARGOUT SHELLA</t>
  </si>
  <si>
    <t>SRIDHAR, NAGARAJA, MD</t>
  </si>
  <si>
    <t>E0139892</t>
  </si>
  <si>
    <t>SRIDHAR NAGARAJA R MD</t>
  </si>
  <si>
    <t>NSRIDHAR@KALEIDAHEALTH.ORG</t>
  </si>
  <si>
    <t>SRIDHAR NAGARAJA DR.</t>
  </si>
  <si>
    <t>CORCORAN, AMY, RPAC</t>
  </si>
  <si>
    <t>E0137282</t>
  </si>
  <si>
    <t>CORCORAN AMY L</t>
  </si>
  <si>
    <t>CORCORAN, AMY, PA</t>
  </si>
  <si>
    <t>ACORCORAN@KALEIDAHEALTH.ORG</t>
  </si>
  <si>
    <t>CORCORAN AMY MS.</t>
  </si>
  <si>
    <t>15 MELROY AVE</t>
  </si>
  <si>
    <t>COPLEY, DONALD, MD</t>
  </si>
  <si>
    <t>E0240683</t>
  </si>
  <si>
    <t>COPLEY DONALD PAUL         MD</t>
  </si>
  <si>
    <t>COPLEY, DONALD, MD, PC</t>
  </si>
  <si>
    <t>(716) 874-1772</t>
  </si>
  <si>
    <t>DCOPLEY@KALEIDAHEALTH.ORG</t>
  </si>
  <si>
    <t>COPLEY DONALD DR.</t>
  </si>
  <si>
    <t>BUFFALO GENERAL</t>
  </si>
  <si>
    <t>PYNE, CLIFFORD, NP</t>
  </si>
  <si>
    <t>E0302713</t>
  </si>
  <si>
    <t>PYNE CLIFFORD CHARLES</t>
  </si>
  <si>
    <t>PYNE, CLIFFORD, ACNP</t>
  </si>
  <si>
    <t>(757) 686-2336</t>
  </si>
  <si>
    <t>CPYNE@KALEIDAHEALTH.ORG</t>
  </si>
  <si>
    <t>PYNE CLIFFORD MR.</t>
  </si>
  <si>
    <t>POLECHETTI, KAREN, CRNA</t>
  </si>
  <si>
    <t>(716) 434-1979</t>
  </si>
  <si>
    <t>KPOLECHETTI@KALEIDAHEALTH.ORG</t>
  </si>
  <si>
    <t>POLECHETTI KAREN</t>
  </si>
  <si>
    <t>534 MAIN ST</t>
  </si>
  <si>
    <t>ZITZKA, WENDY, CNM</t>
  </si>
  <si>
    <t>E0103882</t>
  </si>
  <si>
    <t>ZITZKA WENDY ELAINE CNM</t>
  </si>
  <si>
    <t>(716) 712-0862</t>
  </si>
  <si>
    <t>W.ZITZKA@NWBCHCC.ORG</t>
  </si>
  <si>
    <t>All Other:: Pharmacy:: Practitioner - Non-Primary Care Provider (PCP)</t>
  </si>
  <si>
    <t>ZITZKA WENDY</t>
  </si>
  <si>
    <t>ZITZKA WENDY ELAINE</t>
  </si>
  <si>
    <t>WOMEN &amp; CHILDRENS HOSPITAL</t>
  </si>
  <si>
    <t>COSTICH, THEODORE, MD</t>
  </si>
  <si>
    <t>E0159298</t>
  </si>
  <si>
    <t>COSTICH THEODORE G MD</t>
  </si>
  <si>
    <t>(716) 631-1045</t>
  </si>
  <si>
    <t>TCOSTICH@KALEIDAHEALTH.ORG</t>
  </si>
  <si>
    <t>COSTICH THEODORE DR.</t>
  </si>
  <si>
    <t>POTEMPA, MICHELE, MD</t>
  </si>
  <si>
    <t>E0116829</t>
  </si>
  <si>
    <t>POTEMPA MICHELE A MD</t>
  </si>
  <si>
    <t>(716) 433-8751</t>
  </si>
  <si>
    <t>MPOTEMPA@KALEIDAHEALTH.ORG</t>
  </si>
  <si>
    <t>POTEMPA MICHELE DR.</t>
  </si>
  <si>
    <t>POTEMPA MICHELE ANN</t>
  </si>
  <si>
    <t>RINALDI, JAMES, MD</t>
  </si>
  <si>
    <t>E0044295</t>
  </si>
  <si>
    <t>RINALDI JAMES JUDE MD</t>
  </si>
  <si>
    <t>JRINALDI@KALEIDAHEALTH.ORG</t>
  </si>
  <si>
    <t>RINALDI JAMES DR.</t>
  </si>
  <si>
    <t>SMITH-BLACKWELL, OLIVIA, MD</t>
  </si>
  <si>
    <t>E0124604</t>
  </si>
  <si>
    <t>SMITH BLACKWELL OLIVIA MD</t>
  </si>
  <si>
    <t>SMITH-BLACKWELL, OLIVIA, MD, MPH</t>
  </si>
  <si>
    <t>(716) 693-0118</t>
  </si>
  <si>
    <t>OSMITHBLACKWELL@KALEIDAHEALTH.ORG</t>
  </si>
  <si>
    <t>SMITH-BLACKWELL OLIVIA</t>
  </si>
  <si>
    <t>STE 2</t>
  </si>
  <si>
    <t>ROTTA, ALEXANDRE, MD</t>
  </si>
  <si>
    <t>AROTTA@KALEIDAHEALTH.ORG</t>
  </si>
  <si>
    <t>ROTTA ALEXANDRE DR.</t>
  </si>
  <si>
    <t>11100 EUCLID AVE</t>
  </si>
  <si>
    <t>CLEVELAND</t>
  </si>
  <si>
    <t>OH</t>
  </si>
  <si>
    <t>ROETZER, GLORIA, MD</t>
  </si>
  <si>
    <t>E0125320</t>
  </si>
  <si>
    <t>ROETZER GLORIA MARIA</t>
  </si>
  <si>
    <t>GROETZER@KALEIDAHEALTH.ORG</t>
  </si>
  <si>
    <t>ROETZER GLORIA DR.</t>
  </si>
  <si>
    <t>ELLIOTT, FREDERICK, MD</t>
  </si>
  <si>
    <t>E0031536</t>
  </si>
  <si>
    <t>ELLIOTT FREDERICK M MD</t>
  </si>
  <si>
    <t>(716) 768-2006</t>
  </si>
  <si>
    <t>ELLIOTT FREDERICK DR.</t>
  </si>
  <si>
    <t>TURECKI, JAMES, MD</t>
  </si>
  <si>
    <t>E0106480</t>
  </si>
  <si>
    <t>TURECKI JAMES A MD</t>
  </si>
  <si>
    <t>JTURECKI@KALEIDAHEALTH.ORG</t>
  </si>
  <si>
    <t>TURECKI JAMES DR.</t>
  </si>
  <si>
    <t>JARVIS, JAMES, MD</t>
  </si>
  <si>
    <t>E0341498</t>
  </si>
  <si>
    <t>JARVIS JAMES</t>
  </si>
  <si>
    <t>JARVIS , JAMES, MD</t>
  </si>
  <si>
    <t>JJARVIS@UPA.CHOB.EDU</t>
  </si>
  <si>
    <t>WONG, WILLIAM, MD</t>
  </si>
  <si>
    <t>E0031220</t>
  </si>
  <si>
    <t>WONG WILLIAM JOSEPH MD</t>
  </si>
  <si>
    <t>WWONG@KALEIDAHEALTH.ORG</t>
  </si>
  <si>
    <t>WONG WILLIAM DR.</t>
  </si>
  <si>
    <t>ULLMAN, LORI, MD</t>
  </si>
  <si>
    <t>E0095139</t>
  </si>
  <si>
    <t>ULLMAN LORI MD</t>
  </si>
  <si>
    <t>LULLMAN@KALEIDAHEALTH.ORG</t>
  </si>
  <si>
    <t>ULLMAN LORI DR.</t>
  </si>
  <si>
    <t>BHANGOO, KULWANT, MD</t>
  </si>
  <si>
    <t>E0235168</t>
  </si>
  <si>
    <t>BHANGOO KULWANT SINGH      MD</t>
  </si>
  <si>
    <t>(716) 826-4800</t>
  </si>
  <si>
    <t>KBHANGOO@KALEIDAHEALTH.ORG</t>
  </si>
  <si>
    <t>BHANGOO KULWANT</t>
  </si>
  <si>
    <t>4 CAZENOVIA ST</t>
  </si>
  <si>
    <t>GRANDE, JON, MD</t>
  </si>
  <si>
    <t>E0125303</t>
  </si>
  <si>
    <t>GRANDE JON WALTER MD</t>
  </si>
  <si>
    <t>JGRANDE@KALEIDAHEALTH.ORG</t>
  </si>
  <si>
    <t>GRANDE JON DR.</t>
  </si>
  <si>
    <t>KILBURY, LUCINDA, PA</t>
  </si>
  <si>
    <t>E0095612</t>
  </si>
  <si>
    <t>KILBURY LUCINDA B PA</t>
  </si>
  <si>
    <t>LKILBURY@KALEIDAHEALTH.ORG</t>
  </si>
  <si>
    <t>KILBURY LUCINDA</t>
  </si>
  <si>
    <t>BROWN, VINETTE, BSW</t>
  </si>
  <si>
    <t>BROWN, VINNETTE,</t>
  </si>
  <si>
    <t>BROWN VINETTE MS.</t>
  </si>
  <si>
    <t>MILANOSKI, LORRAINE, CRNA</t>
  </si>
  <si>
    <t>LMILANOSKI@KALEIDAHEALTH.ORG</t>
  </si>
  <si>
    <t>MILANOSKI LORRAINE</t>
  </si>
  <si>
    <t>E0082726</t>
  </si>
  <si>
    <t>PATHWAYS INC</t>
  </si>
  <si>
    <t>4162 MEADS CREEK RD</t>
  </si>
  <si>
    <t>ROOD, PATRICK, RPAC</t>
  </si>
  <si>
    <t>E0025327</t>
  </si>
  <si>
    <t>ROOD PATRICK RPA</t>
  </si>
  <si>
    <t>ROOD, PATRICK, PA</t>
  </si>
  <si>
    <t>PROOD@KALEIDAHEALTH.ORG</t>
  </si>
  <si>
    <t>ROOD PATRICK MR.</t>
  </si>
  <si>
    <t>NORTHWEST COMMUNITY MENTAL HEALTH CENTER</t>
  </si>
  <si>
    <t>E0144351</t>
  </si>
  <si>
    <t>MH SVC ERIE NORTHWEST COR-SCM</t>
  </si>
  <si>
    <t>(716) 882-2127</t>
  </si>
  <si>
    <t>MH SVC ERIE NORTHWEST CORP I</t>
  </si>
  <si>
    <t>1300 NIAGARA ST</t>
  </si>
  <si>
    <t>ESWAR, ALEXANDER, MD</t>
  </si>
  <si>
    <t>E0359296</t>
  </si>
  <si>
    <t>ESWAR ALEXANDER</t>
  </si>
  <si>
    <t>(716) 276-9162</t>
  </si>
  <si>
    <t>AESWAR@KALEIDAHEALTH.ORG</t>
  </si>
  <si>
    <t>ESWAR ALEXANDER DR.</t>
  </si>
  <si>
    <t>ESWAR ALEXANDER N</t>
  </si>
  <si>
    <t>SENGUPTA, SOURAV, MDMPH</t>
  </si>
  <si>
    <t>E0367690</t>
  </si>
  <si>
    <t>SENGUPTA SOURAV</t>
  </si>
  <si>
    <t>SENGUPTA, SOURAV, MD</t>
  </si>
  <si>
    <t>SSENGUPTA@KALEIDAHEALTH.ORG</t>
  </si>
  <si>
    <t>SENGUPTA SOURAV DR.</t>
  </si>
  <si>
    <t>10 SYMPHONY CIR</t>
  </si>
  <si>
    <t>O'HARA, ANDREW, DO</t>
  </si>
  <si>
    <t>E0383159</t>
  </si>
  <si>
    <t>O'HARA ANDREW LAWRENCE</t>
  </si>
  <si>
    <t>AO'HARA@KALEIDAHEALTH.ORG</t>
  </si>
  <si>
    <t>O'HARA ANDREW DR.</t>
  </si>
  <si>
    <t>3900 N BUFFALO ST</t>
  </si>
  <si>
    <t>Crosson, Meagan</t>
  </si>
  <si>
    <t>E0001888</t>
  </si>
  <si>
    <t>CROSSON MEGAN</t>
  </si>
  <si>
    <t>CROSSON MEGAN MISS</t>
  </si>
  <si>
    <t>CROSSON MEGAN KATHRYN</t>
  </si>
  <si>
    <t>BREWER, THOMAS, DO</t>
  </si>
  <si>
    <t>E0037327</t>
  </si>
  <si>
    <t>BREWER THOMAS J MD</t>
  </si>
  <si>
    <t>TBREWER@KALEIDAHEALTH.ORG</t>
  </si>
  <si>
    <t>BREWER THOMAS</t>
  </si>
  <si>
    <t>297 SPINDRIFT DR</t>
  </si>
  <si>
    <t>CARNEVALE, FRANK, MD</t>
  </si>
  <si>
    <t>E0107149</t>
  </si>
  <si>
    <t>CARNEVALE FRANK P MD</t>
  </si>
  <si>
    <t>CARNEVALE , FRANK , MD</t>
  </si>
  <si>
    <t>FCARNEVALE@UPA.CHOB.EDU</t>
  </si>
  <si>
    <t>CARNEVALE FRANK</t>
  </si>
  <si>
    <t>STEVENS, PAMELA, MD</t>
  </si>
  <si>
    <t>E0115743</t>
  </si>
  <si>
    <t>STEVENS PAMELA</t>
  </si>
  <si>
    <t>(716) 689-1113</t>
  </si>
  <si>
    <t>PSTEVENS@KALEIDAHEALTH.ORG</t>
  </si>
  <si>
    <t>COMMUNITY MISSIONS NIA FRONT</t>
  </si>
  <si>
    <t>E0168659</t>
  </si>
  <si>
    <t>COMMUNITY MISS/NIAGARA FRON</t>
  </si>
  <si>
    <t>ROBYN KRUEGER</t>
  </si>
  <si>
    <t>(716) 285-3403</t>
  </si>
  <si>
    <t>RKRUEGER@COMMUNITYMISSIONS.ORG</t>
  </si>
  <si>
    <t>1134B CLEVELAND AVE</t>
  </si>
  <si>
    <t>DESAI, SONAL, MD</t>
  </si>
  <si>
    <t>E0386375</t>
  </si>
  <si>
    <t>DESAI SONAL</t>
  </si>
  <si>
    <t>(210) 450-9000</t>
  </si>
  <si>
    <t>SDESAI@KALEIDAHEALTH.ORG</t>
  </si>
  <si>
    <t>DESAI SONAL DR.</t>
  </si>
  <si>
    <t>DESAI SONAL SUBODH</t>
  </si>
  <si>
    <t>CUBA MEMORIAL HOSPITAL</t>
  </si>
  <si>
    <t>HURLEY, PETER, MDMS</t>
  </si>
  <si>
    <t>E0321911</t>
  </si>
  <si>
    <t>HURLEY PETER</t>
  </si>
  <si>
    <t>HURLEY, PETER, MD</t>
  </si>
  <si>
    <t>PHURLEY@KALEIDAHEALTH.ORG</t>
  </si>
  <si>
    <t>HURLEY PETER DR.</t>
  </si>
  <si>
    <t>HURLEY PETER EMMETT</t>
  </si>
  <si>
    <t>2825 NIAGARA FALLS B</t>
  </si>
  <si>
    <t>MAMMEN, MANOJ, MD</t>
  </si>
  <si>
    <t>E0310187</t>
  </si>
  <si>
    <t>MAMMEN MANOJ JACOB</t>
  </si>
  <si>
    <t>MMAMMEN@KALEIDAHEALTH.ORG</t>
  </si>
  <si>
    <t>MAMMEN MANOJ DR.</t>
  </si>
  <si>
    <t>PATEL, VINOD, MD</t>
  </si>
  <si>
    <t>E0091817</t>
  </si>
  <si>
    <t>PATEL VINOD MD</t>
  </si>
  <si>
    <t>PATEL, VINODBHAI, MD</t>
  </si>
  <si>
    <t>VPATEL@KALEIDAHEALTH.ORG</t>
  </si>
  <si>
    <t>PATEL VINOD</t>
  </si>
  <si>
    <t>VOELKER, FRANK, DO</t>
  </si>
  <si>
    <t>E0190157</t>
  </si>
  <si>
    <t>VOELKER FRANK JAMES MD</t>
  </si>
  <si>
    <t>(716) 810-9967</t>
  </si>
  <si>
    <t>FVOELKER@KALEIDAHEALTH.ORG</t>
  </si>
  <si>
    <t>VOELKER FRANK DR.</t>
  </si>
  <si>
    <t>1094 NIAGARA FLS BLV</t>
  </si>
  <si>
    <t>NO TONAWANDA</t>
  </si>
  <si>
    <t>BANSAL, PRATIBHA, MD</t>
  </si>
  <si>
    <t>E0218898</t>
  </si>
  <si>
    <t>BANSAL PRATIBHA            MD</t>
  </si>
  <si>
    <t>(716) 446-5900</t>
  </si>
  <si>
    <t>PBANSAL@KALEIDAHEALTH.ORG</t>
  </si>
  <si>
    <t>BANSAL PRATIBHA DR.</t>
  </si>
  <si>
    <t>LORENZ, VINCENT, PA</t>
  </si>
  <si>
    <t>E0102325</t>
  </si>
  <si>
    <t>LORENZ VINCENT EDWARD II PA</t>
  </si>
  <si>
    <t>VLORENZ@KALEIDAHEALTH.ORG</t>
  </si>
  <si>
    <t>LORENZ VINCENT</t>
  </si>
  <si>
    <t>AMHERST ORTHOPEDICS</t>
  </si>
  <si>
    <t>DELBELLO, JULIE, CASAC</t>
  </si>
  <si>
    <t>DELBELLOJ@SHSWNY.ORG</t>
  </si>
  <si>
    <t>DELBELLO JULIE</t>
  </si>
  <si>
    <t>1280 MAIN ST, 3RD FLOOR</t>
  </si>
  <si>
    <t>PEOPLE HOME HEALTH CARE SERVICES - CERTIFIED INC</t>
  </si>
  <si>
    <t>E0158408</t>
  </si>
  <si>
    <t>PEOPLE HOME HLTH SERV CERTI</t>
  </si>
  <si>
    <t>(716) 817-7446</t>
  </si>
  <si>
    <t>MOORE, MICHAEL, MD</t>
  </si>
  <si>
    <t>E0235372</t>
  </si>
  <si>
    <t>MOORE MICHAEL C</t>
  </si>
  <si>
    <t>(716) 825-3601</t>
  </si>
  <si>
    <t>MMOORE@KALEIDAHEALTH.ORG</t>
  </si>
  <si>
    <t>MOORE MICHAEL</t>
  </si>
  <si>
    <t>2943 SENECA ST</t>
  </si>
  <si>
    <t>DURGAN, CRYSTAL, MFT</t>
  </si>
  <si>
    <t>DURGAN,  CRYSTAL, PROGRAM DIRECTOR</t>
  </si>
  <si>
    <t>(619) 606-1330</t>
  </si>
  <si>
    <t>DURGAN CRYSTAL</t>
  </si>
  <si>
    <t>4077 5TH AVE</t>
  </si>
  <si>
    <t>SAN DIEGO</t>
  </si>
  <si>
    <t>BURGIN, BARBARA,</t>
  </si>
  <si>
    <t>BURGIN, BARBARA, CASAC</t>
  </si>
  <si>
    <t>BURGIN BARBARA</t>
  </si>
  <si>
    <t>ECKERT, JEFFREY, MS</t>
  </si>
  <si>
    <t>ECKERT, JEFFREY, LMHC</t>
  </si>
  <si>
    <t>(716) 649-9744</t>
  </si>
  <si>
    <t>JECKERT@CFSBNY.ORG</t>
  </si>
  <si>
    <t>ECKERT JEFFREY</t>
  </si>
  <si>
    <t>923 MAIN ST</t>
  </si>
  <si>
    <t>LATSHAW, COLLEEN,</t>
  </si>
  <si>
    <t>LATSHAW, COLLEEN, CASAC</t>
  </si>
  <si>
    <t>LATSHAWC@SHSWNY.ORG</t>
  </si>
  <si>
    <t>ALOIAN COLLEEN</t>
  </si>
  <si>
    <t>227 THORN AVE, STOWNS</t>
  </si>
  <si>
    <t>HUMPHREY, KATHLEEN, RN</t>
  </si>
  <si>
    <t>HUMPHREY, KATHLEEN, ANP</t>
  </si>
  <si>
    <t>(585) 786-8000</t>
  </si>
  <si>
    <t>KHUMPHREY@KALEIDAHEALTH.ORG</t>
  </si>
  <si>
    <t>HUMPHREY KATHLEEN MRS.</t>
  </si>
  <si>
    <t>153 W BUFFALO ST</t>
  </si>
  <si>
    <t>STAFFIELD, JILLIAN,</t>
  </si>
  <si>
    <t>STAFFIELD, JILLIAN, SENIOR COUNSELOR - HV</t>
  </si>
  <si>
    <t>(716) 831-8180</t>
  </si>
  <si>
    <t>STAFFIELD JILLIAN</t>
  </si>
  <si>
    <t>MAY, MINDI,</t>
  </si>
  <si>
    <t>LOBUZZETTA, MINDI, MHC-P</t>
  </si>
  <si>
    <t>LOBUZZETTAM@SHSWNY.ORG</t>
  </si>
  <si>
    <t>MAY MINDI</t>
  </si>
  <si>
    <t>ANILLO, SERGIO, MD</t>
  </si>
  <si>
    <t>E0163734</t>
  </si>
  <si>
    <t>ANILLO SERGIO J MD</t>
  </si>
  <si>
    <t>(716) 859-2244</t>
  </si>
  <si>
    <t>SANILLO@KALEIDAHEALTH.ORG</t>
  </si>
  <si>
    <t>ANILLO SERGIO</t>
  </si>
  <si>
    <t>ST VINCENTS STE 418</t>
  </si>
  <si>
    <t>Susan E. Dougherty, NP</t>
  </si>
  <si>
    <t>E0156339</t>
  </si>
  <si>
    <t>DOUGHERTY SUSAN E</t>
  </si>
  <si>
    <t>(716) 376-2389</t>
  </si>
  <si>
    <t>DOUGHERTY SUSAN</t>
  </si>
  <si>
    <t>CHENG, YIJUN, MD</t>
  </si>
  <si>
    <t>E0014212</t>
  </si>
  <si>
    <t>CHENG YIJUN MD</t>
  </si>
  <si>
    <t>YCHENG@KALEIDAHEALTH.ORG</t>
  </si>
  <si>
    <t>CHENG YIJUN</t>
  </si>
  <si>
    <t>3850 SAUNDERS SETTLEMENT RD</t>
  </si>
  <si>
    <t>PERKOWSKI, STEFAN,</t>
  </si>
  <si>
    <t>E0371722</t>
  </si>
  <si>
    <t>PERKOWSKI STEFAN G</t>
  </si>
  <si>
    <t>PERKOWSKI, STEFAN, LCSW-R, ACSW</t>
  </si>
  <si>
    <t>SPERKOWSKI@CATSWNY.ORG</t>
  </si>
  <si>
    <t>PERKOWSKI STEFAN MR.</t>
  </si>
  <si>
    <t>MANGO, MARTIN, MD</t>
  </si>
  <si>
    <t>E0237976</t>
  </si>
  <si>
    <t>MANGO MARTIN               MD</t>
  </si>
  <si>
    <t>(716) 631-0834</t>
  </si>
  <si>
    <t>MMANGO@KALEIDAHEALTH.ORG</t>
  </si>
  <si>
    <t>MANGO MARTIN MR.</t>
  </si>
  <si>
    <t>BORKOWSKI, NICOLE,</t>
  </si>
  <si>
    <t>BORKOWSKI NICOLE</t>
  </si>
  <si>
    <t>HEJNA, TEMPERANCE, CASACT</t>
  </si>
  <si>
    <t>HEJNA, TEMPERANCE, CASAC</t>
  </si>
  <si>
    <t>HEJNAT@SHSWNY.ORG</t>
  </si>
  <si>
    <t>HEJNA TEMPERANCE MS.</t>
  </si>
  <si>
    <t>CHADHA, SUNITA, MD</t>
  </si>
  <si>
    <t>E0100576</t>
  </si>
  <si>
    <t>CHADHA SUNITA MD</t>
  </si>
  <si>
    <t>CHADHA, SUNITA, MBBS</t>
  </si>
  <si>
    <t>SCHADHA@KALEIDAHEALTH.ORG</t>
  </si>
  <si>
    <t>CHADHA SUNITA</t>
  </si>
  <si>
    <t>PROMEDICUS HLTH GRP</t>
  </si>
  <si>
    <t>E0313182</t>
  </si>
  <si>
    <t>RTF CONNERS</t>
  </si>
  <si>
    <t>(716) 884-3802</t>
  </si>
  <si>
    <t>824 DELAWARE AVE</t>
  </si>
  <si>
    <t>EMBORSKY, MARY, DO</t>
  </si>
  <si>
    <t>E0060459</t>
  </si>
  <si>
    <t>EMBORSKY MARY ELLEN MD</t>
  </si>
  <si>
    <t>EMBORSKY , MARY   , MD</t>
  </si>
  <si>
    <t>MEMBORSKY@UPA.CHOB.EDU</t>
  </si>
  <si>
    <t>EMBORSKY MARY DR.</t>
  </si>
  <si>
    <t>HURLEY, COLLEEN, CPNP</t>
  </si>
  <si>
    <t>E0109321</t>
  </si>
  <si>
    <t>HURLEY COLLEEN ANN</t>
  </si>
  <si>
    <t>HURLEY, COLLEEN, PNP</t>
  </si>
  <si>
    <t>CHURLEY@KALEIDAHEALTH.ORG</t>
  </si>
  <si>
    <t>HURLEY COLLEEN MISS</t>
  </si>
  <si>
    <t>DIAZ-ORDAZ, ERNESTO, MD</t>
  </si>
  <si>
    <t>E0155707</t>
  </si>
  <si>
    <t>DIAZ ORDAZ ERNESTO ALBERTO MD</t>
  </si>
  <si>
    <t>EDIAZ-ORDAZ@KALEIDAHEALTH.ORG</t>
  </si>
  <si>
    <t>DIAZ-ORDAZ ERNESTO</t>
  </si>
  <si>
    <t>JAFFRI, MOHAMMAD, MD</t>
  </si>
  <si>
    <t>E0122455</t>
  </si>
  <si>
    <t>JAFFRI MOHAMMAD T MD</t>
  </si>
  <si>
    <t>(716) 688-6309</t>
  </si>
  <si>
    <t>MJAFFRI@KALEIDAHEALTH.ORG</t>
  </si>
  <si>
    <t>JAFFRI MOHAMMAD</t>
  </si>
  <si>
    <t>1263 DELAWARE AVE</t>
  </si>
  <si>
    <t>SHERIF, SHERIF, MD</t>
  </si>
  <si>
    <t>E0175163</t>
  </si>
  <si>
    <t>SHERIF SHERIF M  MD</t>
  </si>
  <si>
    <t>SSHERIF@KALEIDAHEALTH.ORG</t>
  </si>
  <si>
    <t>SHERIF SHERIF DR.</t>
  </si>
  <si>
    <t>ABLOVE, ROBERT, MD</t>
  </si>
  <si>
    <t>E0116961</t>
  </si>
  <si>
    <t>ABLOVE ROBERT H MD</t>
  </si>
  <si>
    <t>(716) 898-3457</t>
  </si>
  <si>
    <t>RABLOVE@KALEIDAHEALTH.ORG</t>
  </si>
  <si>
    <t>ABLOVE ROBERT DR.</t>
  </si>
  <si>
    <t>ABLOVE ROBERT HAROLD MD</t>
  </si>
  <si>
    <t>4949 HARLEM ROAD</t>
  </si>
  <si>
    <t>JAOUDE, PHILIPPE, MD</t>
  </si>
  <si>
    <t>E0038746</t>
  </si>
  <si>
    <t>ABOU JAOUDE PHILIPPE ELIAS</t>
  </si>
  <si>
    <t>PJAOUDE@KALEIDAHEALTH.ORG</t>
  </si>
  <si>
    <t>JAOUDE PHILIPPE</t>
  </si>
  <si>
    <t>JAOUDE PHILIPPE ELIAS</t>
  </si>
  <si>
    <t>CUKIERMAN, JACK, MD</t>
  </si>
  <si>
    <t>E0115778</t>
  </si>
  <si>
    <t>CUKIERMAN JACK</t>
  </si>
  <si>
    <t>(716) 835-9871</t>
  </si>
  <si>
    <t>JCUKIERMAN@KALEIDAHEALTH.ORG</t>
  </si>
  <si>
    <t>HAQUE, SHAHID, MD</t>
  </si>
  <si>
    <t>E0115755</t>
  </si>
  <si>
    <t>HAQUE SHAHID</t>
  </si>
  <si>
    <t>SHAQUE@KALEIDAHEALTH.ORG</t>
  </si>
  <si>
    <t>DAVIS, STEVEN, MD</t>
  </si>
  <si>
    <t>E0031443</t>
  </si>
  <si>
    <t>DAVIS STEVEN WARD MD</t>
  </si>
  <si>
    <t>SDAVIS@KALEIDAHEALTH.ORG</t>
  </si>
  <si>
    <t>DAVIS STEVEN DR.</t>
  </si>
  <si>
    <t>FORESTAL, LISA, PA</t>
  </si>
  <si>
    <t>E0013188</t>
  </si>
  <si>
    <t>WANGLER LISA M RPA</t>
  </si>
  <si>
    <t>LFORESTAL@KALEIDAHEALTH.ORG</t>
  </si>
  <si>
    <t>FORESTAL LISA</t>
  </si>
  <si>
    <t>FORESTAL LISA MARIE</t>
  </si>
  <si>
    <t>MCNALLY, G, MD</t>
  </si>
  <si>
    <t>E0190925</t>
  </si>
  <si>
    <t>MCNALLY G LAWRENCE MD</t>
  </si>
  <si>
    <t>MCNALLY,  G. LAWRENCE, MD</t>
  </si>
  <si>
    <t>GMCNALLY@KALEIDAHEALTH.ORG</t>
  </si>
  <si>
    <t>MCNALLY G DR.</t>
  </si>
  <si>
    <t>NIAGARA FALLS CITY SCHOOL DISTRICT</t>
  </si>
  <si>
    <t>E0163489</t>
  </si>
  <si>
    <t>NIAGARA FALLS CITY SCH DIST</t>
  </si>
  <si>
    <t>(716) 286-4287</t>
  </si>
  <si>
    <t>630 66TH ST</t>
  </si>
  <si>
    <t>RAUH, MICHAEL, MD</t>
  </si>
  <si>
    <t>E0085825</t>
  </si>
  <si>
    <t>RAUH MICHAEL ALFRED MD</t>
  </si>
  <si>
    <t>MRAUH@KALEIDAHEALTH.ORG</t>
  </si>
  <si>
    <t>RAUH MICHAEL DR.</t>
  </si>
  <si>
    <t>425 MICHIGAN AVE</t>
  </si>
  <si>
    <t>GAMBLE, LISA, LMSW</t>
  </si>
  <si>
    <t>LGAMBLE@CATSWNY.ORG</t>
  </si>
  <si>
    <t>GAMBLE LISA MS.</t>
  </si>
  <si>
    <t>JULIANO, MELISSA, PAC</t>
  </si>
  <si>
    <t>E0104792</t>
  </si>
  <si>
    <t>JULIANO MELISSA J</t>
  </si>
  <si>
    <t>JULIANO, MELISSA, PA</t>
  </si>
  <si>
    <t>(814) 274-7070</t>
  </si>
  <si>
    <t>MELISSA.JULIANO@FAMILYCHOICENY.COM</t>
  </si>
  <si>
    <t>JULIANO MELISSA MS.</t>
  </si>
  <si>
    <t>4855 CAMP RD</t>
  </si>
  <si>
    <t>KATARIA, NITU, MD</t>
  </si>
  <si>
    <t>E0346190</t>
  </si>
  <si>
    <t>KATARIA NITU</t>
  </si>
  <si>
    <t>(425) 492-4390</t>
  </si>
  <si>
    <t>NKATARIA@KALEIDAHEALTH.ORG</t>
  </si>
  <si>
    <t>KATARIA NITU DR.</t>
  </si>
  <si>
    <t>KAUDERER, MARY, MD</t>
  </si>
  <si>
    <t>E0307202</t>
  </si>
  <si>
    <t>KAUDERER MARY CATHERINE MD</t>
  </si>
  <si>
    <t>MKAUDERER@KALEIDAHEALTH.ORG</t>
  </si>
  <si>
    <t>KAUDERER MARY DR.</t>
  </si>
  <si>
    <t>MULTANI, DUKHANT, MD</t>
  </si>
  <si>
    <t>E0336184</t>
  </si>
  <si>
    <t>MULTANI DUKHANT SINGH</t>
  </si>
  <si>
    <t>(716) 662-2544</t>
  </si>
  <si>
    <t>DMULTANI@KALEIDAHEALTH.ORG</t>
  </si>
  <si>
    <t>MULTANI DUKHANT</t>
  </si>
  <si>
    <t>LI, XIULI, MD</t>
  </si>
  <si>
    <t>E0291090</t>
  </si>
  <si>
    <t>LI XIULI</t>
  </si>
  <si>
    <t>XLI@KALEIDAHEALTH.ORG</t>
  </si>
  <si>
    <t>LI XIULI DR.</t>
  </si>
  <si>
    <t>LI XIULI MD</t>
  </si>
  <si>
    <t>3980 SHERIDAN DR STE 200</t>
  </si>
  <si>
    <t>O'CONNELL, KEVIN, MD</t>
  </si>
  <si>
    <t>E0362652</t>
  </si>
  <si>
    <t>O'CONNELL KEVIN ANTHONY</t>
  </si>
  <si>
    <t>(706) 646-4508</t>
  </si>
  <si>
    <t>KOCONNELL@KALEIDAHEALTH.ORG</t>
  </si>
  <si>
    <t>O'CONNELL KEVIN DR.</t>
  </si>
  <si>
    <t>AMADORI, JILLIAN,</t>
  </si>
  <si>
    <t>DAGASTINO,  JILLIAN, CLINICAL SUPERVISOR</t>
  </si>
  <si>
    <t>AMADORI JILLIAN</t>
  </si>
  <si>
    <t>PEQUEEN, THERESA, FNP</t>
  </si>
  <si>
    <t>E0350468</t>
  </si>
  <si>
    <t>PEQUEEN THERESA</t>
  </si>
  <si>
    <t>PEQUEEN, THERESA,</t>
  </si>
  <si>
    <t>(716) 707-7040</t>
  </si>
  <si>
    <t>PEQUEEN THERESA MISS</t>
  </si>
  <si>
    <t>TERRANOVA, MICHAEL, MD</t>
  </si>
  <si>
    <t>E0211991</t>
  </si>
  <si>
    <t>TERRANOVA MICHAEL DAVID    MD</t>
  </si>
  <si>
    <t>(716) 684-6140</t>
  </si>
  <si>
    <t>MTERRANOVA@KALEIDAHEALTH.ORG</t>
  </si>
  <si>
    <t>TERRANOVA MICHAEL DR.</t>
  </si>
  <si>
    <t>TERRANOVA MICHAEL DAVID</t>
  </si>
  <si>
    <t>5330 GENESEE ST</t>
  </si>
  <si>
    <t>GIOIA, JOSEPH, MD</t>
  </si>
  <si>
    <t>E0038757</t>
  </si>
  <si>
    <t>GIOIA JOSEPH</t>
  </si>
  <si>
    <t>JGIOIA@KALEIDAHEALTH.ORG</t>
  </si>
  <si>
    <t>GAINES, KATHERINE, MD</t>
  </si>
  <si>
    <t>E0222059</t>
  </si>
  <si>
    <t>GAINES KATHERINE CALDWELL  MD</t>
  </si>
  <si>
    <t>KGAINES@KALEIDAHEALTH.ORG</t>
  </si>
  <si>
    <t>GAINES KATHERINE</t>
  </si>
  <si>
    <t>Nichole T. Green, PA</t>
  </si>
  <si>
    <t>E0043798</t>
  </si>
  <si>
    <t>GREEN NICHOLE T RPA</t>
  </si>
  <si>
    <t>(716) 376-2409</t>
  </si>
  <si>
    <t>GREEN NICHOLE</t>
  </si>
  <si>
    <t>FENSTERMAKER, ROBERT, MD</t>
  </si>
  <si>
    <t>E0145113</t>
  </si>
  <si>
    <t>FENSTERMAKER ROBERT MD</t>
  </si>
  <si>
    <t>RFENSTERMAKER@KALEIDAHEALTH.ORG</t>
  </si>
  <si>
    <t>FENSTERMAKER ROBERT</t>
  </si>
  <si>
    <t>ELM &amp; CARLTON STS</t>
  </si>
  <si>
    <t>BIERDEMAN, BRENDA, PSYD</t>
  </si>
  <si>
    <t>E0142799</t>
  </si>
  <si>
    <t>BIERDEMAN BRENDA</t>
  </si>
  <si>
    <t>(585) 589-2315</t>
  </si>
  <si>
    <t>BIERDEMAN BRENDA DR.</t>
  </si>
  <si>
    <t>BIERDEMAN BRENDA L.</t>
  </si>
  <si>
    <t>27 S. PLATT ST</t>
  </si>
  <si>
    <t>HIGHPOINTE ON MICHIGAN HCF</t>
  </si>
  <si>
    <t>E0334968</t>
  </si>
  <si>
    <t>HIGHPOINTE ON MICHIGAN HLTH CR FAC</t>
  </si>
  <si>
    <t>(716) 859-8397</t>
  </si>
  <si>
    <t>1031 MICHIGAN AVE</t>
  </si>
  <si>
    <t>FITZPATRICK, LORNA, MD</t>
  </si>
  <si>
    <t>E0091004</t>
  </si>
  <si>
    <t>FITZPATRICK LORNA K.MD</t>
  </si>
  <si>
    <t>LFITZPATRICK@KALEIDAHEALTH.ORG</t>
  </si>
  <si>
    <t>FITZPATRICK LORNA</t>
  </si>
  <si>
    <t>WHITE, JASON, DPM</t>
  </si>
  <si>
    <t>E0065702</t>
  </si>
  <si>
    <t>WHITE JASON TODD DPM</t>
  </si>
  <si>
    <t>(716) 634-5993</t>
  </si>
  <si>
    <t>JWHITE3@KALEIDAHEALTH.ORG</t>
  </si>
  <si>
    <t>WHITE JASON</t>
  </si>
  <si>
    <t>WHITE JASON TODD</t>
  </si>
  <si>
    <t>15 S FOREST RD</t>
  </si>
  <si>
    <t>ADAMS, STEPHEN, DO</t>
  </si>
  <si>
    <t>SADAMS@KALEIDAHEALTH.ORG</t>
  </si>
  <si>
    <t>ADAMS STEPHEN</t>
  </si>
  <si>
    <t>1719 E INDIGO ST</t>
  </si>
  <si>
    <t>GILBERT</t>
  </si>
  <si>
    <t>AZ</t>
  </si>
  <si>
    <t>SAEVA, JOSEPH, CASACNCA</t>
  </si>
  <si>
    <t>SAEVA, JOSEPH, CASAC</t>
  </si>
  <si>
    <t>SAEVA JOSEPH MR.</t>
  </si>
  <si>
    <t>2850 GRAND ISLAND BOULEVARD OPERATING COMPANY LLC</t>
  </si>
  <si>
    <t>E0396562</t>
  </si>
  <si>
    <t>2850 GRAND ISLAND BLVD OPERATING CO</t>
  </si>
  <si>
    <t>COLEEN KRAUSS</t>
  </si>
  <si>
    <t>CKRAUSS@ELDERWOOD.COM</t>
  </si>
  <si>
    <t>Center for Remote Medical Management</t>
  </si>
  <si>
    <t>Dr. Alexander Ross Chiu</t>
  </si>
  <si>
    <t>(510) 912-3636</t>
  </si>
  <si>
    <t>Chiu@crmmcare.com</t>
  </si>
  <si>
    <t>CENTER FOR REMOTE MEDICAL MANAGEMENT LLC</t>
  </si>
  <si>
    <t>82 E ALLENDALE RD STE 8A</t>
  </si>
  <si>
    <t>SADDLE RIVER</t>
  </si>
  <si>
    <t>NJ</t>
  </si>
  <si>
    <t>BONANNO, MONA, MD</t>
  </si>
  <si>
    <t>E0354036</t>
  </si>
  <si>
    <t>BONANNO MONA SHIRIN</t>
  </si>
  <si>
    <t>BONANNO , MONA, MD</t>
  </si>
  <si>
    <t>(716) 580-3540</t>
  </si>
  <si>
    <t>MBONANNO@UPA.CHOB.EDU</t>
  </si>
  <si>
    <t>BONANNO MONA DR.</t>
  </si>
  <si>
    <t>SAYEGH, MAGDI, MD</t>
  </si>
  <si>
    <t>E0185914</t>
  </si>
  <si>
    <t>SAYEGH MAGDI E MD</t>
  </si>
  <si>
    <t>(716) 633-6363</t>
  </si>
  <si>
    <t>MSAYEGH@KALEIDAHEALTH.ORG</t>
  </si>
  <si>
    <t>SAYEGH MAGDI DR.</t>
  </si>
  <si>
    <t>30 N UNION RD</t>
  </si>
  <si>
    <t>BEHAR, PHILOMENA, MD</t>
  </si>
  <si>
    <t>E0085224</t>
  </si>
  <si>
    <t>BEHAR PHILOMENA MUFALLI MD</t>
  </si>
  <si>
    <t>(716) 878-7569</t>
  </si>
  <si>
    <t>PBEHAR@KALEIDAHEALTH.ORG</t>
  </si>
  <si>
    <t>BEHAR PHILOMENA DR.</t>
  </si>
  <si>
    <t>ELLSWORTH, PRASHULA, PHYSICIAN</t>
  </si>
  <si>
    <t>E0065883</t>
  </si>
  <si>
    <t>ELLSWORTH PRASHULA P RPA</t>
  </si>
  <si>
    <t>ELLSWORTH, PRASHULA, PA</t>
  </si>
  <si>
    <t>PELLSWORTH@KALEIDAHEALTH.ORG</t>
  </si>
  <si>
    <t>ELLSWORTH PRASHULA</t>
  </si>
  <si>
    <t>6333 MAIN ST</t>
  </si>
  <si>
    <t>EDWARDS, SHELBY, PAC</t>
  </si>
  <si>
    <t>E0120682</t>
  </si>
  <si>
    <t>EDWARDS SHELBY</t>
  </si>
  <si>
    <t>EDWARDS, SHELBY, PA</t>
  </si>
  <si>
    <t>(716) 204-3251</t>
  </si>
  <si>
    <t>SEDWARDS@KALEIDAHEALTH.ORG</t>
  </si>
  <si>
    <t>CHRZANOWSKI, STEPHEN, MD</t>
  </si>
  <si>
    <t>E0110141</t>
  </si>
  <si>
    <t>CHRZANOWSKI STEPHEN GERARD</t>
  </si>
  <si>
    <t>(716) 675-0707</t>
  </si>
  <si>
    <t>CHRZANOWSKI STEPHEN DR.</t>
  </si>
  <si>
    <t>SWIANTEK, PHILIP, MD</t>
  </si>
  <si>
    <t>E0238538</t>
  </si>
  <si>
    <t>SWIANTEK PHILIP A PC       MD</t>
  </si>
  <si>
    <t>PSWIANTEK@KALEIDAHEALTH.ORG</t>
  </si>
  <si>
    <t>SWIANTEK PHILIP DR.</t>
  </si>
  <si>
    <t>SWIANTEK PHILIP A MD</t>
  </si>
  <si>
    <t>STE 201</t>
  </si>
  <si>
    <t>ZIOMEK, KATHLEEN, NP</t>
  </si>
  <si>
    <t>E0097876</t>
  </si>
  <si>
    <t>ZIOMEK KATHLEEN ANN</t>
  </si>
  <si>
    <t>ZIOMEK, KATHLEEN, FNP</t>
  </si>
  <si>
    <t>KZIOMEK@KALEIDAHEALTH.ORG</t>
  </si>
  <si>
    <t>ZIOMEK KATHLEEN</t>
  </si>
  <si>
    <t>239 BRYANT ST</t>
  </si>
  <si>
    <t>JONES, VANESSA,</t>
  </si>
  <si>
    <t>JONES, VANESSA, BSW</t>
  </si>
  <si>
    <t>JONES VANESSA MRS.</t>
  </si>
  <si>
    <t>HENNESSY, KEVIN, NURSEPRAC</t>
  </si>
  <si>
    <t>E0438987</t>
  </si>
  <si>
    <t>HENNESSY KEVIN LYNCH</t>
  </si>
  <si>
    <t>HENNESSY, KEVIN, ANP</t>
  </si>
  <si>
    <t>(716) 871-0580</t>
  </si>
  <si>
    <t>KHENNESSY@KALEIDAHEALTH.ORG</t>
  </si>
  <si>
    <t>HENNESSY KEVIN</t>
  </si>
  <si>
    <t>SORLEY-MASTRODOMENICO, REBECCA, MD</t>
  </si>
  <si>
    <t>E0136378</t>
  </si>
  <si>
    <t>SORLEY-MASTRODOMENICO REBECCA</t>
  </si>
  <si>
    <t>SORLEY-MASTRODOMENIC, REBECCA, MD</t>
  </si>
  <si>
    <t>RSORLEYMASTRODOMENIC@KALEIDAHEALTH.ORG</t>
  </si>
  <si>
    <t>AUDUBON MEDICAL CTR</t>
  </si>
  <si>
    <t>GIARDINO, KAREN, MDENDOCR</t>
  </si>
  <si>
    <t>E0178833</t>
  </si>
  <si>
    <t>GIARDINO KAREN FRANCIS  MD</t>
  </si>
  <si>
    <t>GIARDINO, KAREN, MD</t>
  </si>
  <si>
    <t>(716) 636-8357</t>
  </si>
  <si>
    <t>KGIARDINO@KALEIDAHEALTH.ORG</t>
  </si>
  <si>
    <t>GIARDINO KAREN</t>
  </si>
  <si>
    <t>STE 206</t>
  </si>
  <si>
    <t>PALLONE, FRANK, DDS</t>
  </si>
  <si>
    <t>E0235817</t>
  </si>
  <si>
    <t>PALLONE FRANK             DDS</t>
  </si>
  <si>
    <t>(716) 754-8556</t>
  </si>
  <si>
    <t>PALLONE FRANK</t>
  </si>
  <si>
    <t>552 3RD ST</t>
  </si>
  <si>
    <t>JENKINS, GREGORY, PA</t>
  </si>
  <si>
    <t>(203) 845-2200</t>
  </si>
  <si>
    <t>GJENKINS@KALEIDAHEALTH.ORG</t>
  </si>
  <si>
    <t>JENKINS GREGORY</t>
  </si>
  <si>
    <t>40 CROSS ST, SUITE 300</t>
  </si>
  <si>
    <t>NORWALK</t>
  </si>
  <si>
    <t>CT</t>
  </si>
  <si>
    <t>E0186883</t>
  </si>
  <si>
    <t>170 MARTIN RD</t>
  </si>
  <si>
    <t>LAKE SHORE BEHAVIORAL HEALTH, INC.</t>
  </si>
  <si>
    <t>E0232519</t>
  </si>
  <si>
    <t>LAKE SHORE BEHAVIORAL HLTH IN</t>
  </si>
  <si>
    <t>SABIR, MOHAMMED, MD</t>
  </si>
  <si>
    <t>E0254595</t>
  </si>
  <si>
    <t>SABIR MOHAMMED MD</t>
  </si>
  <si>
    <t>SABIR MOHAMMED DR.</t>
  </si>
  <si>
    <t>845 ROUTE 5 AND 20</t>
  </si>
  <si>
    <t>TOBIN, KATHERINE, MD</t>
  </si>
  <si>
    <t>E0031481</t>
  </si>
  <si>
    <t>TOBIN KATHERINE D MD</t>
  </si>
  <si>
    <t>KTOBIN@KALEIDAHEALTH.ORG</t>
  </si>
  <si>
    <t>TOBIN KATHERINE</t>
  </si>
  <si>
    <t>BLOOM, PETER, MD</t>
  </si>
  <si>
    <t>E0030439</t>
  </si>
  <si>
    <t>BLOOM PETER DONAL MD</t>
  </si>
  <si>
    <t>PBLOOM@KALEIDAHEALTH.ORG</t>
  </si>
  <si>
    <t>BLOOM PETER</t>
  </si>
  <si>
    <t>Wyoming County Community Health System</t>
  </si>
  <si>
    <t>E0268011</t>
  </si>
  <si>
    <t>WYOMING COMMUNITY HOSP     CO</t>
  </si>
  <si>
    <t>Mlchael Corcimiglia</t>
  </si>
  <si>
    <t>mcorcimiglia@WCChs.net</t>
  </si>
  <si>
    <t>All Other:: Clinic:: Hospital:: Mental Health</t>
  </si>
  <si>
    <t>SEGAL, BRAHM, MD</t>
  </si>
  <si>
    <t>E0104228</t>
  </si>
  <si>
    <t>SEGAL BRAHM</t>
  </si>
  <si>
    <t>BSEGAL2@KALEIDAHEALTH.ORG</t>
  </si>
  <si>
    <t>ACADEMIC MED SERV</t>
  </si>
  <si>
    <t>JONES, AMY, MD</t>
  </si>
  <si>
    <t>E0074226</t>
  </si>
  <si>
    <t>A W JONES MD PC</t>
  </si>
  <si>
    <t>(716) 627-2934</t>
  </si>
  <si>
    <t>AJONES2@KALEIDAHEALTH.ORG</t>
  </si>
  <si>
    <t>JONES AMY DR.</t>
  </si>
  <si>
    <t>JONES AMY MD</t>
  </si>
  <si>
    <t>YOGANATHAN, PRADEEPA, MD</t>
  </si>
  <si>
    <t>E0310283</t>
  </si>
  <si>
    <t>YOGANATHAN PRADEEPA</t>
  </si>
  <si>
    <t>PYOGANATHAN@KALEIDAHEALTH.ORG</t>
  </si>
  <si>
    <t>ELOUDI, NADIA, NP</t>
  </si>
  <si>
    <t>E0066987</t>
  </si>
  <si>
    <t>ELOUDI NADIHA M</t>
  </si>
  <si>
    <t>ELOUDI, NADIHA, ANP</t>
  </si>
  <si>
    <t>NELOUDI@KALEIDAHEALTH.ORG</t>
  </si>
  <si>
    <t>ELOUDI NADIHA</t>
  </si>
  <si>
    <t>BOLNICK, JAY, MD</t>
  </si>
  <si>
    <t>E0306969</t>
  </si>
  <si>
    <t>BOLNICK JAY</t>
  </si>
  <si>
    <t>JBOLNICK@KALEIDAHEALTH.ORG</t>
  </si>
  <si>
    <t>BOLNICK JAY MARVIN</t>
  </si>
  <si>
    <t>KLOCKE, MARK, MD</t>
  </si>
  <si>
    <t>E0175347</t>
  </si>
  <si>
    <t>KLOCKE MARK R MD</t>
  </si>
  <si>
    <t>(716) 834-4522</t>
  </si>
  <si>
    <t>MKLOCKE@KALEIDAHEALTH.ORG</t>
  </si>
  <si>
    <t>KLOCKE MARK</t>
  </si>
  <si>
    <t>COLLINS JAMES</t>
  </si>
  <si>
    <t>E0223890</t>
  </si>
  <si>
    <t>COLLINS JAMES              MD</t>
  </si>
  <si>
    <t>COLLINS  S. JAMES  JR            MD</t>
  </si>
  <si>
    <t>SANFILIPPO, DIANE, MD</t>
  </si>
  <si>
    <t>E0125534</t>
  </si>
  <si>
    <t>SANFILIPPO DIANE MARIE MD</t>
  </si>
  <si>
    <t>(716) 771-1995</t>
  </si>
  <si>
    <t>DSANFILIPPO@KALEIDAHEALTH.ORG</t>
  </si>
  <si>
    <t>SANFILIPPO DIANE</t>
  </si>
  <si>
    <t>SANFILIPPO DIANE MARIE</t>
  </si>
  <si>
    <t>410 ABBOTT RD</t>
  </si>
  <si>
    <t>WITTMANN JR, JOSEPH MD</t>
  </si>
  <si>
    <t>E0102697</t>
  </si>
  <si>
    <t>WITTMANN JOSEPH CARL JR MD</t>
  </si>
  <si>
    <t>WITTMANN, JOSEPH, MD</t>
  </si>
  <si>
    <t>JWITTMANN@KALEIDAHEALTH.ORG</t>
  </si>
  <si>
    <t>WITTMANN, JR. JOSEPH DR.</t>
  </si>
  <si>
    <t>WITTMANN JOSEPH CARL JR</t>
  </si>
  <si>
    <t>2890 NIAGARA FALLS BLVD # B</t>
  </si>
  <si>
    <t>FUGITT, ROBERT, MD</t>
  </si>
  <si>
    <t>E0234376</t>
  </si>
  <si>
    <t>FUGITT ROBERT G            MD</t>
  </si>
  <si>
    <t>(716) 873-3828</t>
  </si>
  <si>
    <t>RFUGITT@KALEIDAHEALTH.ORG</t>
  </si>
  <si>
    <t>FUGITT ROBERT DR.</t>
  </si>
  <si>
    <t>FUGITT ROBERT G</t>
  </si>
  <si>
    <t>3800 DELAWARE AVE STE 104</t>
  </si>
  <si>
    <t>NACHREINER, ERIC, PA</t>
  </si>
  <si>
    <t>E0084982</t>
  </si>
  <si>
    <t>NACHREINER ERIC JASON RPA</t>
  </si>
  <si>
    <t>(716) 835-1123</t>
  </si>
  <si>
    <t>ENACHREINER@KALEIDAHEALTH.ORG</t>
  </si>
  <si>
    <t>NACHREINER ERIC</t>
  </si>
  <si>
    <t>NACHREINER ERIC JASON</t>
  </si>
  <si>
    <t>YU, TAECHIN, MD</t>
  </si>
  <si>
    <t>E0111843</t>
  </si>
  <si>
    <t>YU TAECHIN MD</t>
  </si>
  <si>
    <t>(716) 636-8284</t>
  </si>
  <si>
    <t>TYU@KALEIDAHEALTH.ORG</t>
  </si>
  <si>
    <t>YU TAECHIN</t>
  </si>
  <si>
    <t>NORTHTOWN OB/GYN/#5</t>
  </si>
  <si>
    <t>MILLER, S. DAVID, MD</t>
  </si>
  <si>
    <t>E0159816</t>
  </si>
  <si>
    <t>MILLER S DAVID  MD</t>
  </si>
  <si>
    <t>MILLER S. DAVID</t>
  </si>
  <si>
    <t>941 WASHINGTON ST</t>
  </si>
  <si>
    <t>MCGUIRE, CHARLES, NP</t>
  </si>
  <si>
    <t>E0097752</t>
  </si>
  <si>
    <t>MCGUIRE CHARLES DOUGLAS</t>
  </si>
  <si>
    <t>MCGUIRE, CHARLES, NNP</t>
  </si>
  <si>
    <t>CMCGUIRE@KALEIDAHEALTH.ORG</t>
  </si>
  <si>
    <t>MCGUIRE CHARLES</t>
  </si>
  <si>
    <t>MILLARD FILL SUB HSP</t>
  </si>
  <si>
    <t>SHERON, MOLLY, WHNPCNMW</t>
  </si>
  <si>
    <t>E0051037</t>
  </si>
  <si>
    <t>SHERON MOLLY</t>
  </si>
  <si>
    <t>57 DAVISON CT</t>
  </si>
  <si>
    <t>SCHOELLKOPF HEALTH CENTER</t>
  </si>
  <si>
    <t>E0263558</t>
  </si>
  <si>
    <t>SCHOELLKOPF HEALTH CENTER SNF</t>
  </si>
  <si>
    <t>JOHN DURNO</t>
  </si>
  <si>
    <t>(716) 278-4583</t>
  </si>
  <si>
    <t>JOHN.DURNO@NFMMC.ORG</t>
  </si>
  <si>
    <t>PATIENT ACCT DEPT</t>
  </si>
  <si>
    <t>GILL, DONNA, LMHC</t>
  </si>
  <si>
    <t>GILL, DONNA, CRC</t>
  </si>
  <si>
    <t>GILLD@SHSWNY.ORG</t>
  </si>
  <si>
    <t>GILL DONNA</t>
  </si>
  <si>
    <t>ROY, ADRIENNE, NP</t>
  </si>
  <si>
    <t>E0065469</t>
  </si>
  <si>
    <t>ROY ADRIENNE</t>
  </si>
  <si>
    <t>ROY,  ADRIENNE, SR PSYCH NURSE PRACTITIONER</t>
  </si>
  <si>
    <t>ROY ADRIENNE MS.</t>
  </si>
  <si>
    <t>ROY ADRIENNE M</t>
  </si>
  <si>
    <t>POSLUSZNY, LORI, OTR</t>
  </si>
  <si>
    <t>POSLUSZNY,  LORI , CLINICAL SUPERVISOR</t>
  </si>
  <si>
    <t>POSLUSZNY LORI MS.</t>
  </si>
  <si>
    <t>TANHEHCO, MELITON, MD</t>
  </si>
  <si>
    <t>E0234939</t>
  </si>
  <si>
    <t>TANHEHCO MELITON L         MD</t>
  </si>
  <si>
    <t>(716) 662-6638</t>
  </si>
  <si>
    <t>TANHEHCO MELITON</t>
  </si>
  <si>
    <t>2104 EGGERT RD</t>
  </si>
  <si>
    <t>MILLER, LAURA, RPAC</t>
  </si>
  <si>
    <t>E0377046</t>
  </si>
  <si>
    <t>MILLER LAURA LEE</t>
  </si>
  <si>
    <t>MILLER, LAURA, PA</t>
  </si>
  <si>
    <t>(716) 913-4153</t>
  </si>
  <si>
    <t>LMILLER@KALEIDAHEALTH.ORG</t>
  </si>
  <si>
    <t>MILLER LAURA</t>
  </si>
  <si>
    <t>VELASQUEZ, MICHELLE, MD</t>
  </si>
  <si>
    <t>E0300302</t>
  </si>
  <si>
    <t>JAO-VELASQUEZ MICHELLE AGANA MD</t>
  </si>
  <si>
    <t>JAO-VELASQUEZ, MICHELLE, MD</t>
  </si>
  <si>
    <t>(716) 982-5723</t>
  </si>
  <si>
    <t>MJAOVELASQUEZ@KALEIDAHEALTH.ORG</t>
  </si>
  <si>
    <t>VELASQUEZ MICHELLE</t>
  </si>
  <si>
    <t>1150 YOUNGS RD STE 203</t>
  </si>
  <si>
    <t>THOMAS, EUNICE,</t>
  </si>
  <si>
    <t>E0289018</t>
  </si>
  <si>
    <t>THOMAS EUNICE LOUISE</t>
  </si>
  <si>
    <t>THOMAS, EUNICE, ANP</t>
  </si>
  <si>
    <t>ETHOMAS@KALEIDAHEALTH.ORG</t>
  </si>
  <si>
    <t>THOMAS EUNICE</t>
  </si>
  <si>
    <t>MALLAIS, KATHERINE, MSW</t>
  </si>
  <si>
    <t>E0362093</t>
  </si>
  <si>
    <t>JOHNSON JACQUELINE</t>
  </si>
  <si>
    <t>MALLAIS, KATHERINE, LCSW</t>
  </si>
  <si>
    <t>KMALLAIS@JFSBUFFALO.ORG</t>
  </si>
  <si>
    <t>MALLAIS KATHERINE MS.</t>
  </si>
  <si>
    <t>MALLAIS KATHERINE L</t>
  </si>
  <si>
    <t>ONEILL, JENNA, MD</t>
  </si>
  <si>
    <t>E0377565</t>
  </si>
  <si>
    <t>ONEILL JENNA LYN</t>
  </si>
  <si>
    <t>O'NEILL, JENNA, MD</t>
  </si>
  <si>
    <t>(716) 656-4829</t>
  </si>
  <si>
    <t>JONEILL@KALEIDAHEALTH.ORG</t>
  </si>
  <si>
    <t>ONEILL JENNA DR.</t>
  </si>
  <si>
    <t>O'NEILL JENNA LYN</t>
  </si>
  <si>
    <t>MORGAN, CINDY, RN</t>
  </si>
  <si>
    <t>MORGAN,  SUSAN, ADMIN ASSIST - HHS</t>
  </si>
  <si>
    <t>MORGAN CINDY MRS.</t>
  </si>
  <si>
    <t>MOWLA, ASHKAN, MD</t>
  </si>
  <si>
    <t>E0360282</t>
  </si>
  <si>
    <t>MOWLA ASHKAN</t>
  </si>
  <si>
    <t>AMOWLA@KALEIDAHEALTH.ORG</t>
  </si>
  <si>
    <t>MOYER, MARC, PA</t>
  </si>
  <si>
    <t>E0370580</t>
  </si>
  <si>
    <t>MOYER MARC C</t>
  </si>
  <si>
    <t>(716) 200-3113</t>
  </si>
  <si>
    <t>MMOYER@KALEIDAHEALTH.ORG</t>
  </si>
  <si>
    <t>MOYER MARC MR.</t>
  </si>
  <si>
    <t>2626 W STATE ST STE 205</t>
  </si>
  <si>
    <t>ARORA, NITIN, MD</t>
  </si>
  <si>
    <t>E0309214</t>
  </si>
  <si>
    <t>ARORA NITIN</t>
  </si>
  <si>
    <t>ARORA NITIN DR.</t>
  </si>
  <si>
    <t>(716) 440-5430</t>
  </si>
  <si>
    <t>ANAND, NYATHAPPA, MD</t>
  </si>
  <si>
    <t>E0285403</t>
  </si>
  <si>
    <t>ANAND NYATHAPPA GUNDAPPA MD</t>
  </si>
  <si>
    <t>MARY LYNN CANDELLA</t>
  </si>
  <si>
    <t>MARYLYNN.CANDELLA@NFMMC.ORG</t>
  </si>
  <si>
    <t>ANAND NYATHAPPA</t>
  </si>
  <si>
    <t>MISURACA, KRISTEN, MHC</t>
  </si>
  <si>
    <t>MISURACAK@SHSWNY.ORG</t>
  </si>
  <si>
    <t>MISURACA KRISTEN</t>
  </si>
  <si>
    <t>OZCAN, CEVHER, MD</t>
  </si>
  <si>
    <t>E0332456</t>
  </si>
  <si>
    <t>OZCAN CEVHER</t>
  </si>
  <si>
    <t>(716) 829-2663</t>
  </si>
  <si>
    <t>COZCAN@KALEIDAHEALTH.ORG</t>
  </si>
  <si>
    <t>OZCAN CEVHER DR.</t>
  </si>
  <si>
    <t>GREWAL, AMARPREET, MD</t>
  </si>
  <si>
    <t>E0340308</t>
  </si>
  <si>
    <t>GREWAL AMARPREET</t>
  </si>
  <si>
    <t>620 10TH ST STE 704</t>
  </si>
  <si>
    <t>BURAS, MORGAN,</t>
  </si>
  <si>
    <t>BURAS,  MORGAN, SR COUNSELOR LICENSED</t>
  </si>
  <si>
    <t>BURAS MORGAN</t>
  </si>
  <si>
    <t>KEISIC, KAITLYN,</t>
  </si>
  <si>
    <t>KEISIC,  KAITLYN, COUNSELOR II</t>
  </si>
  <si>
    <t>KEISIC KAITLYN</t>
  </si>
  <si>
    <t>NIAGARA LUTHERAN DEVELOPMENT, INC.</t>
  </si>
  <si>
    <t>E0181638</t>
  </si>
  <si>
    <t>GREENFIELD HEALTH &amp; REHAB</t>
  </si>
  <si>
    <t>(716) 886-4377</t>
  </si>
  <si>
    <t>GREENFIELD HEALTH &amp; REHAB CENTER</t>
  </si>
  <si>
    <t>5949 BROADWAY ST</t>
  </si>
  <si>
    <t>LANCASTER</t>
  </si>
  <si>
    <t>NEUFELD, ROBERT, MD</t>
  </si>
  <si>
    <t>E0191223</t>
  </si>
  <si>
    <t>NEUFELD ROBERT J     MD PC</t>
  </si>
  <si>
    <t>JACQUELINE LUCAS</t>
  </si>
  <si>
    <t>JLUCAS@BUFFALOHEARTGROUP.COM</t>
  </si>
  <si>
    <t>NEUFELD ROBERT</t>
  </si>
  <si>
    <t>KURITZKY, PAUL, MD</t>
  </si>
  <si>
    <t>E0239252</t>
  </si>
  <si>
    <t>KURITZKY PAUL              MD</t>
  </si>
  <si>
    <t>(716) 832-6207</t>
  </si>
  <si>
    <t>PKURITZKY@KALEIDAHEALTH.ORG</t>
  </si>
  <si>
    <t>KURITZKY PAUL</t>
  </si>
  <si>
    <t>54 ALCONA AVE</t>
  </si>
  <si>
    <t>LIM-SOH, HYUN, MD</t>
  </si>
  <si>
    <t>E0195149</t>
  </si>
  <si>
    <t>LIM-SOH HYUN JIN</t>
  </si>
  <si>
    <t>(716) 674-2393</t>
  </si>
  <si>
    <t>HLIMSOH@KALEIDAHEALTH.ORG</t>
  </si>
  <si>
    <t>LIM-SOH HYUN MRS.</t>
  </si>
  <si>
    <t>NIAGARA PULMONARY AND SLEEP MEDICINE, P.C.</t>
  </si>
  <si>
    <t>E0334377</t>
  </si>
  <si>
    <t>NIAGARA PULMONARY AND SLEEP MEDICIN</t>
  </si>
  <si>
    <t>6941 ELAINE DR STE 2</t>
  </si>
  <si>
    <t>MARZO, JOHN, MD</t>
  </si>
  <si>
    <t>E0175421</t>
  </si>
  <si>
    <t>MARZO JOHN M  MD</t>
  </si>
  <si>
    <t>(716) 829-2982</t>
  </si>
  <si>
    <t>JMARZO@KALEIDAHEALTH.ORG</t>
  </si>
  <si>
    <t>MARZO JOHN</t>
  </si>
  <si>
    <t>PERRY, ROBERT, MD</t>
  </si>
  <si>
    <t>E0224136</t>
  </si>
  <si>
    <t>PERRY ROBERT JOHNSON       MD</t>
  </si>
  <si>
    <t>RPERRY@KALEIDAHEALTH.ORG</t>
  </si>
  <si>
    <t>PERRY ROBERT DR.</t>
  </si>
  <si>
    <t>PERRY ROBERT JOHNSON</t>
  </si>
  <si>
    <t>GILBERT, RICHARD, MD</t>
  </si>
  <si>
    <t>E0149525</t>
  </si>
  <si>
    <t>GILBERT RICHARD N JR MD</t>
  </si>
  <si>
    <t>(716) 844-5600</t>
  </si>
  <si>
    <t>RGILBERT@KALEIDAHEALTH.ORG</t>
  </si>
  <si>
    <t>GILBERT RICHARD DR.</t>
  </si>
  <si>
    <t>GILBERT RICHARD NORMAN JR</t>
  </si>
  <si>
    <t>STE B100</t>
  </si>
  <si>
    <t>LELE, AMOL, MD</t>
  </si>
  <si>
    <t>E0251457</t>
  </si>
  <si>
    <t>LELE AMOL S                MD</t>
  </si>
  <si>
    <t>ALELE@KALEIDAHEALTH.ORG</t>
  </si>
  <si>
    <t>LELE AMOL DR.</t>
  </si>
  <si>
    <t>130 HODGE AVE</t>
  </si>
  <si>
    <t>CHERR, GREGORY, MD</t>
  </si>
  <si>
    <t>E0067973</t>
  </si>
  <si>
    <t>CHERR GREGORY S MD</t>
  </si>
  <si>
    <t>(716) 859-2810</t>
  </si>
  <si>
    <t>GCHERR@KALEIDAHEALTH.ORG</t>
  </si>
  <si>
    <t>CHERR GREGORY DR.</t>
  </si>
  <si>
    <t>ERIE CNTY MED CTR</t>
  </si>
  <si>
    <t>KONERU, SUCHITRA, MD</t>
  </si>
  <si>
    <t>E0035258</t>
  </si>
  <si>
    <t>KONERU SUCHITRA</t>
  </si>
  <si>
    <t>(716) 634-8262</t>
  </si>
  <si>
    <t>SKONERU@KALEIDAHEALTH.ORG</t>
  </si>
  <si>
    <t>CORSARO, JULIANA, LCSWR</t>
  </si>
  <si>
    <t>E0288127</t>
  </si>
  <si>
    <t>PLUNE JULIANA</t>
  </si>
  <si>
    <t>CORSARO, JULIANA, LCSW-R</t>
  </si>
  <si>
    <t>JULIANA.CORSARO@NIAGARACOUNTY.COM</t>
  </si>
  <si>
    <t>CORSARO JULIANA MS.</t>
  </si>
  <si>
    <t>CORSARO JULIANA</t>
  </si>
  <si>
    <t>BOWER, KAREN, PT</t>
  </si>
  <si>
    <t>BOWER , KAREN KAY</t>
  </si>
  <si>
    <t>(716) 661-4627</t>
  </si>
  <si>
    <t>BOWER KAREN</t>
  </si>
  <si>
    <t>3023 ROUTE 430</t>
  </si>
  <si>
    <t>GREENHURST</t>
  </si>
  <si>
    <t>VERNI, CHRISTINE, FNP</t>
  </si>
  <si>
    <t>E0003503</t>
  </si>
  <si>
    <t>VERNI CHRISTINE MARIE</t>
  </si>
  <si>
    <t>CVERNI@KALEIDAHEALTH.ORG</t>
  </si>
  <si>
    <t>VERNI CHRISTINE MRS.</t>
  </si>
  <si>
    <t>MUTTY, CHRISTOPHER, MD</t>
  </si>
  <si>
    <t>E0002970</t>
  </si>
  <si>
    <t>MUTTY CHRISTOPHER EDWARD</t>
  </si>
  <si>
    <t>CMUTTY@KALEIDAHEALTH.ORG</t>
  </si>
  <si>
    <t>MUTTY CHRISTOPHER DR.</t>
  </si>
  <si>
    <t>MUTTY CHRISTOPHER EDWARD MD</t>
  </si>
  <si>
    <t>KANALEY, ANNA, DO</t>
  </si>
  <si>
    <t>E0294477</t>
  </si>
  <si>
    <t>CARR ANNA MARIE</t>
  </si>
  <si>
    <t>AKANALEY@KALEIDAHEALTH.ORG</t>
  </si>
  <si>
    <t>KANALEY ANNA DR.</t>
  </si>
  <si>
    <t>KANALEY ANNA CARR</t>
  </si>
  <si>
    <t>CHASE, ALICIA, LMSW</t>
  </si>
  <si>
    <t>CHASE,  ALICIA , SR COUNSELOR LICENSED</t>
  </si>
  <si>
    <t>CHASE ALICIA</t>
  </si>
  <si>
    <t>LYNCH, JOSHUA, DOEMTP</t>
  </si>
  <si>
    <t>E0317946</t>
  </si>
  <si>
    <t>LYNCH JOSHUA JEREMIAH</t>
  </si>
  <si>
    <t>LYNCH, JOSHUA, DO</t>
  </si>
  <si>
    <t>(716) 677-2575</t>
  </si>
  <si>
    <t>JLYNCH@KALEIDAHEALTH.ORG</t>
  </si>
  <si>
    <t>LYNCH JOSHUA DR.</t>
  </si>
  <si>
    <t>BECKWITH, MICHAEL, MD</t>
  </si>
  <si>
    <t>E0362268</t>
  </si>
  <si>
    <t>BECKWITH MICHAEL GREGORY</t>
  </si>
  <si>
    <t>(716) 878-7328</t>
  </si>
  <si>
    <t>MBECKWITH@KALEIDAHEALTH.ORG</t>
  </si>
  <si>
    <t>BECKWITH MICHAEL MR.</t>
  </si>
  <si>
    <t>WOHLABAUGH, EMILY, MSW</t>
  </si>
  <si>
    <t>DUNLEVY (WOHLABAUGH),  EMILY, LMSW</t>
  </si>
  <si>
    <t>(716) 646-4991</t>
  </si>
  <si>
    <t>EDUNLEVY@CATSWNY.ORG</t>
  </si>
  <si>
    <t>WOHLABAUGH EMILY</t>
  </si>
  <si>
    <t>46 MAIN ST</t>
  </si>
  <si>
    <t>NEHME, ELIE, MD</t>
  </si>
  <si>
    <t>E0326231</t>
  </si>
  <si>
    <t>NEHME ELIE ANTOINE</t>
  </si>
  <si>
    <t>NEHME, ELIE,</t>
  </si>
  <si>
    <t>(716) 240-9407</t>
  </si>
  <si>
    <t>NEHME ELIE DR.</t>
  </si>
  <si>
    <t>2626 W STATE ST STE 2666</t>
  </si>
  <si>
    <t>SHIRANI, PEYMAN, MD</t>
  </si>
  <si>
    <t>E0355772</t>
  </si>
  <si>
    <t>SHIRANI PEYMAN</t>
  </si>
  <si>
    <t>PSHIRANI@KALEIDAHEALTH.ORG</t>
  </si>
  <si>
    <t>KRASKA, RONALD, OTR</t>
  </si>
  <si>
    <t>KRASKA,  RONALD, COUNSELOR III</t>
  </si>
  <si>
    <t>KRASKA RONALD</t>
  </si>
  <si>
    <t>KENYON SAVARD, GIUSEPPINA, DO</t>
  </si>
  <si>
    <t>E0007335</t>
  </si>
  <si>
    <t>GIUSEPPIHA JEAN KENYON SAVARD</t>
  </si>
  <si>
    <t>KENYON SAVARD GIUSEPPINA MRS.</t>
  </si>
  <si>
    <t>(716) 332-1644</t>
  </si>
  <si>
    <t>KENYON SAVARD GIUSEPPINA JEAN DO</t>
  </si>
  <si>
    <t>7350 PORTER ROAD</t>
  </si>
  <si>
    <t>FINUCANE, BREANNE, RPAC</t>
  </si>
  <si>
    <t>FINUCANE, BREANNE, PA</t>
  </si>
  <si>
    <t>BFINUCANE@KALEIDAHEALTH.ORG</t>
  </si>
  <si>
    <t>JEFFREY BREANNE MRS.</t>
  </si>
  <si>
    <t>100 CORPORATE PKWY, SUITE 112</t>
  </si>
  <si>
    <t>KAUSHIK, SASHANK, MD</t>
  </si>
  <si>
    <t>E0331644</t>
  </si>
  <si>
    <t>KAUSHIK SASHANK</t>
  </si>
  <si>
    <t>(716) 658-3514</t>
  </si>
  <si>
    <t>SKAUSHIK@KALEIDAHEALTH.ORG</t>
  </si>
  <si>
    <t>MENDYK, HEATHER,</t>
  </si>
  <si>
    <t>MENDYK,  HEATHER , COUNSELOR III</t>
  </si>
  <si>
    <t>MENDYK HEATHER</t>
  </si>
  <si>
    <t>ZERBE, DANIEL, MD</t>
  </si>
  <si>
    <t>E0125517</t>
  </si>
  <si>
    <t>ZERBE DANIEL LEE MD</t>
  </si>
  <si>
    <t>ZERBE DANIEL MR.</t>
  </si>
  <si>
    <t>C/O LETCHWORTH FAM M</t>
  </si>
  <si>
    <t>EHLENFIELD, DARYL, MD</t>
  </si>
  <si>
    <t>E0114383</t>
  </si>
  <si>
    <t>EHLENFIELD DARYL R MD</t>
  </si>
  <si>
    <t>DEHLENFIELD@KALEIDAHEALTH.ORG</t>
  </si>
  <si>
    <t>EHLENFIELD DARYL</t>
  </si>
  <si>
    <t>STERN, MONT, MD</t>
  </si>
  <si>
    <t>E0192295</t>
  </si>
  <si>
    <t>STERN MONT PHILLIP MD</t>
  </si>
  <si>
    <t>MSTERN@KALEIDAHEALTH.ORG</t>
  </si>
  <si>
    <t>STERN MONT</t>
  </si>
  <si>
    <t>SINHA, RAVI, MD</t>
  </si>
  <si>
    <t>E0093284</t>
  </si>
  <si>
    <t>SINHA RAVI NANDAN MD</t>
  </si>
  <si>
    <t>RSINHA@KALEIDAHEALTH.ORG</t>
  </si>
  <si>
    <t>SINHA RAVI DR.</t>
  </si>
  <si>
    <t>CONROY, ELIZABETH, MD</t>
  </si>
  <si>
    <t>E0136752</t>
  </si>
  <si>
    <t>CONROY ELIZABETH A MD</t>
  </si>
  <si>
    <t>ECONROY@KALEIDAHEALTH.ORG</t>
  </si>
  <si>
    <t>CONROY ELIZABETH DR.</t>
  </si>
  <si>
    <t>8625 SHERIDAN DR</t>
  </si>
  <si>
    <t>FLORES, TESSA, MD</t>
  </si>
  <si>
    <t>E0032533</t>
  </si>
  <si>
    <t>FLORES TESSA F MD</t>
  </si>
  <si>
    <t>(716) 652-8606</t>
  </si>
  <si>
    <t>TFLORES@KALEIDAHEALTH.ORG</t>
  </si>
  <si>
    <t>FLORES TESSA</t>
  </si>
  <si>
    <t>FLORES TESSA FAYE TAN</t>
  </si>
  <si>
    <t>NEWBERGER, DAVID, MD</t>
  </si>
  <si>
    <t>E0156389</t>
  </si>
  <si>
    <t>NEWBERGER DAVID SCOTT MD</t>
  </si>
  <si>
    <t>DNEWBERGER@KALEIDAHEALTH.ORG</t>
  </si>
  <si>
    <t>NEWBERGER DAVID DR.</t>
  </si>
  <si>
    <t>GUTTUSO, THOMAS, MD</t>
  </si>
  <si>
    <t>E0090517</t>
  </si>
  <si>
    <t>GUTTUSO THOMAS J MD</t>
  </si>
  <si>
    <t>(716) 878-4000</t>
  </si>
  <si>
    <t>TGUTTUSO@KALEIDAHEALTH.ORG</t>
  </si>
  <si>
    <t>GUTTUSO THOMAS</t>
  </si>
  <si>
    <t>BOTSOGLOU, NIKOLAOS, MD</t>
  </si>
  <si>
    <t>E0145127</t>
  </si>
  <si>
    <t>BOTSOGLOU NIKOLAOS K MD</t>
  </si>
  <si>
    <t>(716) 896-5922</t>
  </si>
  <si>
    <t>NBOTSOGLOU@KALEIDAHEALTH.ORG</t>
  </si>
  <si>
    <t>BOTSOGLOU NIKOLAOS DR.</t>
  </si>
  <si>
    <t>2475 HARLEM RD</t>
  </si>
  <si>
    <t>SIRKIN, SARA, MD</t>
  </si>
  <si>
    <t>E0236512</t>
  </si>
  <si>
    <t>SIRKIN SARA RACHEL G       MD</t>
  </si>
  <si>
    <t>(716) 836-8700</t>
  </si>
  <si>
    <t>SIRKIN SARA DR.</t>
  </si>
  <si>
    <t>2441 SHERIDAN DR</t>
  </si>
  <si>
    <t>SHAFIK, IHAB, MD</t>
  </si>
  <si>
    <t>E0134274</t>
  </si>
  <si>
    <t>SHAFIK IHAB MAHMOUD MD</t>
  </si>
  <si>
    <t>ISHAFIK@KALEIDAHEALTH.ORG</t>
  </si>
  <si>
    <t>SHAFIK IHAB DR.</t>
  </si>
  <si>
    <t>CAMPBELL, ANDREW, MD</t>
  </si>
  <si>
    <t>E0069015</t>
  </si>
  <si>
    <t>CAMPBELL ANDREW B MD</t>
  </si>
  <si>
    <t>ACAMPBELL@KALEIDAHEALTH.ORG</t>
  </si>
  <si>
    <t>CAMPBELL ANDREW DR.</t>
  </si>
  <si>
    <t>637 N 22ND ST</t>
  </si>
  <si>
    <t>PHILADELPHIA</t>
  </si>
  <si>
    <t>FASSIHI, AMIR, MD</t>
  </si>
  <si>
    <t>E0329389</t>
  </si>
  <si>
    <t>FASSIHI AMIR</t>
  </si>
  <si>
    <t>AFASSIHI@KALEIDAHEALTH.ORG</t>
  </si>
  <si>
    <t>160 E MAIN ST</t>
  </si>
  <si>
    <t>PORT JERVIS</t>
  </si>
  <si>
    <t>MILLHOUSE, DAVID, DDS</t>
  </si>
  <si>
    <t>E0017494</t>
  </si>
  <si>
    <t>MILLHOUSE DAVID CARSON DDS</t>
  </si>
  <si>
    <t>(716) 832-2182</t>
  </si>
  <si>
    <t>MILLHOUSE DAVID DR.</t>
  </si>
  <si>
    <t>MILLHOUSE DAVID CARSON</t>
  </si>
  <si>
    <t>1909 PINE AVE</t>
  </si>
  <si>
    <t>GAMBACORTA, KATHERINE, DO</t>
  </si>
  <si>
    <t>E0308553</t>
  </si>
  <si>
    <t>GAMBACORTA KATHERINE ANNE</t>
  </si>
  <si>
    <t>(330) 348-3773</t>
  </si>
  <si>
    <t>KGAMBACORTA@KALEIDAHEALTH.ORG</t>
  </si>
  <si>
    <t>GAMBACORTA KATHERINE</t>
  </si>
  <si>
    <t>KIM, CHEE, MD</t>
  </si>
  <si>
    <t>E0140720</t>
  </si>
  <si>
    <t>KIM CHEE HOON MD</t>
  </si>
  <si>
    <t>KIM, CHEE HOON, MD</t>
  </si>
  <si>
    <t>CKIM@KALEIDAHEALTH.ORG</t>
  </si>
  <si>
    <t>KIM CHEE DR.</t>
  </si>
  <si>
    <t>STRONG MEM HSP</t>
  </si>
  <si>
    <t>SHIELDS, GREGORY, MD</t>
  </si>
  <si>
    <t>E0037653</t>
  </si>
  <si>
    <t>SHIELDS GREGORY SCOTT MD</t>
  </si>
  <si>
    <t>GSHIELDS@KALEIDAHEALTH.ORG</t>
  </si>
  <si>
    <t>SHIELDS GREGORY DR.</t>
  </si>
  <si>
    <t>NOTARO-RIETZ, SARALYN, MD</t>
  </si>
  <si>
    <t>E0128656</t>
  </si>
  <si>
    <t>NOTARO RIETZ SARALYN</t>
  </si>
  <si>
    <t>SNOTAROREITZ@KALEIDAHEALTH.ORG</t>
  </si>
  <si>
    <t>NOTARO-RIETZ SARALYN</t>
  </si>
  <si>
    <t>170 MAPLE RD</t>
  </si>
  <si>
    <t>HEWSON, ROBERT, DPM</t>
  </si>
  <si>
    <t>E0222055</t>
  </si>
  <si>
    <t>HEWSON ROBERT A DPM</t>
  </si>
  <si>
    <t>(716) 833-8094</t>
  </si>
  <si>
    <t>RHEWSON@KALEIDAHEALTH.ORG</t>
  </si>
  <si>
    <t>HEWSON ROBERT DR.</t>
  </si>
  <si>
    <t>MORELLI, DANIEL, MD</t>
  </si>
  <si>
    <t>E0220941</t>
  </si>
  <si>
    <t>MORELLI DANIEL J           MD</t>
  </si>
  <si>
    <t>DMORELLI@KALEIDAHEALTH.ORG</t>
  </si>
  <si>
    <t>MORELLI DANIEL</t>
  </si>
  <si>
    <t>PETRAS, MELISSA, MD</t>
  </si>
  <si>
    <t>E0383497</t>
  </si>
  <si>
    <t>PETRAS MELISSA</t>
  </si>
  <si>
    <t>(802) 295-2679</t>
  </si>
  <si>
    <t>MPETRAS@KALEIDAHEALTH.ORG</t>
  </si>
  <si>
    <t>PETRAS MELISSA DR.</t>
  </si>
  <si>
    <t>E0186041</t>
  </si>
  <si>
    <t>ORLEANS COUNTY COMM SVC MH</t>
  </si>
  <si>
    <t>MARK O'BRIEN LCSW-R, DIRECTOR OF MENTAL HEALTH &amp; COMMUNITY SERVICES</t>
  </si>
  <si>
    <t>MARK.O'BRIEN@ORLEANSNY.COM</t>
  </si>
  <si>
    <t>All Other:: Case Management / Health Home:: Clinic:: Mental Health</t>
  </si>
  <si>
    <t>ORLEANS CNTY DEPT OF MNTL HLT</t>
  </si>
  <si>
    <t>THANDLA SRINIVAS</t>
  </si>
  <si>
    <t>E0094399</t>
  </si>
  <si>
    <t>SRINIVAS P THANDLA</t>
  </si>
  <si>
    <t>CORIGLIANO, MARIA, MD</t>
  </si>
  <si>
    <t>E0197873</t>
  </si>
  <si>
    <t>CORIGLIANO MARIA A         MD</t>
  </si>
  <si>
    <t>MCORIGLIANO@KALEIDAHEALTH.ORG</t>
  </si>
  <si>
    <t>CORIGLIANO MARIA</t>
  </si>
  <si>
    <t>AUDUBON MED CTR</t>
  </si>
  <si>
    <t>SIDDIQI, ATTIYA, MD</t>
  </si>
  <si>
    <t>E0296321</t>
  </si>
  <si>
    <t>SIDDIQI ATTIYA</t>
  </si>
  <si>
    <t>(716) 859-2260</t>
  </si>
  <si>
    <t>ASIDDIQI@KALEIDAHEALTH.ORG</t>
  </si>
  <si>
    <t>SIDDIQI ATTIYA MUNIR</t>
  </si>
  <si>
    <t>KAYE, DAVID, MD</t>
  </si>
  <si>
    <t>E0147622</t>
  </si>
  <si>
    <t>KAYE DAVID L MD</t>
  </si>
  <si>
    <t>(716) 873-7448</t>
  </si>
  <si>
    <t>DKAYE2@KALEIDAHEALTH.ORG</t>
  </si>
  <si>
    <t>KAYE DAVID DR.</t>
  </si>
  <si>
    <t>UNIV PSYCH PRAC</t>
  </si>
  <si>
    <t>STUART, ALICA, RPAC</t>
  </si>
  <si>
    <t>HERMANSON, ALICIA, PA</t>
  </si>
  <si>
    <t>(716) 675-7676</t>
  </si>
  <si>
    <t>AHERMANSON@KALEIDAHEALTH.ORG</t>
  </si>
  <si>
    <t>STUART ALICA MISS</t>
  </si>
  <si>
    <t>DOLENSEK, CHRISTIAN, DO</t>
  </si>
  <si>
    <t>E0327883</t>
  </si>
  <si>
    <t>DOLENSEK CHRISTIAN</t>
  </si>
  <si>
    <t>(716) 831-2200</t>
  </si>
  <si>
    <t>CDOLENSEK@KALEIDAHEALTH.ORG</t>
  </si>
  <si>
    <t>DOLENSEK CHRISTIAN DO</t>
  </si>
  <si>
    <t>BUFFALO PSYCHIATRIC CENTER ACT TEAM</t>
  </si>
  <si>
    <t>E0003191</t>
  </si>
  <si>
    <t>0373970A/ACT</t>
  </si>
  <si>
    <t>KIRAKOSYAN, ARMEN, MD</t>
  </si>
  <si>
    <t>E0349563</t>
  </si>
  <si>
    <t>KIRAKOSYAN ARMEN ARTASHOVICH</t>
  </si>
  <si>
    <t>(716) 883-4350</t>
  </si>
  <si>
    <t>AKIRAKOSYAN@KALEIDAHEALTH.ORG</t>
  </si>
  <si>
    <t>KIRAKOSYAN ARMEN</t>
  </si>
  <si>
    <t>1314 S LINDEN RD</t>
  </si>
  <si>
    <t>FLINT</t>
  </si>
  <si>
    <t>MI</t>
  </si>
  <si>
    <t>Tender Loving Family Care, Inc.</t>
  </si>
  <si>
    <t>Joann Glover</t>
  </si>
  <si>
    <t>(585) 637-0333</t>
  </si>
  <si>
    <t>jglover@tlfccs.com</t>
  </si>
  <si>
    <t>TENDER LOVING FAMILY CARE, INC.</t>
  </si>
  <si>
    <t>97 WEST AVE</t>
  </si>
  <si>
    <t>BROCKPORT</t>
  </si>
  <si>
    <t>GODZALA, MICHAEL, MD</t>
  </si>
  <si>
    <t>E0363107</t>
  </si>
  <si>
    <t>GODZALA MICHAEL EDWARD</t>
  </si>
  <si>
    <t>GODZALAM@SHSWNY.ORG</t>
  </si>
  <si>
    <t>GODZALA MICHAEL DR.</t>
  </si>
  <si>
    <t>1010 MAIN ST</t>
  </si>
  <si>
    <t>TERRITO, HEATHER, MD</t>
  </si>
  <si>
    <t>E0348576</t>
  </si>
  <si>
    <t>TERRITO HEATHER M</t>
  </si>
  <si>
    <t>TERRITO , HEATHER, MD</t>
  </si>
  <si>
    <t>HTERRITO@UPA.CHOB.EDU</t>
  </si>
  <si>
    <t>TERRITO HEATHER</t>
  </si>
  <si>
    <t>IP, VICKI, MD</t>
  </si>
  <si>
    <t>E0330206</t>
  </si>
  <si>
    <t>IP VICKI MD</t>
  </si>
  <si>
    <t>VIP@KALEIDAHEALTH.ORG</t>
  </si>
  <si>
    <t>IP VICKI DR.</t>
  </si>
  <si>
    <t>DERNBACH, ANNE, MS</t>
  </si>
  <si>
    <t>DERNBACH , ANNE, LMHC</t>
  </si>
  <si>
    <t>ADERNBAH@CATSWNY.ORG</t>
  </si>
  <si>
    <t>DERNBACH ANNE</t>
  </si>
  <si>
    <t>SAFARZADEH-AMIRI, SARA, MD</t>
  </si>
  <si>
    <t>E0378194</t>
  </si>
  <si>
    <t>SAFARZADEH-AMIRI SARA</t>
  </si>
  <si>
    <t>SARA SAFARZADEH-AMIRI, , MD</t>
  </si>
  <si>
    <t>(718) 724-9359</t>
  </si>
  <si>
    <t>CHEN, CHIA-HUI, FNP</t>
  </si>
  <si>
    <t>E0341955</t>
  </si>
  <si>
    <t>CHEN CHIA-HUI</t>
  </si>
  <si>
    <t>(716) 982-9416</t>
  </si>
  <si>
    <t>CCHEN@KALEIDAHEALTH.ORG</t>
  </si>
  <si>
    <t>MATTELIANO, ANDREA, PAC</t>
  </si>
  <si>
    <t>E0374346</t>
  </si>
  <si>
    <t>MATTELIANO ANDREA M PA-C</t>
  </si>
  <si>
    <t>MATTELIANO, ANDREA, PA</t>
  </si>
  <si>
    <t>AMATTELIANO@KALEIDAHEALTH.ORG</t>
  </si>
  <si>
    <t>MATTELIANO ANDREA</t>
  </si>
  <si>
    <t>NEMETI, MICHAEL, MALMHC</t>
  </si>
  <si>
    <t>NEMETI, MICHAEL, LMHC</t>
  </si>
  <si>
    <t>(315) 446-6250</t>
  </si>
  <si>
    <t>MNEMETI@CFSBNY.ORG</t>
  </si>
  <si>
    <t>NEMETI MICHAEL MR.</t>
  </si>
  <si>
    <t>960 SALT SPRINGS RD, BLDG 6, 3RD FLOOR</t>
  </si>
  <si>
    <t>OSTOLSKI, PENELOPE, PHYSICIAN</t>
  </si>
  <si>
    <t>E0064864</t>
  </si>
  <si>
    <t>OSTOLSKI PENELOPE LYN RPA</t>
  </si>
  <si>
    <t>OSTOLSKI, PENELOPE, PA</t>
  </si>
  <si>
    <t>POSTOLSKI@KALEIDAHEALTH.ORG</t>
  </si>
  <si>
    <t>OSTOLSKI PENELOPE MS.</t>
  </si>
  <si>
    <t>OSTOLSKI PENELOPE LYN</t>
  </si>
  <si>
    <t>199 PARK CLUB LN STE 300</t>
  </si>
  <si>
    <t>CRESTWOOD HEALTH CARE CENTER INC.</t>
  </si>
  <si>
    <t>CREATWOOD HEALTH CARE CENTER INC</t>
  </si>
  <si>
    <t>2600 NIAGARA FALLS BLVD</t>
  </si>
  <si>
    <t>E0189732</t>
  </si>
  <si>
    <t>BAKER HALL,INC</t>
  </si>
  <si>
    <t>650 RIDGE RD</t>
  </si>
  <si>
    <t>E0263166</t>
  </si>
  <si>
    <t>WOMENS &amp; CHILDRENS HSP BUFFAL</t>
  </si>
  <si>
    <t>KIRSTEN SMITH</t>
  </si>
  <si>
    <t>(716) 859-8396</t>
  </si>
  <si>
    <t>DMCKINNEY@KALEIDAHEALTH.ORG</t>
  </si>
  <si>
    <t>DOH AND OMH SERVICES</t>
  </si>
  <si>
    <t>BULA, MELANIA, MD</t>
  </si>
  <si>
    <t>E0293013</t>
  </si>
  <si>
    <t>BULA MELANIA</t>
  </si>
  <si>
    <t>(919) 225-5646</t>
  </si>
  <si>
    <t>MBULA@KALEIDAHEALTH.ORG</t>
  </si>
  <si>
    <t>BULA MELANIA LIZA MD</t>
  </si>
  <si>
    <t>BANACH, BRENDA, LMSWCASA</t>
  </si>
  <si>
    <t>JOHN-BANACH,  BRENDA , VP OF OPERATIONS</t>
  </si>
  <si>
    <t>BANACH BRENDA</t>
  </si>
  <si>
    <t>RIDGE VIEW MANOR LLC</t>
  </si>
  <si>
    <t>E0219549</t>
  </si>
  <si>
    <t>RIDGE VIEW MANOR</t>
  </si>
  <si>
    <t>300 DORRANCE AVE</t>
  </si>
  <si>
    <t>CASTALDO, RICHARD, MD</t>
  </si>
  <si>
    <t>E0165553</t>
  </si>
  <si>
    <t>CASTALDO RICHARD S MD</t>
  </si>
  <si>
    <t>CASTALDO RICHARD</t>
  </si>
  <si>
    <t>E0252031</t>
  </si>
  <si>
    <t>NIAGARA COUNTY HEALTH DEPT</t>
  </si>
  <si>
    <t>DANIEL J. STAPLETON, PUBLIC HEALTH DIRECTOR</t>
  </si>
  <si>
    <t>KARASZEWSKI, BRIAN, MD</t>
  </si>
  <si>
    <t>E0072787</t>
  </si>
  <si>
    <t>KARASZEWSKI BRIAN</t>
  </si>
  <si>
    <t>BKARASZEWSKI@KALEIDAHEALTH.ORG</t>
  </si>
  <si>
    <t>KARASZEWSKI BRIAN DR.</t>
  </si>
  <si>
    <t>KARASZEWSKI BRIAN MICHAEL</t>
  </si>
  <si>
    <t>400 INTERNATIONAL DRIVE</t>
  </si>
  <si>
    <t>SZYMANSKI, TALIA, PA</t>
  </si>
  <si>
    <t>E0298995</t>
  </si>
  <si>
    <t>MERLINO TALIA GRACE RPA</t>
  </si>
  <si>
    <t>SZYMANSKI, TALIA, PA-C</t>
  </si>
  <si>
    <t>TSZYMANSKI@KALEIDAHEALTH.ORG</t>
  </si>
  <si>
    <t>SZYMANSKI TALIA</t>
  </si>
  <si>
    <t>SZYMANSKI TALIA GRACE RPA</t>
  </si>
  <si>
    <t>3671 SOUTHWESTERN BLVD STE 207</t>
  </si>
  <si>
    <t>YANG, MIN, MD</t>
  </si>
  <si>
    <t>E0340224</t>
  </si>
  <si>
    <t>YANG MIN</t>
  </si>
  <si>
    <t>MYANG@KALEIDAHEALTH.ORG</t>
  </si>
  <si>
    <t>CRIMMINS, SHAUN,</t>
  </si>
  <si>
    <t>E0394850</t>
  </si>
  <si>
    <t>CRIMMINS SHAUN PATRICK</t>
  </si>
  <si>
    <t>CRIMMINS, SHAUN, LMSW</t>
  </si>
  <si>
    <t>CRIMMINS SHAUN</t>
  </si>
  <si>
    <t>GLISS, LINDSAY, MSPNP</t>
  </si>
  <si>
    <t>E0318281</t>
  </si>
  <si>
    <t>GLISS LINDSAY</t>
  </si>
  <si>
    <t>GLISS, LINDSAY, PNP</t>
  </si>
  <si>
    <t>(716) 684-3974</t>
  </si>
  <si>
    <t>LGLISS@KALEIDAHEALTH.ORG</t>
  </si>
  <si>
    <t>GLISS LINDSAY MS.</t>
  </si>
  <si>
    <t>461 WILLIAM ST</t>
  </si>
  <si>
    <t>GHAZI, MUHAMMAD, MD</t>
  </si>
  <si>
    <t>E0340278</t>
  </si>
  <si>
    <t>GHAZI MUHAMMAD AHMAD</t>
  </si>
  <si>
    <t>(716) 994-7542</t>
  </si>
  <si>
    <t>MGHAZI@KALEIDAHEALTH.ORG</t>
  </si>
  <si>
    <t>GHAZI MUHAMMAD DR.</t>
  </si>
  <si>
    <t>STANGE, TRACY,</t>
  </si>
  <si>
    <t>STANGE,  TRACY, COUNSELOR III</t>
  </si>
  <si>
    <t>STANGE TRACY</t>
  </si>
  <si>
    <t>ROTHMAN, ALYSSA,</t>
  </si>
  <si>
    <t>ROTHMAN, ALYSSA, COUNSELOR III - HV</t>
  </si>
  <si>
    <t>ROTHMAN ALYSSA</t>
  </si>
  <si>
    <t>CONBOY, SARAH, PMHNPBC</t>
  </si>
  <si>
    <t>E0359312</t>
  </si>
  <si>
    <t>CONBOY SARAH L</t>
  </si>
  <si>
    <t>CONBOY, SARAH, PMHNP</t>
  </si>
  <si>
    <t>(716) 886-5493</t>
  </si>
  <si>
    <t>SARAH.CONBOY@NIAGARACOUNTY.COM</t>
  </si>
  <si>
    <t>CONBOY SARAH MISS</t>
  </si>
  <si>
    <t>SANTILLI, MARIO, MD</t>
  </si>
  <si>
    <t>E0223478</t>
  </si>
  <si>
    <t>SANTILLI MARIO DONATO MD</t>
  </si>
  <si>
    <t>(716) 204-3250</t>
  </si>
  <si>
    <t>MSANTILLI@KALEIDAHEALTH.ORG</t>
  </si>
  <si>
    <t>SANTILLI MARIO</t>
  </si>
  <si>
    <t>ERIE COUNTY MED CNTR</t>
  </si>
  <si>
    <t>CALABRESE, REBECCA, MD</t>
  </si>
  <si>
    <t>E0077075</t>
  </si>
  <si>
    <t>CALABRESE REBECCA K MD</t>
  </si>
  <si>
    <t>(845) 703-6999</t>
  </si>
  <si>
    <t>RCALABRESE@KALEIDAHEALTH.ORG</t>
  </si>
  <si>
    <t>CALABRESE REBECCA</t>
  </si>
  <si>
    <t>CALABRESE REBECCA KATE</t>
  </si>
  <si>
    <t>8714 5TH AVE</t>
  </si>
  <si>
    <t>BROOKLYN</t>
  </si>
  <si>
    <t>MUSIELAK, PIA, RPAC</t>
  </si>
  <si>
    <t>E0057240</t>
  </si>
  <si>
    <t>BALDO PIA L RPA</t>
  </si>
  <si>
    <t>MUSIELAK, PIA, PA</t>
  </si>
  <si>
    <t>PMUSIELAK@KALEIDAHEALTH.ORG</t>
  </si>
  <si>
    <t>MUSIELAK PIA</t>
  </si>
  <si>
    <t>MUSIELAK PIA L RPA</t>
  </si>
  <si>
    <t>SINGH, RANJIT, MD</t>
  </si>
  <si>
    <t>E0092407</t>
  </si>
  <si>
    <t>SINGH RANJIT MD</t>
  </si>
  <si>
    <t>EMILY CAMILLERI</t>
  </si>
  <si>
    <t>(716) 282-5545</t>
  </si>
  <si>
    <t>SINGH RANJIT</t>
  </si>
  <si>
    <t>DALE, PRISCILLA, MD</t>
  </si>
  <si>
    <t>E0155651</t>
  </si>
  <si>
    <t>DALE PRISCILLA K MD</t>
  </si>
  <si>
    <t>DALE PRISCILLA DR.</t>
  </si>
  <si>
    <t>GUTH, KENNETH, MD</t>
  </si>
  <si>
    <t>E0185498</t>
  </si>
  <si>
    <t>GUTH KENNETH J MD</t>
  </si>
  <si>
    <t>(716) 972-0300</t>
  </si>
  <si>
    <t>GUTH KENNETH DR.</t>
  </si>
  <si>
    <t>GUTH KENNETH JOSEPH</t>
  </si>
  <si>
    <t>3320 N BENZING RD</t>
  </si>
  <si>
    <t>DASHKOFF, NEIL, MD</t>
  </si>
  <si>
    <t>E0234856</t>
  </si>
  <si>
    <t>DASHKOFF NEIL              MD</t>
  </si>
  <si>
    <t>NDASHKOFF@KALEIDAHEALTH.ORG</t>
  </si>
  <si>
    <t>DASHKOFF NEIL DR.</t>
  </si>
  <si>
    <t>ERIE CTY MED CTR</t>
  </si>
  <si>
    <t>GORMAN, GERALD, MD</t>
  </si>
  <si>
    <t>E0060478</t>
  </si>
  <si>
    <t>GORMAN GERALD R MD</t>
  </si>
  <si>
    <t>(508) 941-7400</t>
  </si>
  <si>
    <t>GORMAN GERALD</t>
  </si>
  <si>
    <t>LEONARD, GLENN, MD</t>
  </si>
  <si>
    <t>E0020929</t>
  </si>
  <si>
    <t>LEONARD JR. GLENN MD</t>
  </si>
  <si>
    <t>(716) 713-8057</t>
  </si>
  <si>
    <t>GLEONARD@KALEIDAHEALTH.ORG</t>
  </si>
  <si>
    <t>LEONARD GLENN DR.</t>
  </si>
  <si>
    <t>JANICKE, DAVID, MD</t>
  </si>
  <si>
    <t>E0170875</t>
  </si>
  <si>
    <t>JANICKE DAVID MICHAEL MD</t>
  </si>
  <si>
    <t>DJANICKE@KALEIDAHEALTH.ORG</t>
  </si>
  <si>
    <t>JANICKE DAVID DR.</t>
  </si>
  <si>
    <t>COSGROVE-DRURY, KATHLEEN, NP</t>
  </si>
  <si>
    <t>E0032386</t>
  </si>
  <si>
    <t>COSGROVE-DRURY KATHLEEN NP</t>
  </si>
  <si>
    <t>COSGROVE-DRURY, KATHLEEN, ANP</t>
  </si>
  <si>
    <t>(716) 832-7116</t>
  </si>
  <si>
    <t>KCOSGROVEDRURY@KALEIDAHEALTH.ORG</t>
  </si>
  <si>
    <t>COSGROVE-DRURY KATHLEEN</t>
  </si>
  <si>
    <t>COSGROVE DRURY KATHLEEN NP</t>
  </si>
  <si>
    <t>MELENDEZ, RICARDO, FNP</t>
  </si>
  <si>
    <t>E0004544</t>
  </si>
  <si>
    <t>MELENDEZ RICARDO</t>
  </si>
  <si>
    <t>GUANACO911@HOTMAIL.COM</t>
  </si>
  <si>
    <t>MELENDEZ RICARDO MR.</t>
  </si>
  <si>
    <t>MELENDEZ RICARDO CORDOVA</t>
  </si>
  <si>
    <t>FALLON, THOMAS, DDS</t>
  </si>
  <si>
    <t>E0382496</t>
  </si>
  <si>
    <t>FALLON THOMAS BRENDAN</t>
  </si>
  <si>
    <t>(718) 901-8110</t>
  </si>
  <si>
    <t>TFALLON@KALEIDAHEALTH.ORG</t>
  </si>
  <si>
    <t>FALLON THOMAS DR.</t>
  </si>
  <si>
    <t>THILAGAR, BRIGHT, MD</t>
  </si>
  <si>
    <t>E0362252</t>
  </si>
  <si>
    <t>THILAGAR BRIGHT</t>
  </si>
  <si>
    <t>(716) 844-3330</t>
  </si>
  <si>
    <t>BTHILAGAR@KALEIDAHEALTH.ORG</t>
  </si>
  <si>
    <t>THILAGAR BRIGHT DR.</t>
  </si>
  <si>
    <t>THILAGAR BRIGHT PEARSON</t>
  </si>
  <si>
    <t>GRAF, PATTI, NNPBC</t>
  </si>
  <si>
    <t>E0303254</t>
  </si>
  <si>
    <t>GRAF PATTI</t>
  </si>
  <si>
    <t>GRAF, PATTI, NNP</t>
  </si>
  <si>
    <t>(716) 828-2568</t>
  </si>
  <si>
    <t>PGRAF@KALEIDAHEALTH.ORG</t>
  </si>
  <si>
    <t>GRAF PATTI MS.</t>
  </si>
  <si>
    <t>GRAF PATTI A</t>
  </si>
  <si>
    <t>NIXON, ELEANOR, FNP</t>
  </si>
  <si>
    <t>E0302820</t>
  </si>
  <si>
    <t>NIXON ELEANOR BRIDGET</t>
  </si>
  <si>
    <t>ELEANOR NIXON, , FNP</t>
  </si>
  <si>
    <t>NIXON ELEANOR MRS.</t>
  </si>
  <si>
    <t>SCHWAAB, THOMAS, MD</t>
  </si>
  <si>
    <t>E0298206</t>
  </si>
  <si>
    <t>SCHWAAB THOMAS</t>
  </si>
  <si>
    <t>TSCHWAAB@KALEIDAHEALTH.ORG</t>
  </si>
  <si>
    <t>MEDICAID LONG TERM PROGRAM, VNA OF WNY, INC.</t>
  </si>
  <si>
    <t>E0184594</t>
  </si>
  <si>
    <t>VNA OF WESTERN NY INC LTHHCP</t>
  </si>
  <si>
    <t>COUNTY OF CATTARAUGUS</t>
  </si>
  <si>
    <t>E0233631</t>
  </si>
  <si>
    <t>CATTARAUGUS CNTY DOH LTHHCP</t>
  </si>
  <si>
    <t>CATTARAUGUS COUNTY DOH EICM</t>
  </si>
  <si>
    <t>(716) 373-8050</t>
  </si>
  <si>
    <t>BECK, JESSICA, PA</t>
  </si>
  <si>
    <t>JBECK@KALEIDAHEALTH.ORG</t>
  </si>
  <si>
    <t>BECK JESSICA</t>
  </si>
  <si>
    <t>ROSEMAN, JANICE, DDS</t>
  </si>
  <si>
    <t>(716) 633-1991</t>
  </si>
  <si>
    <t>JROSEMAN@KALEIDAHEALTH.ORG</t>
  </si>
  <si>
    <t>ROSEMAN JANICE</t>
  </si>
  <si>
    <t>13 HOPKINS RD</t>
  </si>
  <si>
    <t>SHARMA, UMESH, MDMSPH</t>
  </si>
  <si>
    <t>E0354778</t>
  </si>
  <si>
    <t>SHARMA UMESH C</t>
  </si>
  <si>
    <t>SHARMA, UMESH, MD</t>
  </si>
  <si>
    <t>USHARMA@KALEIDAHEALTH.ORG</t>
  </si>
  <si>
    <t>SHARMA UMESH DR.</t>
  </si>
  <si>
    <t>3989 SHERIDAN DR FL 6</t>
  </si>
  <si>
    <t>RANGEL-CASTILLA, LEONARDO, MD</t>
  </si>
  <si>
    <t>LRANGEL-CASTILLA@KALEIDAHEALTH.ORG</t>
  </si>
  <si>
    <t>RANGEL-CASTILLA LEONARDO DR.</t>
  </si>
  <si>
    <t>100 HIGH ST FL BWING4</t>
  </si>
  <si>
    <t>MEAGHER, LINDSAY, LMSW</t>
  </si>
  <si>
    <t>MEAGHER,  LINDSAY, COORD OF PROFESSIONAL DEVELOP</t>
  </si>
  <si>
    <t>MEAGHER LINDSAY MS.</t>
  </si>
  <si>
    <t>DONOVAN, MAUREEN, ANP</t>
  </si>
  <si>
    <t>(716) 667-7644</t>
  </si>
  <si>
    <t>MDONOVAN3@KALEIDAHEALTH.ORG</t>
  </si>
  <si>
    <t>DONOVAN MAUREEN MS.</t>
  </si>
  <si>
    <t>FASANELLO, JOSEPH, MD</t>
  </si>
  <si>
    <t>E0356236</t>
  </si>
  <si>
    <t>FASANELLO JOSEPH FRANCIS</t>
  </si>
  <si>
    <t>JFASANELLO@KALEIDAHEALTH.ORG</t>
  </si>
  <si>
    <t>FASANELLO JOSEPH DR.</t>
  </si>
  <si>
    <t>4154 MCKINLEY PKWY STE 275</t>
  </si>
  <si>
    <t>BLASDELL</t>
  </si>
  <si>
    <t>HONIG, ELIZABETH,</t>
  </si>
  <si>
    <t>HONIG, ELIZABETH, LMSW</t>
  </si>
  <si>
    <t>HONIG ELIZABETH MISS</t>
  </si>
  <si>
    <t>WAGNER, GINA, NP</t>
  </si>
  <si>
    <t>WAGNER, GINA, ANP</t>
  </si>
  <si>
    <t>GWAGNER3@KALEIDAHEALTH.ORG</t>
  </si>
  <si>
    <t>WAGNER GINA</t>
  </si>
  <si>
    <t>SCHWARZMUELLER, SARAH, FNP</t>
  </si>
  <si>
    <t>(716) 439-0344</t>
  </si>
  <si>
    <t>SSCHWARZMUELLER@KALEIDAHEALTH.ORG</t>
  </si>
  <si>
    <t>SCHWARZMUELLER SARAH MRS.</t>
  </si>
  <si>
    <t>BRACKEN, MARY, ANP</t>
  </si>
  <si>
    <t>E0048621</t>
  </si>
  <si>
    <t>BRACKEN COLLEEN</t>
  </si>
  <si>
    <t>BRACKEN, COLLEEN, NP, RN</t>
  </si>
  <si>
    <t>BRACKEN MARY MRS.</t>
  </si>
  <si>
    <t>BRACKEN COLLEEN MARY</t>
  </si>
  <si>
    <t>2605 HARLEM ROAD</t>
  </si>
  <si>
    <t>JUDKIEWICZ, SARAH, PNP</t>
  </si>
  <si>
    <t>E0040034</t>
  </si>
  <si>
    <t>JUDKIEWICZ SARAH ANN</t>
  </si>
  <si>
    <t>SJUDKIEWICZ@KALEIDAHEALTH.ORG</t>
  </si>
  <si>
    <t>JUDKIEWICZ SARAH</t>
  </si>
  <si>
    <t>UNIV BUFFALO NEURO</t>
  </si>
  <si>
    <t>VOGAN, JONATHAN, MD</t>
  </si>
  <si>
    <t>E0092449</t>
  </si>
  <si>
    <t>VOGAN JONATHAN C MD</t>
  </si>
  <si>
    <t>(716) 675-0616</t>
  </si>
  <si>
    <t>JVOGAN@KALEIDAHEALTH.ORG</t>
  </si>
  <si>
    <t>VOGAN JONATHAN DR.</t>
  </si>
  <si>
    <t>EMERSON, CLAUDIA, NP</t>
  </si>
  <si>
    <t>E0073527</t>
  </si>
  <si>
    <t>EMERSON CLAUDIA JANICE</t>
  </si>
  <si>
    <t>EMERSON CLAUDIA</t>
  </si>
  <si>
    <t>154 CAZENOVIA ST</t>
  </si>
  <si>
    <t>HIRSH, FREDRIC, MD</t>
  </si>
  <si>
    <t>E0235948</t>
  </si>
  <si>
    <t>HIRSH FREDRIC M            MD</t>
  </si>
  <si>
    <t>HIRSH FREDRIC DR.</t>
  </si>
  <si>
    <t>DOBSON-CALLAHAN, KIM, MD</t>
  </si>
  <si>
    <t>E0150139</t>
  </si>
  <si>
    <t>DOBSON KIM MELISSA MD</t>
  </si>
  <si>
    <t>DOBSON, KIM, MD</t>
  </si>
  <si>
    <t>(716) 898-4857</t>
  </si>
  <si>
    <t>KDOBSON@KALEIDAHEALTH.ORG</t>
  </si>
  <si>
    <t>DOBSON-CALLAHAN KIM MRS.</t>
  </si>
  <si>
    <t>130 EMPIRE DR</t>
  </si>
  <si>
    <t>BRASS, CORSTIAAN, MD</t>
  </si>
  <si>
    <t>E0228605</t>
  </si>
  <si>
    <t>BRASS CORSTIAAN            MD</t>
  </si>
  <si>
    <t>CBRASS@KALEIDAHEALTH.ORG</t>
  </si>
  <si>
    <t>BRASS CORSTIAAN DR.</t>
  </si>
  <si>
    <t>BRASS CORSTIAAN  MD</t>
  </si>
  <si>
    <t>SUFFOLETTO, HEIDI, MD</t>
  </si>
  <si>
    <t>E0065593</t>
  </si>
  <si>
    <t>SUFFOLETTO HEIDI NARINS MD</t>
  </si>
  <si>
    <t>HSUFFOLETTO@KALEIDAHEALTH.ORG</t>
  </si>
  <si>
    <t>SUFFOLETTO HEIDI</t>
  </si>
  <si>
    <t>TOOTHMAN, RICHARD, MD</t>
  </si>
  <si>
    <t>E0298428</t>
  </si>
  <si>
    <t>TOOTHMAN RICHA</t>
  </si>
  <si>
    <t>RTOOTHMAN@KALEIDAHEALTH.ORG</t>
  </si>
  <si>
    <t>TOOTHMAN RICHARD DR.</t>
  </si>
  <si>
    <t>68 BUSHVILLE ROAD</t>
  </si>
  <si>
    <t>HARRIS</t>
  </si>
  <si>
    <t>EGGLESTON, GARY, MD</t>
  </si>
  <si>
    <t>E0227501</t>
  </si>
  <si>
    <t>EGGLESTON GARY E MD</t>
  </si>
  <si>
    <t>EGGLESTON, GARY,</t>
  </si>
  <si>
    <t>(712) 326-4678</t>
  </si>
  <si>
    <t>EGGLESTON GARY DR.</t>
  </si>
  <si>
    <t>EGGLESTON GARY E  MD</t>
  </si>
  <si>
    <t>KIM, MARK, DO</t>
  </si>
  <si>
    <t>E0032144</t>
  </si>
  <si>
    <t>KIM MARK MD</t>
  </si>
  <si>
    <t>MKIM@KALEIDAHEALTH.ORG</t>
  </si>
  <si>
    <t>KIM MARK DR.</t>
  </si>
  <si>
    <t>STATHOPOULOS, NICHOLAS, MD</t>
  </si>
  <si>
    <t>E0125213</t>
  </si>
  <si>
    <t>STATHOPOULOS NICHOLAS A MD</t>
  </si>
  <si>
    <t>(716) 837-5200</t>
  </si>
  <si>
    <t>NSTATHOPOULOS@KALEIDAHEALTH.ORG</t>
  </si>
  <si>
    <t>STATHOPOULOS NICHOLAS DR.</t>
  </si>
  <si>
    <t>27 PORTER AVE</t>
  </si>
  <si>
    <t>GRECO, JOSEPH, MD</t>
  </si>
  <si>
    <t>E0158219</t>
  </si>
  <si>
    <t>GRECO JOSEPH M MD</t>
  </si>
  <si>
    <t>JGRECO@KALEIDAHEALTH.ORG</t>
  </si>
  <si>
    <t>GRECO JOSEPH DR.</t>
  </si>
  <si>
    <t>GRECO JOSEPH M</t>
  </si>
  <si>
    <t>AMHERST UROLOGY PC</t>
  </si>
  <si>
    <t>SCHUELER, WILLIAM, DO</t>
  </si>
  <si>
    <t>E0175243</t>
  </si>
  <si>
    <t>SCHUELER WILLIAM C  DO</t>
  </si>
  <si>
    <t>(716) 839-8000</t>
  </si>
  <si>
    <t>WSCHUELER@KALEIDAHEALTH.ORG</t>
  </si>
  <si>
    <t>SCHUELER WILLIAM</t>
  </si>
  <si>
    <t>CLEVELAND HILL MED G</t>
  </si>
  <si>
    <t>DE ROSAS, JUAN, MD</t>
  </si>
  <si>
    <t>E0238051</t>
  </si>
  <si>
    <t>DEROSAS JUAN FACUNDO       MD</t>
  </si>
  <si>
    <t>DE ROSAS JUAN DR.</t>
  </si>
  <si>
    <t>(716) 434-8802</t>
  </si>
  <si>
    <t>DE ROSAS JUAN FACUNDO       MD</t>
  </si>
  <si>
    <t>6030 EDWARD AVE</t>
  </si>
  <si>
    <t>COGSWELL, ALEX, PHD</t>
  </si>
  <si>
    <t>COGSWELL, PETER, PHD</t>
  </si>
  <si>
    <t>(716) 859-5484</t>
  </si>
  <si>
    <t>ACOGSWELL@KALEIDAHEALTH.ORG</t>
  </si>
  <si>
    <t>COGSWELL ALEX</t>
  </si>
  <si>
    <t>1028 MAIN STREET, CHILDREN'S PSYCHIATRY CLINIC</t>
  </si>
  <si>
    <t>SIMKINS, JENNIFER,</t>
  </si>
  <si>
    <t>E0294830</t>
  </si>
  <si>
    <t>SIMKINS JENNIFER LYN</t>
  </si>
  <si>
    <t>SIMKINS, JENNIFER, MD</t>
  </si>
  <si>
    <t>JSIMKINS@KALEIDAHEALTH.ORG</t>
  </si>
  <si>
    <t>SIMKINS JENNIFER</t>
  </si>
  <si>
    <t>POREDA, ANDREW, MD</t>
  </si>
  <si>
    <t>E0335077</t>
  </si>
  <si>
    <t>POREDA ANDREW ROBERT</t>
  </si>
  <si>
    <t>APOREDA@KALEIDAHEALTH.ORG</t>
  </si>
  <si>
    <t>POREDA ANDREW DR.</t>
  </si>
  <si>
    <t>SIEMINSKI, MARK, MD</t>
  </si>
  <si>
    <t>E0294410</t>
  </si>
  <si>
    <t>SIEMINSKI MARK MATTHEW</t>
  </si>
  <si>
    <t>MSIEMINSKI@KALEIDAHEALTH.ORG</t>
  </si>
  <si>
    <t>SIEMINSKI MARK DR.</t>
  </si>
  <si>
    <t>DOAK, JEREMY, MD</t>
  </si>
  <si>
    <t>E0375851</t>
  </si>
  <si>
    <t>DOAK JEREMY PAUL</t>
  </si>
  <si>
    <t>(401) 457-1536</t>
  </si>
  <si>
    <t>JDOAK@KALEIDAHEALTH.ORG</t>
  </si>
  <si>
    <t>DOAK JEREMY</t>
  </si>
  <si>
    <t>2 DUDLEY ST STE 200</t>
  </si>
  <si>
    <t>PROVIDENCE</t>
  </si>
  <si>
    <t>RI</t>
  </si>
  <si>
    <t>VARGA, MARGARET,</t>
  </si>
  <si>
    <t>VARGA, MARGARET, CASAC</t>
  </si>
  <si>
    <t>VARGAM@SHSWNY.ORG</t>
  </si>
  <si>
    <t>VARGA MARGARET</t>
  </si>
  <si>
    <t>YACOB, GABRIEL, MD</t>
  </si>
  <si>
    <t>E0348298</t>
  </si>
  <si>
    <t>YACOB GABRIEL E</t>
  </si>
  <si>
    <t>YACOB, GABRIEL,</t>
  </si>
  <si>
    <t>YACOB GABRIEL</t>
  </si>
  <si>
    <t>FLOREZ MARINO, ANDREA,</t>
  </si>
  <si>
    <t>MARINO FLOREZ, ANDREA, LMHC</t>
  </si>
  <si>
    <t>AFLOREZ@CATSWNY.ORG</t>
  </si>
  <si>
    <t>FLOREZ MARINO ANDREA</t>
  </si>
  <si>
    <t>SCORSONE, CAROL, LCSW</t>
  </si>
  <si>
    <t>SCORSONE, CAROL , LCSW</t>
  </si>
  <si>
    <t>(716) 532-2231</t>
  </si>
  <si>
    <t>CAROL.SCORSONE@OMH.NY.GOV</t>
  </si>
  <si>
    <t>SCORSONE CAROL MS.</t>
  </si>
  <si>
    <t>CLARK, LINDSEY, MD</t>
  </si>
  <si>
    <t>E0304885</t>
  </si>
  <si>
    <t>CLARK LINDSEY DOLAN</t>
  </si>
  <si>
    <t>(716) 432-0105</t>
  </si>
  <si>
    <t>LCLARK2@KALEIDAHEALTH.ORG</t>
  </si>
  <si>
    <t>CLARK LINDSEY DR.</t>
  </si>
  <si>
    <t>MOSHER, REBEKAH,</t>
  </si>
  <si>
    <t>MOSHER, REBEKAH, SENIOR COUNSELOR - HV</t>
  </si>
  <si>
    <t>CREATIVETHERAPYSOLUTIONS.RLM@GMAIL.COM</t>
  </si>
  <si>
    <t>MOSHER REBEKAH</t>
  </si>
  <si>
    <t>KRUSZKA, MARY,</t>
  </si>
  <si>
    <t>KRUSZKA, MARY KATHERINE, LMSW</t>
  </si>
  <si>
    <t>MKRUSZKA@CATSWNY.ORG</t>
  </si>
  <si>
    <t>KRUSZKA MARY</t>
  </si>
  <si>
    <t>JAUS, SAMANTHA, PA</t>
  </si>
  <si>
    <t>SJAUS@KALEIDAHEALTH.ORG</t>
  </si>
  <si>
    <t>JAUS SAMANTHA MS.</t>
  </si>
  <si>
    <t>MAZUR, TOM, PSYD</t>
  </si>
  <si>
    <t>MAZUR, THOMAS, PSYD</t>
  </si>
  <si>
    <t>TMAZUR@KALEIDAHEALTH.ORG</t>
  </si>
  <si>
    <t>MAZUR TOM DR.</t>
  </si>
  <si>
    <t>219 BRYANT ST, BUFFALO</t>
  </si>
  <si>
    <t>Julie Grover, NP</t>
  </si>
  <si>
    <t>E0107756</t>
  </si>
  <si>
    <t>GROVER JULIE LYN</t>
  </si>
  <si>
    <t>GROVER JULIE MRS.</t>
  </si>
  <si>
    <t>Council on Addiction Recovery Services, Inc.</t>
  </si>
  <si>
    <t>E0206377</t>
  </si>
  <si>
    <t>CATTARAUGUS CNTY ALCHL&amp;SUB AB</t>
  </si>
  <si>
    <t>Laura Elliott-Engel</t>
  </si>
  <si>
    <t>(716) 373-4303</t>
  </si>
  <si>
    <t>admin@councilonaddiction.org</t>
  </si>
  <si>
    <t>All Other:: Substance Abuse</t>
  </si>
  <si>
    <t>COUNCIL ON ADDICTION RECOVERY SERVICES, INC.</t>
  </si>
  <si>
    <t>COUNCIL ON ADDICTION RECOVERY SVCS</t>
  </si>
  <si>
    <t>201 S UNION ST</t>
  </si>
  <si>
    <t>E0170191</t>
  </si>
  <si>
    <t>NIAGARA ARC HIDDEN VALLEY ICF</t>
  </si>
  <si>
    <t>HIDDEN VALLEY ICF</t>
  </si>
  <si>
    <t>STIGLMEIER, JESSICA, LMSW</t>
  </si>
  <si>
    <t>STIGLMEIER, JESSICA LYNN, LCSW</t>
  </si>
  <si>
    <t>JSTIGLMEIER@CATSWNY.ORG</t>
  </si>
  <si>
    <t>STIGLMEIER JESSICA MS.</t>
  </si>
  <si>
    <t>LANA, ROSANN, MD</t>
  </si>
  <si>
    <t>E0011424</t>
  </si>
  <si>
    <t>LANA ROSANN L MD</t>
  </si>
  <si>
    <t>RLANA@KALEIDAHEALTH.ORG</t>
  </si>
  <si>
    <t>LANA ROSANN DR.</t>
  </si>
  <si>
    <t>MILLER, MEAGAN, RPAC</t>
  </si>
  <si>
    <t>E0291259</t>
  </si>
  <si>
    <t>MILLER MEAGAN MARY PA</t>
  </si>
  <si>
    <t>MILLER, MEAGAN, PA</t>
  </si>
  <si>
    <t>MMILLER4@KALEIDAHEALTH.ORG</t>
  </si>
  <si>
    <t>MILLER MEAGAN MISS</t>
  </si>
  <si>
    <t>MILLER MEAGAN MARY</t>
  </si>
  <si>
    <t>ROORDA, CHERI, LPN</t>
  </si>
  <si>
    <t>E0352870</t>
  </si>
  <si>
    <t>ROORDA CHERI L</t>
  </si>
  <si>
    <t>ROORDAC@SHSWNY.ORG</t>
  </si>
  <si>
    <t>ROORDA CHERI</t>
  </si>
  <si>
    <t>HO-LAUMANN, NANCY, MD</t>
  </si>
  <si>
    <t>NHOLAUMANN@KALEIDAHEALTH.ORG</t>
  </si>
  <si>
    <t>HO-LAUMANN NANCY DR.</t>
  </si>
  <si>
    <t>9120 GORMAN RD</t>
  </si>
  <si>
    <t>LAUREL</t>
  </si>
  <si>
    <t>BULCZAK, DARIUSZ, MD</t>
  </si>
  <si>
    <t>E0071584</t>
  </si>
  <si>
    <t>BULCZAK DARIUSZ PIOTR MD</t>
  </si>
  <si>
    <t>DBULCZAK@KALEIDAHEALTH.ORG</t>
  </si>
  <si>
    <t>BULCZAK DARIUSZ</t>
  </si>
  <si>
    <t>169 RIVERSIDE DR</t>
  </si>
  <si>
    <t>BINGHAMTON</t>
  </si>
  <si>
    <t>SCHULTZ, RAYMOND, MD</t>
  </si>
  <si>
    <t>E0111535</t>
  </si>
  <si>
    <t>SCHULTZ RAYMOND O' CONNELL MD</t>
  </si>
  <si>
    <t>(716) 631-8500</t>
  </si>
  <si>
    <t>RSCHULTZ@KALEIDAHEALTH.ORG</t>
  </si>
  <si>
    <t>SCHULTZ RAYMOND</t>
  </si>
  <si>
    <t>SCHULTZ, DOUGLAS, MD</t>
  </si>
  <si>
    <t>E0101401</t>
  </si>
  <si>
    <t>SCHULTZ DOUGLAS ALLEN MD</t>
  </si>
  <si>
    <t>DSCHULTZ2@KALEIDAHEALTH.ORG</t>
  </si>
  <si>
    <t>SCHULTZ DOUGLAS DR.</t>
  </si>
  <si>
    <t>COMMUNITY SERVICES FOR THE DEVELOPMENTALLY DISABLED, INC</t>
  </si>
  <si>
    <t>MARK FOLEY</t>
  </si>
  <si>
    <t>(716) 883-8888</t>
  </si>
  <si>
    <t>MFOLEY@CSDD.NET</t>
  </si>
  <si>
    <t>452 DELAWARE AVE</t>
  </si>
  <si>
    <t>GLANTZ, SANFORD, MD</t>
  </si>
  <si>
    <t>E0008090</t>
  </si>
  <si>
    <t>GLANTZ SANFORD MD</t>
  </si>
  <si>
    <t>(631) 232-4000</t>
  </si>
  <si>
    <t>GLANTZ SANFORD</t>
  </si>
  <si>
    <t>1000 MONTAUK HWY</t>
  </si>
  <si>
    <t>WEST ISLIP</t>
  </si>
  <si>
    <t>WADHWANI, JAIKISHAN, MD</t>
  </si>
  <si>
    <t>E0133315</t>
  </si>
  <si>
    <t>WADHWANI JAI G MD</t>
  </si>
  <si>
    <t>WADHWANI, JAI, MD</t>
  </si>
  <si>
    <t>JWADHWANI@KALEIDAHEALTH.ORG</t>
  </si>
  <si>
    <t>WADHWANI JAIKISHAN DR.</t>
  </si>
  <si>
    <t>CATTARAUGUS COUNTY DEPT. COMMUNITY SERVICES</t>
  </si>
  <si>
    <t>E0159164</t>
  </si>
  <si>
    <t>CATTARAUGUS CO DEPT MH MH</t>
  </si>
  <si>
    <t>(716) 373-8040</t>
  </si>
  <si>
    <t>1701 LINCOLN AVE</t>
  </si>
  <si>
    <t>VASQUEZ, ELIZABETH, MSNFNP</t>
  </si>
  <si>
    <t>E0300575</t>
  </si>
  <si>
    <t>VASQUEZ ELIZABETH</t>
  </si>
  <si>
    <t>VASQUEZ, ELIZABETH, FNP</t>
  </si>
  <si>
    <t>(716) 857-6150</t>
  </si>
  <si>
    <t>EVASQUEZ@KALEIDAHEALTH.ORG</t>
  </si>
  <si>
    <t>VASQUEZ ELIZABETH MRS.</t>
  </si>
  <si>
    <t>VASQUEZ ELIZABETH ANNE</t>
  </si>
  <si>
    <t>1185 SWEET HOME RD</t>
  </si>
  <si>
    <t>DLUGOKINSKI-PLENZ, SYLVIA, ANP</t>
  </si>
  <si>
    <t>E0439088</t>
  </si>
  <si>
    <t>DLUGOKINSKI-PLENZ SYLVIA M</t>
  </si>
  <si>
    <t>DLUGOKINSKI-PLENZ, SYLVIA , NP</t>
  </si>
  <si>
    <t>(716) 592-3586</t>
  </si>
  <si>
    <t>SYLVIA.DLUGOKINSKI-PLENZ@FAMILYCHOICENY.COM</t>
  </si>
  <si>
    <t>DLUGOKINSKI-PLENZ SYLVIA MRS.</t>
  </si>
  <si>
    <t>JOHNSON, SEABRON, MS</t>
  </si>
  <si>
    <t>JOHNSON,  CHRISTINA, ADMIN ASSIST - HHS</t>
  </si>
  <si>
    <t>JOHNSON SEABRON</t>
  </si>
  <si>
    <t>WATSON, NICHOLAS, RPAC</t>
  </si>
  <si>
    <t>E0396541</t>
  </si>
  <si>
    <t>WATSON NICHOLAS JOSEPH</t>
  </si>
  <si>
    <t>WATSON, NICHOLAS, PA</t>
  </si>
  <si>
    <t>(716) 508-0866</t>
  </si>
  <si>
    <t>NWATSON@KALEIDAHEALTH.ORG</t>
  </si>
  <si>
    <t>WATSON NICHOLAS</t>
  </si>
  <si>
    <t>CONANT, DOUGLAS, PHD</t>
  </si>
  <si>
    <t>CONANT, DOUGLAS, PH.D.</t>
  </si>
  <si>
    <t>DOUGLAS.CONANT@OMH.NY.GOV</t>
  </si>
  <si>
    <t>CONANT DOUGLAS DR.</t>
  </si>
  <si>
    <t>FERNANDEZ, STANLEY, MD</t>
  </si>
  <si>
    <t>E0311106</t>
  </si>
  <si>
    <t>FERNANDEZ STANLEY F</t>
  </si>
  <si>
    <t>SFERNANDEZ@KALEIDAHEALTH.ORG</t>
  </si>
  <si>
    <t>FERNANDEZ STANLEY DR.</t>
  </si>
  <si>
    <t>STANIORSKI, PAULA, RN</t>
  </si>
  <si>
    <t>STANIORSKI PAULA</t>
  </si>
  <si>
    <t>DEVANTIER, GAIL,</t>
  </si>
  <si>
    <t>DEVANTIER, GAIL, SUPERVISING RN - HV</t>
  </si>
  <si>
    <t>DEVANTIER GAIL</t>
  </si>
  <si>
    <t>BILL, JAMIE, PA</t>
  </si>
  <si>
    <t>E0359515</t>
  </si>
  <si>
    <t>BILL JAMIE L</t>
  </si>
  <si>
    <t>JBILL@KALEIDAHEALTH.ORG</t>
  </si>
  <si>
    <t>BILL JAMIE</t>
  </si>
  <si>
    <t>8207 MAIN ST</t>
  </si>
  <si>
    <t>RAINFORTH, BRIAN,</t>
  </si>
  <si>
    <t>RAINFORTH,  BRIAN, LMSW</t>
  </si>
  <si>
    <t>BRAINFORTH@CATSWNY.ORG</t>
  </si>
  <si>
    <t>RAINFORTH BRIAN</t>
  </si>
  <si>
    <t>GRANGER, CARL, MD</t>
  </si>
  <si>
    <t>E0220635</t>
  </si>
  <si>
    <t>GRANGER CARL V             MD</t>
  </si>
  <si>
    <t>(716) 898-3217</t>
  </si>
  <si>
    <t>GRANGER CARL</t>
  </si>
  <si>
    <t>KAHN, DOUGLAS, MD</t>
  </si>
  <si>
    <t>E0152369</t>
  </si>
  <si>
    <t>KAHN DOUGLAS G MD</t>
  </si>
  <si>
    <t>DKAHN@KALEIDAHEALTH.ORG</t>
  </si>
  <si>
    <t>KAHN DOUGLAS</t>
  </si>
  <si>
    <t>STAHL, DAVID, MD</t>
  </si>
  <si>
    <t>E0225992</t>
  </si>
  <si>
    <t>STAHL DAVID D              MD</t>
  </si>
  <si>
    <t>(716) 735-7774</t>
  </si>
  <si>
    <t>STAHL DAVID</t>
  </si>
  <si>
    <t>MEDINA MEMORIAL HOSP</t>
  </si>
  <si>
    <t>BERGER, ANDREW, MD</t>
  </si>
  <si>
    <t>E0227476</t>
  </si>
  <si>
    <t>BERGER ANDREW J            MD</t>
  </si>
  <si>
    <t>(716) 592-3635</t>
  </si>
  <si>
    <t>BERGER ANDREW DR.</t>
  </si>
  <si>
    <t>BERGER ANDREW J MD</t>
  </si>
  <si>
    <t>BERTRAND CHAFFEE HOS</t>
  </si>
  <si>
    <t>SYMONS, NICOLE, MD</t>
  </si>
  <si>
    <t>E0012368</t>
  </si>
  <si>
    <t>SYMONS NICOLE L MD</t>
  </si>
  <si>
    <t>NSYMONS@KALEIDAHEALTH.ORG</t>
  </si>
  <si>
    <t>SYMONS NICOLE DR.</t>
  </si>
  <si>
    <t>TUOTI, RAYMOND, MD</t>
  </si>
  <si>
    <t>E0229118</t>
  </si>
  <si>
    <t>TUOTI RAYMOND JOSEPH MD</t>
  </si>
  <si>
    <t>RTUOTI@KALEIDAHEALTH.ORG</t>
  </si>
  <si>
    <t>TUOTI RAYMOND</t>
  </si>
  <si>
    <t>FLEURY, ROXANNE,</t>
  </si>
  <si>
    <t>FLEURY, ROXANNE, FNP</t>
  </si>
  <si>
    <t>RFLEURY@KALEIDAHEALTH.ORG</t>
  </si>
  <si>
    <t>FLEURY ROXANNE</t>
  </si>
  <si>
    <t>JOWLY, LAURA, LCSW</t>
  </si>
  <si>
    <t>E0358076</t>
  </si>
  <si>
    <t>JOWLY LAURA M</t>
  </si>
  <si>
    <t>JOWLY,  LAURA, PROGRAM DIRECTOR</t>
  </si>
  <si>
    <t>(716) 831-1840</t>
  </si>
  <si>
    <t>JOWLY LAURA</t>
  </si>
  <si>
    <t>36 EAST AVE</t>
  </si>
  <si>
    <t>E0252923</t>
  </si>
  <si>
    <t>BAKER VICTORY SVCS        INC</t>
  </si>
  <si>
    <t>HEMMINGSON, DANIEL, MD</t>
  </si>
  <si>
    <t>E0295178</t>
  </si>
  <si>
    <t>HEMMINGSON DANIEL THOMAS</t>
  </si>
  <si>
    <t>DHEMMINGSON@KALEIDAHEALTH.ORG</t>
  </si>
  <si>
    <t>HEMMINGSON DANIEL DR.</t>
  </si>
  <si>
    <t>SODHI VIKRAM DR.</t>
  </si>
  <si>
    <t>E0324391</t>
  </si>
  <si>
    <t>SODHI VIKRAM</t>
  </si>
  <si>
    <t>PALMETER, CARRIE, LMSW</t>
  </si>
  <si>
    <t>E0423873</t>
  </si>
  <si>
    <t>RICH CARRIE REBECCA</t>
  </si>
  <si>
    <t>PALMETER,  CARRIE, PROGRAM DIRECTOR</t>
  </si>
  <si>
    <t>RICH CARRIE MRS.</t>
  </si>
  <si>
    <t>FREEMAN, CONNIE,</t>
  </si>
  <si>
    <t>FREEMAN, CONNIE, PNP</t>
  </si>
  <si>
    <t>(913) 530-7783</t>
  </si>
  <si>
    <t>CFREEMAN@KALEIDAHEALTH.ORG</t>
  </si>
  <si>
    <t>BEIRO CONCEPTION MRS.</t>
  </si>
  <si>
    <t>3917 WEST RD</t>
  </si>
  <si>
    <t>LOS ALAMOS</t>
  </si>
  <si>
    <t>NM</t>
  </si>
  <si>
    <t>DESANTIS, STEPHANIE, MS</t>
  </si>
  <si>
    <t>DESANTIS,  STEPHANIE, COUNSELOR III</t>
  </si>
  <si>
    <t>DESANTIS STEPHANIE</t>
  </si>
  <si>
    <t>LAPI, JOSEPH, MS</t>
  </si>
  <si>
    <t>LAPI,  JOSEPH, SUPERVISING SENIOR COUNSELOR</t>
  </si>
  <si>
    <t>LAPI JOSEPH MR.</t>
  </si>
  <si>
    <t>CERCONE, KRISTEN, PHD</t>
  </si>
  <si>
    <t>E0305407</t>
  </si>
  <si>
    <t>CERCONE KRISTEN ANNE</t>
  </si>
  <si>
    <t>(716) 887-5792</t>
  </si>
  <si>
    <t>KCERCONE@KALEIDAHEALTH.ORG</t>
  </si>
  <si>
    <t>CERCONE KRISTEN DR.</t>
  </si>
  <si>
    <t>SCHMIDT, JESSICA, RPAC</t>
  </si>
  <si>
    <t>E0303822</t>
  </si>
  <si>
    <t>SCHMIDT JESSICA LYN RPA</t>
  </si>
  <si>
    <t>SCHMIDT, JESSICA, PA</t>
  </si>
  <si>
    <t>(716) 630-1000</t>
  </si>
  <si>
    <t>JSCHMIDT@KALEIDAHEALTH.ORG</t>
  </si>
  <si>
    <t>SCHMIDT JESSICA</t>
  </si>
  <si>
    <t>CORDERO, DIANA,</t>
  </si>
  <si>
    <t>CORDERO, DIANA, COUNSELOR III - HV</t>
  </si>
  <si>
    <t>CORDERO DIANA</t>
  </si>
  <si>
    <t>ROLOFF, REBECCA, RNFNPBC</t>
  </si>
  <si>
    <t>E0340530</t>
  </si>
  <si>
    <t>ROLOFF REBECCA</t>
  </si>
  <si>
    <t>ROLOFF, REBECCA, FNP</t>
  </si>
  <si>
    <t>(716) 883-7489</t>
  </si>
  <si>
    <t>RROLOFF@KALEIDAHEALTH.ORG</t>
  </si>
  <si>
    <t>1800 MAPLE RD</t>
  </si>
  <si>
    <t>LERMAN, JERROLD, MD</t>
  </si>
  <si>
    <t>E0072764</t>
  </si>
  <si>
    <t>LERMAN JERROLD MD</t>
  </si>
  <si>
    <t>JLERMAN@KALEIDAHEALTH.ORG</t>
  </si>
  <si>
    <t>LERMAN JERROLD</t>
  </si>
  <si>
    <t>THIERMAN, ERIC, MD</t>
  </si>
  <si>
    <t>E0057029</t>
  </si>
  <si>
    <t>THIERMAN ERIC J MD</t>
  </si>
  <si>
    <t>ETHIERMAN@KALEIDAHEALTH.ORG</t>
  </si>
  <si>
    <t>THIERMAN ERIC</t>
  </si>
  <si>
    <t>STCHCN INC</t>
  </si>
  <si>
    <t>CONNOR, MICHAEL,</t>
  </si>
  <si>
    <t>CONNOR, MICHAEL, LCSW-R</t>
  </si>
  <si>
    <t>(716) 661-1590</t>
  </si>
  <si>
    <t>ALLEGHANY_MIKE@YAHOO.COM</t>
  </si>
  <si>
    <t>CONNOR MICHAEL</t>
  </si>
  <si>
    <t>SYTA, MARGARET, NP</t>
  </si>
  <si>
    <t>E0067876</t>
  </si>
  <si>
    <t>SYTA MARGARET MARY</t>
  </si>
  <si>
    <t>SYTA, MARGARET, PNP</t>
  </si>
  <si>
    <t>SYTA MARGARET</t>
  </si>
  <si>
    <t>LIBBY, MARGARET, MD</t>
  </si>
  <si>
    <t>E0191219</t>
  </si>
  <si>
    <t>LIBBY MARGARET A MD</t>
  </si>
  <si>
    <t>(716) 795-3155</t>
  </si>
  <si>
    <t>LIBBY MARGARET MS.</t>
  </si>
  <si>
    <t>1382 QUAKER RD</t>
  </si>
  <si>
    <t>BARKER</t>
  </si>
  <si>
    <t>WEISSMAN, MARK, MD</t>
  </si>
  <si>
    <t>E0165780</t>
  </si>
  <si>
    <t>WEISSMAN MARK A MD</t>
  </si>
  <si>
    <t>(716) 684-5454</t>
  </si>
  <si>
    <t>MWEISSMAN@KALEIDAHEALTH.ORG</t>
  </si>
  <si>
    <t>WEISSMAN MARK</t>
  </si>
  <si>
    <t>5532 BROADWAY ST</t>
  </si>
  <si>
    <t>CLEMENCY, BRIAN, DO</t>
  </si>
  <si>
    <t>E0292133</t>
  </si>
  <si>
    <t>CLEMENCY BRIAN MICHAEL MD</t>
  </si>
  <si>
    <t>(716) 859-0087</t>
  </si>
  <si>
    <t>CLEMENCY BRIAN DR.</t>
  </si>
  <si>
    <t>FORKIN, MICHELLE,</t>
  </si>
  <si>
    <t>ABRAHAM, MICHELLE, LCSW</t>
  </si>
  <si>
    <t>MABRAHAM@CATSWNY.ORG</t>
  </si>
  <si>
    <t>FORKIN MICHELLE</t>
  </si>
  <si>
    <t>GOLIMOWSKI, OLIA, NP</t>
  </si>
  <si>
    <t>E0407373</t>
  </si>
  <si>
    <t>GOLIMOWSKI OLIA</t>
  </si>
  <si>
    <t>OLIA.GOLIMOWSKI@FAMILYCHOICENY.COM</t>
  </si>
  <si>
    <t>GOLIMOWSKI OLIA MRS.</t>
  </si>
  <si>
    <t>MEYER, MATTHEW, CRNA</t>
  </si>
  <si>
    <t>MMEYER2@KALEIDAHEALTH.ORG</t>
  </si>
  <si>
    <t>MEYER MATTHEW</t>
  </si>
  <si>
    <t>MCCULLOUGH, KECIA,</t>
  </si>
  <si>
    <t>MCCULLOUGH, KECIA, CASAC-T</t>
  </si>
  <si>
    <t>MCCULLOUGHK@SHSWNY.ORG</t>
  </si>
  <si>
    <t>MCCULLOUGH KECIA</t>
  </si>
  <si>
    <t>FAZZINO, JEFFREY,</t>
  </si>
  <si>
    <t>FAZZINO, JEFFREY, LMHCP</t>
  </si>
  <si>
    <t>FAZZINO JEFFREY MR.</t>
  </si>
  <si>
    <t>VARMA, ANJALI, PAC</t>
  </si>
  <si>
    <t>E0373079</t>
  </si>
  <si>
    <t>VARMA ANJALI</t>
  </si>
  <si>
    <t>VARMA, ANJALI, PA</t>
  </si>
  <si>
    <t>AVARMA@KALEIDAHEALTH.ORG</t>
  </si>
  <si>
    <t>VARMA ANJALI MISS</t>
  </si>
  <si>
    <t>HEIMERL, MICHAEL, MD</t>
  </si>
  <si>
    <t>E0205492</t>
  </si>
  <si>
    <t>HEIMERL MICHAEL JOSEPH     MD</t>
  </si>
  <si>
    <t>MHEIMERL2@KALEIDAHEALTH.ORG</t>
  </si>
  <si>
    <t>HEIMERL MICHAEL DR.</t>
  </si>
  <si>
    <t>HEIMERL MICHAEL JOSEPH</t>
  </si>
  <si>
    <t>REHRAUER, DAVID, NP</t>
  </si>
  <si>
    <t>E0097751</t>
  </si>
  <si>
    <t>REHRAUER DAVID ROBERT</t>
  </si>
  <si>
    <t>REHRAUER, DAVID, NNP</t>
  </si>
  <si>
    <t>(716) 871-0738</t>
  </si>
  <si>
    <t>DREHRAUER@KALEIDAHEALTH.ORG</t>
  </si>
  <si>
    <t>REHRAUER DAVID MR.</t>
  </si>
  <si>
    <t>ELLIS, DAVID, MD</t>
  </si>
  <si>
    <t>E0178096</t>
  </si>
  <si>
    <t>ELLIS DAVID G MD</t>
  </si>
  <si>
    <t>ELLIS DAVID</t>
  </si>
  <si>
    <t>RYAN, ANGELINA, PA</t>
  </si>
  <si>
    <t>E0035040</t>
  </si>
  <si>
    <t>LAUFFER ANGELINA MARIA</t>
  </si>
  <si>
    <t>ARYAN@KALEIDAHEALTH.ORG</t>
  </si>
  <si>
    <t>RYAN ANGELINA</t>
  </si>
  <si>
    <t>RYAN ANGELINA MARIA RPA</t>
  </si>
  <si>
    <t>STORM, DONALD, MD</t>
  </si>
  <si>
    <t>E0238539</t>
  </si>
  <si>
    <t>STORM DONALD F             MD</t>
  </si>
  <si>
    <t>(716) 674-1292</t>
  </si>
  <si>
    <t>DSTORM@KALEIDAHEALTH.ORG</t>
  </si>
  <si>
    <t>STORM DONALD</t>
  </si>
  <si>
    <t>SPANGENTHAL, EDWARD, MD</t>
  </si>
  <si>
    <t>E0158723</t>
  </si>
  <si>
    <t>SPANGENTHAL EDWARD J MD</t>
  </si>
  <si>
    <t>ESPANGENTHAL@KALEIDAHEALTH.ORG</t>
  </si>
  <si>
    <t>SPANGENTHAL EDWARD</t>
  </si>
  <si>
    <t>BUFFALO CARDIOL PULM</t>
  </si>
  <si>
    <t>EVANS, EVAN, MD</t>
  </si>
  <si>
    <t>E0239869</t>
  </si>
  <si>
    <t>EVANS EVAN J MD</t>
  </si>
  <si>
    <t>EEVANS@KALEIDAHEALTH.ORG</t>
  </si>
  <si>
    <t>EVANS EVAN</t>
  </si>
  <si>
    <t>EVANS EVAN J               MD</t>
  </si>
  <si>
    <t>JAIN, NARESH, MD</t>
  </si>
  <si>
    <t>E0203866</t>
  </si>
  <si>
    <t>JAIN NARESH K              MD</t>
  </si>
  <si>
    <t>NARESH JAIN, M.D.</t>
  </si>
  <si>
    <t>(716) 285-1133</t>
  </si>
  <si>
    <t>NFPHYSICIAN@YAHOO.COM</t>
  </si>
  <si>
    <t>JAIN NARESH DR.</t>
  </si>
  <si>
    <t>STE 710</t>
  </si>
  <si>
    <t>CHAUDHRY, ERAM, MD</t>
  </si>
  <si>
    <t>E0019736</t>
  </si>
  <si>
    <t>CHAUDHRY ERAM MD</t>
  </si>
  <si>
    <t>CHAUDHRY ERAM DR.</t>
  </si>
  <si>
    <t>20 LOSSON RD</t>
  </si>
  <si>
    <t>WATSON, EILEEN, MD</t>
  </si>
  <si>
    <t>E0150578</t>
  </si>
  <si>
    <t>WATSON EILEEN MD</t>
  </si>
  <si>
    <t>(585) 275-5982</t>
  </si>
  <si>
    <t>EWATSON@KALEIDAHEALTH.ORG</t>
  </si>
  <si>
    <t>WATSON EILEEN DR.</t>
  </si>
  <si>
    <t>CHILDRENS HSP BUFFAL</t>
  </si>
  <si>
    <t>CUMBO, HARJEET, PAC</t>
  </si>
  <si>
    <t>E0293105</t>
  </si>
  <si>
    <t>CUMBO HARJEET</t>
  </si>
  <si>
    <t>CUMBO, HARJEET, PA</t>
  </si>
  <si>
    <t>HCUMBO@KALEIDAHEALTH.ORG</t>
  </si>
  <si>
    <t>CUMBO HARJEET MRS.</t>
  </si>
  <si>
    <t>CUMBO HARJEET RPA</t>
  </si>
  <si>
    <t>565 ABBOTT RD RM 8-632</t>
  </si>
  <si>
    <t>FRIEARY, PATRICK, MD</t>
  </si>
  <si>
    <t>E0134098</t>
  </si>
  <si>
    <t>FRIEARY PATRICK MICHAEL MD</t>
  </si>
  <si>
    <t>PFRIEARY@KALEIDAHEALTH.ORG</t>
  </si>
  <si>
    <t>FRIEARY PATRICK</t>
  </si>
  <si>
    <t>JUETTE, PAUL, MD</t>
  </si>
  <si>
    <t>E0184523</t>
  </si>
  <si>
    <t>JUETTE PAUL HENRY MD</t>
  </si>
  <si>
    <t>PJUETTE@KALEIDAHEALTH.ORG</t>
  </si>
  <si>
    <t>JUETTE PAUL DR.</t>
  </si>
  <si>
    <t>BALAYA, FARKAD, MD</t>
  </si>
  <si>
    <t>E0019517</t>
  </si>
  <si>
    <t>BALAYA FARKAD MD</t>
  </si>
  <si>
    <t>(716) 648-4345</t>
  </si>
  <si>
    <t>FBALAYA@KALEIDAHEALTH.ORG</t>
  </si>
  <si>
    <t>BALAYA FARKAD</t>
  </si>
  <si>
    <t>AWNER, STEVEN, MD</t>
  </si>
  <si>
    <t>E0151447</t>
  </si>
  <si>
    <t>AWNER STEVEN MD</t>
  </si>
  <si>
    <t>(716) 204-4516</t>
  </si>
  <si>
    <t>SAWNER@KALEIDAHEALTH.ORG</t>
  </si>
  <si>
    <t>AWNER STEVEN DR.</t>
  </si>
  <si>
    <t>SHENOY, SADASHIV, MD</t>
  </si>
  <si>
    <t>E0233221</t>
  </si>
  <si>
    <t>SHENOY SADASHIV S MD</t>
  </si>
  <si>
    <t>(716) 631-8736</t>
  </si>
  <si>
    <t>SSHENOY@KALEIDAHEALTH.ORG</t>
  </si>
  <si>
    <t>SHENOY SADASHIV DR.</t>
  </si>
  <si>
    <t>SHENOY SADASHIV S</t>
  </si>
  <si>
    <t>SPONHOLZ, ELLEN, MSNANP</t>
  </si>
  <si>
    <t>E0065793</t>
  </si>
  <si>
    <t>SPONHOLZ ELLEN T</t>
  </si>
  <si>
    <t>SPONHOLZ, ELLEN, ANP</t>
  </si>
  <si>
    <t>(716) 859-4024</t>
  </si>
  <si>
    <t>ESPONHOLZ@KALEIDAHEALTH.ORG</t>
  </si>
  <si>
    <t>SPONHOLZ ELLEN MS.</t>
  </si>
  <si>
    <t>BGMC 100 HIGH STREET</t>
  </si>
  <si>
    <t>KUCHUK, ROBERT, MD</t>
  </si>
  <si>
    <t>E0362999</t>
  </si>
  <si>
    <t>KUCHUK ROBERT</t>
  </si>
  <si>
    <t>(716) 838-6655</t>
  </si>
  <si>
    <t>RKUCHUK@KALEIDAHEALTH.ORG</t>
  </si>
  <si>
    <t>KUCHUK ROBERT DR.</t>
  </si>
  <si>
    <t>6937 WILLIAMS RD</t>
  </si>
  <si>
    <t>COLLINS, KRYSTLE, FNP</t>
  </si>
  <si>
    <t>KCOLLINS@KALEIDAHEALTH.ORG</t>
  </si>
  <si>
    <t>COLLINS KRYSTLE MRS.</t>
  </si>
  <si>
    <t>MCGURE, JENNIFER,</t>
  </si>
  <si>
    <t>E0429316</t>
  </si>
  <si>
    <t>MCGUIRE JENNIFER G</t>
  </si>
  <si>
    <t>MCGUIRE, JENNIFER, ANP</t>
  </si>
  <si>
    <t>JMCGUIRE2@KALEIDAHEALTH.ORG</t>
  </si>
  <si>
    <t>MCGURE JENNIFER</t>
  </si>
  <si>
    <t>TASCA, SARA, PA</t>
  </si>
  <si>
    <t>E0375834</t>
  </si>
  <si>
    <t>TASCA SARA MARIE</t>
  </si>
  <si>
    <t>(716) 525-1089</t>
  </si>
  <si>
    <t>STASCA@KALEIDAHEALTH.ORG</t>
  </si>
  <si>
    <t>TASCA SARA MRS.</t>
  </si>
  <si>
    <t>DEGNAN, MARY, MSRD</t>
  </si>
  <si>
    <t>E0372252</t>
  </si>
  <si>
    <t>DEGNAN MARY ELIZABETH</t>
  </si>
  <si>
    <t>MARY ELIZABETH DEGNAN MS RD / NUTRITION, METABOLIC</t>
  </si>
  <si>
    <t>(716) 957-2285</t>
  </si>
  <si>
    <t>OFA@NIAGARACOUNTY.COM</t>
  </si>
  <si>
    <t>DEGNAN MARY</t>
  </si>
  <si>
    <t>CERTIFIED ASTHMA OR DIABETES EDUCATOR</t>
  </si>
  <si>
    <t>GEE, SHARON, LMSW</t>
  </si>
  <si>
    <t>(716) 218-1400</t>
  </si>
  <si>
    <t>SGEE@CFSBNY.ORG</t>
  </si>
  <si>
    <t>GEE SHARON</t>
  </si>
  <si>
    <t>620 TRONOLONE PL</t>
  </si>
  <si>
    <t>COZZA, JAMES, NP</t>
  </si>
  <si>
    <t>E0337777</t>
  </si>
  <si>
    <t>COZZA JAMES</t>
  </si>
  <si>
    <t>COZZA, JAMES, FNP</t>
  </si>
  <si>
    <t>(716) 580-1811</t>
  </si>
  <si>
    <t>JCOZZA@KALEIDAHEALTH.ORG</t>
  </si>
  <si>
    <t>COZZA JAMES MR.</t>
  </si>
  <si>
    <t>ADOMAKO, ANGELA, MD</t>
  </si>
  <si>
    <t>E0333463</t>
  </si>
  <si>
    <t>ADOMAKO ANGELA ASIEDUA MD</t>
  </si>
  <si>
    <t>ADOMAKO ANGELA</t>
  </si>
  <si>
    <t>GIARRATANO, PAULETTE,</t>
  </si>
  <si>
    <t>GIARRATANO,  PAULETTE, SENIOR COUNSELOR</t>
  </si>
  <si>
    <t>GIARRATANO PAULETTE</t>
  </si>
  <si>
    <t>E0237804</t>
  </si>
  <si>
    <t>NIAGARA CNTY MNTL HLTH LCKPRT</t>
  </si>
  <si>
    <t>WHITE A, MICHAEL</t>
  </si>
  <si>
    <t>(716) 439-7410</t>
  </si>
  <si>
    <t>RUDEWICZ, ROBERT, DPM</t>
  </si>
  <si>
    <t>E0234397</t>
  </si>
  <si>
    <t>RUDEWICZ ROBERT J DPM</t>
  </si>
  <si>
    <t>(716) 684-1010</t>
  </si>
  <si>
    <t>RRUDEWICZ@KALEIDAHEALTH.ORG</t>
  </si>
  <si>
    <t>RUDEWICZ ROBERT DR.</t>
  </si>
  <si>
    <t>5429 BROADWAY ST</t>
  </si>
  <si>
    <t>PERILLO, FRANK, DPM</t>
  </si>
  <si>
    <t>E0232792</t>
  </si>
  <si>
    <t>PERILLO FRANK B DPM</t>
  </si>
  <si>
    <t>(716) 838-1131</t>
  </si>
  <si>
    <t>FPERILLO@KALEIDAHEALTH.ORG</t>
  </si>
  <si>
    <t>PERILLO FRANK</t>
  </si>
  <si>
    <t>1431 HERTEL AVE</t>
  </si>
  <si>
    <t>LATONA, MARLENE, RN</t>
  </si>
  <si>
    <t>E0343249</t>
  </si>
  <si>
    <t>LATONA MARLENE K</t>
  </si>
  <si>
    <t>LATONAM@SHSWNY.ORG</t>
  </si>
  <si>
    <t>LATONA MARLENE</t>
  </si>
  <si>
    <t>MEANEY-ELMAN, NORA, MD</t>
  </si>
  <si>
    <t>E0115751</t>
  </si>
  <si>
    <t>MEANEY-ELMAN NORA</t>
  </si>
  <si>
    <t>(716) 839-7107</t>
  </si>
  <si>
    <t>NMEANEYELMAN@KALEIDAHEALTH.ORG</t>
  </si>
  <si>
    <t>LOWER W.SIDE CL</t>
  </si>
  <si>
    <t>LAMARCA, JILLIAN, RPAC</t>
  </si>
  <si>
    <t>E0303906</t>
  </si>
  <si>
    <t>LAMARCA JILLIAN CONCETTA</t>
  </si>
  <si>
    <t>LAMARCA, JILLIAN, PA</t>
  </si>
  <si>
    <t>JLAMARCA@KALEIDAHEALTH.ORG</t>
  </si>
  <si>
    <t>LAMARCA JILLIAN MS.</t>
  </si>
  <si>
    <t>3950 E ROBINSON RD STE 207</t>
  </si>
  <si>
    <t>BONNEVIE, DANIELLE, MD</t>
  </si>
  <si>
    <t>E0300996</t>
  </si>
  <si>
    <t>BONNEVIE DANIELIE LYNN</t>
  </si>
  <si>
    <t>(716) 883-0207</t>
  </si>
  <si>
    <t>DBONNEVIE@KALEIDAHEALTH.ORG</t>
  </si>
  <si>
    <t>BONNEVIE DANIELLE DR.</t>
  </si>
  <si>
    <t>BONNEVIE DANIELLE LYNN</t>
  </si>
  <si>
    <t>3950-EAST E ROBINSON RD</t>
  </si>
  <si>
    <t>SULAIMAN, ROSALIND, MD</t>
  </si>
  <si>
    <t>E0133710</t>
  </si>
  <si>
    <t>SULAIMAN ROSALIND NOLAN</t>
  </si>
  <si>
    <t>SULAIMAN ROSALIND DR.</t>
  </si>
  <si>
    <t>(716) 961-9400</t>
  </si>
  <si>
    <t>BLOCHLE, RAPHAEL, MD</t>
  </si>
  <si>
    <t>E0308165</t>
  </si>
  <si>
    <t>BLOCHLE RAPHAEL</t>
  </si>
  <si>
    <t>RBLOCHLE@KALEIDAHEALTH.ORG</t>
  </si>
  <si>
    <t>SPIRIN, SEMEN, MD</t>
  </si>
  <si>
    <t>E0325528</t>
  </si>
  <si>
    <t>SPIRIN SEMEN</t>
  </si>
  <si>
    <t>SPIRIN SEMEN DR.</t>
  </si>
  <si>
    <t>(847) 899-1132</t>
  </si>
  <si>
    <t>845 ROUTES 5 &amp; 20</t>
  </si>
  <si>
    <t>ODROBINA, MICHELE, MD</t>
  </si>
  <si>
    <t>E0010948</t>
  </si>
  <si>
    <t>ODROBINA MICHELE ROBIN MD</t>
  </si>
  <si>
    <t>(585) 798-2866</t>
  </si>
  <si>
    <t>ODROBINA MICHELE</t>
  </si>
  <si>
    <t>RACZKA, MICHELLE, MD</t>
  </si>
  <si>
    <t>E0009896</t>
  </si>
  <si>
    <t>RACZKA MICHELLE C  MD</t>
  </si>
  <si>
    <t>MRACZKA@KALEIDAHEALTH.ORG</t>
  </si>
  <si>
    <t>RACZKA MICHELLE DR.</t>
  </si>
  <si>
    <t>MATHAI, ANNIE, MD</t>
  </si>
  <si>
    <t>E0296386</t>
  </si>
  <si>
    <t>ANNIE MATHAI</t>
  </si>
  <si>
    <t>AMATHAI@KALEIDAHEALTH.ORG</t>
  </si>
  <si>
    <t>MATHAI ANNIE DR.</t>
  </si>
  <si>
    <t>MATHAI ANNIE MD</t>
  </si>
  <si>
    <t>3898 VINEYARD DR</t>
  </si>
  <si>
    <t>RUTKOWSKI, JOHN, MD</t>
  </si>
  <si>
    <t>E0332947</t>
  </si>
  <si>
    <t>RUTKOWSKI JOHN M MD</t>
  </si>
  <si>
    <t>JRUTKOWSKI@KALEIDAHEALTH.ORG</t>
  </si>
  <si>
    <t>RUTKOWSKI JOHN DR.</t>
  </si>
  <si>
    <t>3085 HARLEM RD STE 200</t>
  </si>
  <si>
    <t>GU, EUGENE, MD</t>
  </si>
  <si>
    <t>E0341758</t>
  </si>
  <si>
    <t>GU EUGENE YUEJIE</t>
  </si>
  <si>
    <t>(214) 648-2371</t>
  </si>
  <si>
    <t>EGU@KALEIDAHEALTH.ORG</t>
  </si>
  <si>
    <t>GU EUGENE DR.</t>
  </si>
  <si>
    <t>DOMNISCH, FRANK, PA</t>
  </si>
  <si>
    <t>E0342496</t>
  </si>
  <si>
    <t>DOMNISCH FRANK JOSEPH</t>
  </si>
  <si>
    <t>DOMNISCH, FRANK, PA-C</t>
  </si>
  <si>
    <t>FDOMNISCH@KALEIDAHEALTH.ORG</t>
  </si>
  <si>
    <t>DOMNISCH FRANK MR.</t>
  </si>
  <si>
    <t>HOOVER, ELIZABETH, ANP</t>
  </si>
  <si>
    <t>E0347214</t>
  </si>
  <si>
    <t>HOOVER ELIZABETH JANE</t>
  </si>
  <si>
    <t>(716) 878-2497</t>
  </si>
  <si>
    <t>EHOOVER2@KALEIDAHEALTH.ORG</t>
  </si>
  <si>
    <t>HOOVER ELIZABETH MRS.</t>
  </si>
  <si>
    <t>METZGER, MARK, COTA</t>
  </si>
  <si>
    <t>METZGER, MARK, OTA</t>
  </si>
  <si>
    <t>METZGERM@SHSWNY.ORG</t>
  </si>
  <si>
    <t>METZGER MARK</t>
  </si>
  <si>
    <t>E0194435</t>
  </si>
  <si>
    <t>HUGHES THOMAS              MD</t>
  </si>
  <si>
    <t>(716) 433-8640</t>
  </si>
  <si>
    <t>HUGHES THOMAS DR.</t>
  </si>
  <si>
    <t>64 DAVISON CT</t>
  </si>
  <si>
    <t>NENNO, DONALD, MD</t>
  </si>
  <si>
    <t>E0251554</t>
  </si>
  <si>
    <t>NENNO DONALD JOSEPH II</t>
  </si>
  <si>
    <t>(716) 883-4201</t>
  </si>
  <si>
    <t>DNENNO@KALEIDAHEALTH.ORG</t>
  </si>
  <si>
    <t>NENNO DONALD DR.</t>
  </si>
  <si>
    <t>PEARSEN, KENNETH, MD</t>
  </si>
  <si>
    <t>E0176887</t>
  </si>
  <si>
    <t>PEARSEN KENNETH D MD</t>
  </si>
  <si>
    <t>KPEARSEN@KALEIDAHEALTH.ORG</t>
  </si>
  <si>
    <t>PEARSEN KENNETH DR.</t>
  </si>
  <si>
    <t>ROSS, LYNNE, MD</t>
  </si>
  <si>
    <t>E0050682</t>
  </si>
  <si>
    <t>ROSS LYNNE S MD</t>
  </si>
  <si>
    <t>ROSS LYNNE</t>
  </si>
  <si>
    <t>624 RIVER RD</t>
  </si>
  <si>
    <t>FREER, JACK, MD</t>
  </si>
  <si>
    <t>E0233821</t>
  </si>
  <si>
    <t>FREER JACK P MD</t>
  </si>
  <si>
    <t>JFREER@KALEIDAHEALTH.ORG</t>
  </si>
  <si>
    <t>FREER JACK</t>
  </si>
  <si>
    <t>VENTRESCA, EDWARD, MD</t>
  </si>
  <si>
    <t>E0157976</t>
  </si>
  <si>
    <t>VENTRESCA EDWARD MD</t>
  </si>
  <si>
    <t>EVENTRESCA@KALEIDAHEALTH.ORG</t>
  </si>
  <si>
    <t>VENTRESCA EDWARD DR.</t>
  </si>
  <si>
    <t>KO, HAK, MD</t>
  </si>
  <si>
    <t>E0231147</t>
  </si>
  <si>
    <t>KO HAK J                   MD</t>
  </si>
  <si>
    <t>KO HAK</t>
  </si>
  <si>
    <t>(716) 204-3541</t>
  </si>
  <si>
    <t>HAKJKO@AOL.COM</t>
  </si>
  <si>
    <t>BARCLAY, NANCY, NP</t>
  </si>
  <si>
    <t>E0097788</t>
  </si>
  <si>
    <t>BARCLAY NANCY ANN NP</t>
  </si>
  <si>
    <t>BARCLAY, NANCY, NNP</t>
  </si>
  <si>
    <t>NBARCLAY@KALEIDAHEALTH.ORG</t>
  </si>
  <si>
    <t>BARCLAY NANCY</t>
  </si>
  <si>
    <t>SZYMANSKI, GRETCHEN, LMSW</t>
  </si>
  <si>
    <t>GSZYMANSKI@CFSBNY.ORG</t>
  </si>
  <si>
    <t>SZYMANSKI GRETCHEN MS.</t>
  </si>
  <si>
    <t>WNY MEDICAL PC.</t>
  </si>
  <si>
    <t>E0004152</t>
  </si>
  <si>
    <t>WESTERN NEW YORK MEDICAL PC</t>
  </si>
  <si>
    <t>CHANDA SADIQ</t>
  </si>
  <si>
    <t>(716) 923-4390</t>
  </si>
  <si>
    <t>CHANDA.S@WNYMEDICAL.COM</t>
  </si>
  <si>
    <t>WNY MEDICAL PC</t>
  </si>
  <si>
    <t>4979 HARLEM RD</t>
  </si>
  <si>
    <t>ZHANG, LIXIN, MD</t>
  </si>
  <si>
    <t>E0049546</t>
  </si>
  <si>
    <t>ZHANG LIXIN MD</t>
  </si>
  <si>
    <t>LZHANG@KALEIDAHEALTH.ORG</t>
  </si>
  <si>
    <t>ZHANG LIXIN</t>
  </si>
  <si>
    <t>SUITE 200 DENT NEURO</t>
  </si>
  <si>
    <t>HADDAD, GEORGE, MD</t>
  </si>
  <si>
    <t>E0164686</t>
  </si>
  <si>
    <t>HADDAD GEORGE ANIS MD</t>
  </si>
  <si>
    <t>DR. GEORGE HADDAD</t>
  </si>
  <si>
    <t>(716) 876-3737</t>
  </si>
  <si>
    <t>GAHADDAD5@AIM.COM</t>
  </si>
  <si>
    <t>HADDAD GEORGE</t>
  </si>
  <si>
    <t>HADDAD GEORGE ANIS</t>
  </si>
  <si>
    <t>3800 DELAWARE AVE</t>
  </si>
  <si>
    <t>SCHLESINGER, MICHELLE, MD</t>
  </si>
  <si>
    <t>E0296163</t>
  </si>
  <si>
    <t>SCHLESINGER MICHELLE L</t>
  </si>
  <si>
    <t>SCHLESINGER, MICHELLE, DO</t>
  </si>
  <si>
    <t>MSCHLESINGER@KALEIDAHEALTH.ORG</t>
  </si>
  <si>
    <t>SCHLESINGER MICHELLE DR.</t>
  </si>
  <si>
    <t>MALIK, SHAVETA, MD</t>
  </si>
  <si>
    <t>E0383297</t>
  </si>
  <si>
    <t>MALIK SHAVETA</t>
  </si>
  <si>
    <t>(718) 226-8074</t>
  </si>
  <si>
    <t>SMALIK@KALEIDAHEALTH.ORG</t>
  </si>
  <si>
    <t>MALIK SHAVETA DR.</t>
  </si>
  <si>
    <t>LE, KIEN, MD</t>
  </si>
  <si>
    <t>E0129426</t>
  </si>
  <si>
    <t>LE KIEN THUAN MD</t>
  </si>
  <si>
    <t>KLE@KALEIDAHEALTH.ORG</t>
  </si>
  <si>
    <t>LE KIEN</t>
  </si>
  <si>
    <t>BRADFIELD-MCGEE, KRISTINA, DO</t>
  </si>
  <si>
    <t>E0348641</t>
  </si>
  <si>
    <t>BRADFIELD-MCGEE KRISTINA</t>
  </si>
  <si>
    <t>BRADFIELD MCGEE , KRIS, MD</t>
  </si>
  <si>
    <t>KBMCGEE@UPA.CHOB.EDU</t>
  </si>
  <si>
    <t>HUERTA, RITA, NURSEPRAC</t>
  </si>
  <si>
    <t>E0336526</t>
  </si>
  <si>
    <t>HUERTA RITA RAQUEL</t>
  </si>
  <si>
    <t>HUERTA, RITA, ANP</t>
  </si>
  <si>
    <t>(716) 690-2410</t>
  </si>
  <si>
    <t>RHUERTA@KALEIDAHEALTH.ORG</t>
  </si>
  <si>
    <t>HUERTA RITA MISS</t>
  </si>
  <si>
    <t>MALHOTRA, MONA, CRNA</t>
  </si>
  <si>
    <t>MMALHOTRA@KALEIDAHEALTH.ORG</t>
  </si>
  <si>
    <t>MALHOTRA MONA</t>
  </si>
  <si>
    <t>NWOGU, CHUKWUMERE, MD</t>
  </si>
  <si>
    <t>E0100930</t>
  </si>
  <si>
    <t>NWOGU CHUKWUMERE</t>
  </si>
  <si>
    <t>CNWOGU@KALEIDAHEALTH.ORG</t>
  </si>
  <si>
    <t>RPCI CLINICAL PRAC</t>
  </si>
  <si>
    <t>REUBENS, HAROLD, MD</t>
  </si>
  <si>
    <t>E0147048</t>
  </si>
  <si>
    <t>REUBENS HAROLD VERNON MD</t>
  </si>
  <si>
    <t>REUBENS HAROLD DR.</t>
  </si>
  <si>
    <t>NIAGARA FAMILY MED</t>
  </si>
  <si>
    <t>MOHAMED, NAUREEN, MD</t>
  </si>
  <si>
    <t>E0091983</t>
  </si>
  <si>
    <t>MOHAMED NAUREEN A MD</t>
  </si>
  <si>
    <t>(716) 633-3323</t>
  </si>
  <si>
    <t>MOHAMED NAUREEN DR.</t>
  </si>
  <si>
    <t>STE 314/315</t>
  </si>
  <si>
    <t>GUIDOTTI, CHERYL, FNPC</t>
  </si>
  <si>
    <t>E0033721</t>
  </si>
  <si>
    <t>GUIDOTTI CHERYL ANN</t>
  </si>
  <si>
    <t>LEWIS, CHERYL, FNP</t>
  </si>
  <si>
    <t>(716) 983-1957</t>
  </si>
  <si>
    <t>CLEWIS@KALEIDAHEALTH.ORG</t>
  </si>
  <si>
    <t>GUIDOTTI CHERYL</t>
  </si>
  <si>
    <t>LADNER, CHRISTOPHER, MDPHD</t>
  </si>
  <si>
    <t>E0329390</t>
  </si>
  <si>
    <t>LADNER CHRISTO</t>
  </si>
  <si>
    <t>LADNER, CHRISTOPHER, MD</t>
  </si>
  <si>
    <t>CLADNER@KALEIDAHEALTH.ORG</t>
  </si>
  <si>
    <t>LADNER CHRISTOPHER DR.</t>
  </si>
  <si>
    <t>127 S BROADWAY</t>
  </si>
  <si>
    <t>MAKDISSI, ANTOINE, MD</t>
  </si>
  <si>
    <t>E0302470</t>
  </si>
  <si>
    <t>MAKDISSI ANTOINE</t>
  </si>
  <si>
    <t>(716) 887-4069</t>
  </si>
  <si>
    <t>AMAKDISSI@KALEIDAHEALTH.ORG</t>
  </si>
  <si>
    <t>GARTNER, LOU ANN, MD</t>
  </si>
  <si>
    <t>E0192039</t>
  </si>
  <si>
    <t>GARTNER LOU ANN M MD</t>
  </si>
  <si>
    <t>GARTNER,  LOU ANN  , MD</t>
  </si>
  <si>
    <t>LGARTNER@UPA.CHOB.EDU</t>
  </si>
  <si>
    <t>GARTNER LOU ANN</t>
  </si>
  <si>
    <t>ERIE COUNTY</t>
  </si>
  <si>
    <t>E0252042</t>
  </si>
  <si>
    <t>ERIE COUNTY HEALTH DEPT</t>
  </si>
  <si>
    <t>(716) 858-8080</t>
  </si>
  <si>
    <t>COUNTY OF ERIE</t>
  </si>
  <si>
    <t>95 FRANKLIN ST</t>
  </si>
  <si>
    <t>MASUD, A R, MD</t>
  </si>
  <si>
    <t>E0230967</t>
  </si>
  <si>
    <t>MASUD A R ZAKI             MD</t>
  </si>
  <si>
    <t>ZMASUD@KALEIDAHEALTH.ORG</t>
  </si>
  <si>
    <t>MASUD A R</t>
  </si>
  <si>
    <t>PANEK, WILLIAM, DPM</t>
  </si>
  <si>
    <t>E0214265</t>
  </si>
  <si>
    <t>PANEK WILLIAM NICHOLAS DPM</t>
  </si>
  <si>
    <t>(716) 937-3310</t>
  </si>
  <si>
    <t>WPANEK@KALEIDAHEALTH.ORG</t>
  </si>
  <si>
    <t>PANEK WILLIAM DR.</t>
  </si>
  <si>
    <t>13104 BROADWAY ST</t>
  </si>
  <si>
    <t>GLYNN, PAIGE, LCSWR</t>
  </si>
  <si>
    <t>E0103528</t>
  </si>
  <si>
    <t>GLYNN PAIGE</t>
  </si>
  <si>
    <t>GLYNN, PAIGE, LCSW-R</t>
  </si>
  <si>
    <t>PAIGE.GLYNN@NIAGARACOUNTY.COM</t>
  </si>
  <si>
    <t>GLYNN PAIGE MRS.</t>
  </si>
  <si>
    <t>GLYNN PAIGE E</t>
  </si>
  <si>
    <t>COMMUNITY MEDICAL PHARMACY INC</t>
  </si>
  <si>
    <t>E0240274</t>
  </si>
  <si>
    <t>COMMUNITY MEDICAL PHARM   INC</t>
  </si>
  <si>
    <t>918 MICHIGAN AVE</t>
  </si>
  <si>
    <t>MILLER, NICOLE,</t>
  </si>
  <si>
    <t>E0371765</t>
  </si>
  <si>
    <t>MILLER NICOLE E</t>
  </si>
  <si>
    <t>MILLER, NICOLE, PA</t>
  </si>
  <si>
    <t>NMILLER@KALEIDAHEALTH.ORG</t>
  </si>
  <si>
    <t>MILLER NICOLE</t>
  </si>
  <si>
    <t>1540 MAPLE ROAD</t>
  </si>
  <si>
    <t>LUSK, ALLISON,</t>
  </si>
  <si>
    <t>LUSK,  ALLISON, COUNSELOR III</t>
  </si>
  <si>
    <t>LUSK ALLISON</t>
  </si>
  <si>
    <t>HOLE, ELIZABETH,</t>
  </si>
  <si>
    <t>HOLE,  ELIZABETH, COUNSELOR III</t>
  </si>
  <si>
    <t>HOLE ELIZABETH</t>
  </si>
  <si>
    <t>PLANNED PARENTHOOD OF THE ROCHESTER/SYRACUSE REGION</t>
  </si>
  <si>
    <t>E0260994</t>
  </si>
  <si>
    <t>PLANNED PRTHD ROCHSTR/SYRACUS</t>
  </si>
  <si>
    <t>(585) 546-2595</t>
  </si>
  <si>
    <t>114 UNIVERSITY AVE</t>
  </si>
  <si>
    <t>SILVA, APRIL, MD</t>
  </si>
  <si>
    <t>E0020333</t>
  </si>
  <si>
    <t>SILVA APRIL ANN MD</t>
  </si>
  <si>
    <t>(516) 876-5555</t>
  </si>
  <si>
    <t>ASILVA@KALEIDAHEALTH.ORG</t>
  </si>
  <si>
    <t>SILVA APRIL</t>
  </si>
  <si>
    <t>101 SAINT ANDREWS LN</t>
  </si>
  <si>
    <t>GLEN COVE</t>
  </si>
  <si>
    <t>ROGERS, JENNIFER, MD</t>
  </si>
  <si>
    <t>E0354960</t>
  </si>
  <si>
    <t>ROGERS JENNIFER LYNN</t>
  </si>
  <si>
    <t>JROGERS@KALEIDAHEALTH.ORG</t>
  </si>
  <si>
    <t>ROGERS JENNIFER DR.</t>
  </si>
  <si>
    <t>WIEWIORSKI, MICHAEL, PA</t>
  </si>
  <si>
    <t>E0292534</t>
  </si>
  <si>
    <t>MICHAEL J WIEWIORSKI</t>
  </si>
  <si>
    <t>MWIEWIORSKI@KALEIDAHEALTH.ORG</t>
  </si>
  <si>
    <t>WIEWIORSKI MICHAEL</t>
  </si>
  <si>
    <t>WIEWIORSKI MICHAEL JOSEPH RPA</t>
  </si>
  <si>
    <t>BAILEY, KRISTINE, PMHNP</t>
  </si>
  <si>
    <t>E0315183</t>
  </si>
  <si>
    <t>BAILEY KRISTINE E</t>
  </si>
  <si>
    <t>BAILEY KRISTINE</t>
  </si>
  <si>
    <t>BENDER, CINDREA, MD</t>
  </si>
  <si>
    <t>E0294298</t>
  </si>
  <si>
    <t>BENDER CINDREA DENISE</t>
  </si>
  <si>
    <t>CBENDER@KALEIDAHEALTH.ORG</t>
  </si>
  <si>
    <t>BENDER CINDREA DR.</t>
  </si>
  <si>
    <t>MORAIS, JOSHUA, MD</t>
  </si>
  <si>
    <t>E0315944</t>
  </si>
  <si>
    <t>MORAIS JOSHUA</t>
  </si>
  <si>
    <t>JMORAIS@KALEIDAHEALTH.ORG</t>
  </si>
  <si>
    <t>BUKOWSKI-HEHR, MARIE, NP</t>
  </si>
  <si>
    <t>E0010941</t>
  </si>
  <si>
    <t>BUKOWSKI-HEHR MARIE</t>
  </si>
  <si>
    <t>BUKOWSKI-HEHR, MARIE, ANP</t>
  </si>
  <si>
    <t>(716) 681-9806</t>
  </si>
  <si>
    <t>MBUKOWSKI-HEHR@KALEIDAHEALTH.ORG</t>
  </si>
  <si>
    <t>BUKOWSKI-HEHR MARIE MRS.</t>
  </si>
  <si>
    <t>TERESE SCOFIDO</t>
  </si>
  <si>
    <t>TSCOFIDIO@BVS-OLV-ORG</t>
  </si>
  <si>
    <t>DAY TRT &amp;CL TRT OMH</t>
  </si>
  <si>
    <t>CATHCART, JENNIFER, WHNP</t>
  </si>
  <si>
    <t>E0302249</t>
  </si>
  <si>
    <t>CATHCART JENNIFER JYNN</t>
  </si>
  <si>
    <t>J.CATHCART@NWBCHCC.ORG</t>
  </si>
  <si>
    <t>CATHCART JENNIFER</t>
  </si>
  <si>
    <t>CATHCART JENNIFER LYNN</t>
  </si>
  <si>
    <t>WHEELER, DAVID,</t>
  </si>
  <si>
    <t>WHEELER,  DAVID, CLINICAL SYSTEMS SPECIALIST</t>
  </si>
  <si>
    <t>WHEELER DAVID</t>
  </si>
  <si>
    <t>KORFF, KATHRYN, DDS</t>
  </si>
  <si>
    <t>E0336943</t>
  </si>
  <si>
    <t>KATHRYN CONVISSAR KORFF</t>
  </si>
  <si>
    <t>KKORFF@ECMC.EDU</t>
  </si>
  <si>
    <t>KORFF KATHRYN</t>
  </si>
  <si>
    <t>KORFF KATHRYN C</t>
  </si>
  <si>
    <t>DENIS, CATLIN,</t>
  </si>
  <si>
    <t>DENIS,  CATLIN, SR COUNSELOR LICENSED</t>
  </si>
  <si>
    <t>DENIS CATLIN</t>
  </si>
  <si>
    <t>CUMMINGS, DIANA,</t>
  </si>
  <si>
    <t>CUMMINGS, DIANA, LMSW</t>
  </si>
  <si>
    <t>DIANACUMMINGS@CATSWNY.ORG</t>
  </si>
  <si>
    <t>CUMMINGS DIANA</t>
  </si>
  <si>
    <t>GAZZOLI, NICHOLAS,</t>
  </si>
  <si>
    <t>GAZZOLI,  NICHOLAS, CLINICAL SUPERVISOR</t>
  </si>
  <si>
    <t>GAZZOLI NICHOLAS MR.</t>
  </si>
  <si>
    <t>LYNCH, MICHAEL, MSW</t>
  </si>
  <si>
    <t>LYNCH, MICHAEL, LMSW</t>
  </si>
  <si>
    <t>MLYNCH@CATSWNY.ORG</t>
  </si>
  <si>
    <t>LYNCH MICHAEL</t>
  </si>
  <si>
    <t>BOYD AUGELLO, MICHELLE, DDS</t>
  </si>
  <si>
    <t>E0413767</t>
  </si>
  <si>
    <t>AUGELLO MICHELLE BOYD</t>
  </si>
  <si>
    <t>AUGELLO, MICHELLE, DDS</t>
  </si>
  <si>
    <t>(716) 439-1546</t>
  </si>
  <si>
    <t>MAUGELLO@ECMC.EDU</t>
  </si>
  <si>
    <t>AUGELLO MICHELLE DR.</t>
  </si>
  <si>
    <t>NGUYEN, TOAN, MD</t>
  </si>
  <si>
    <t>E0343276</t>
  </si>
  <si>
    <t>NGUYEN TOAN THIEN</t>
  </si>
  <si>
    <t>(714) 785-7195</t>
  </si>
  <si>
    <t>TNGUYEN2@KALEIDAHEALTH.ORG</t>
  </si>
  <si>
    <t>NGUYEN TOAN DR.</t>
  </si>
  <si>
    <t>3915 SHERIDAN DR</t>
  </si>
  <si>
    <t>DEVESO, JENNA,</t>
  </si>
  <si>
    <t>CIRBUS,  JENNA, SR COUNSELOR LICENSED</t>
  </si>
  <si>
    <t>DEVESO JENNA</t>
  </si>
  <si>
    <t>HUMM, PATRICIA, LMSW</t>
  </si>
  <si>
    <t>E0300635</t>
  </si>
  <si>
    <t>HUMM PATRICIA</t>
  </si>
  <si>
    <t>HUMM, PATRICIA, LCSW</t>
  </si>
  <si>
    <t>PATRICIAAHUMM@GMAIL.COM</t>
  </si>
  <si>
    <t>HUMM PATRICIA MS.</t>
  </si>
  <si>
    <t>MURPHY, MARY, PA</t>
  </si>
  <si>
    <t>E0348140</t>
  </si>
  <si>
    <t>MURPHY MARY E</t>
  </si>
  <si>
    <t>MURPHY, MARY, PA-C</t>
  </si>
  <si>
    <t>(240) 964-8724</t>
  </si>
  <si>
    <t>MMURPHY4@KALEIDAHEALTH.ORG</t>
  </si>
  <si>
    <t>MURPHY MARY MISS</t>
  </si>
  <si>
    <t>MURPHY MARY ELIZABETH</t>
  </si>
  <si>
    <t>GLOVER, ROBERT, MD</t>
  </si>
  <si>
    <t>E0194125</t>
  </si>
  <si>
    <t>GLOVER ROBERT FRANKLIN JR MD</t>
  </si>
  <si>
    <t>(716) 689-9245</t>
  </si>
  <si>
    <t>RGLOVER@KALEIDAHEALTH.ORG</t>
  </si>
  <si>
    <t>GLOVER ROBERT DR.</t>
  </si>
  <si>
    <t>GLOVER ROBERT FRANKLIN JR</t>
  </si>
  <si>
    <t>GATES CIRCLE HEART G</t>
  </si>
  <si>
    <t>PANESAR, MANDIP, MD</t>
  </si>
  <si>
    <t>E0024125</t>
  </si>
  <si>
    <t>PANESARD MANDIP MD</t>
  </si>
  <si>
    <t>(716) 898-4803</t>
  </si>
  <si>
    <t>PANESAR MANDIP</t>
  </si>
  <si>
    <t>PANESAR MANDIP MD</t>
  </si>
  <si>
    <t>HURLEY, JOHN, DPM</t>
  </si>
  <si>
    <t>E0181547</t>
  </si>
  <si>
    <t>HURLEY JOHN P DPM</t>
  </si>
  <si>
    <t>JHURLEY@KALEIDAHEALTH.ORG</t>
  </si>
  <si>
    <t>HURLEY JOHN</t>
  </si>
  <si>
    <t>HURLEY JOHN PATRICK</t>
  </si>
  <si>
    <t>KOVALENKO, OLEG, MD</t>
  </si>
  <si>
    <t>E0367696</t>
  </si>
  <si>
    <t>KOVALENKO OLEG GEORGIEVICH</t>
  </si>
  <si>
    <t>KOVALENKO , OLEG, MD</t>
  </si>
  <si>
    <t>OLOVALENKO@UPA.CHOB.EDU</t>
  </si>
  <si>
    <t>KOVALENKO OLEG</t>
  </si>
  <si>
    <t>VAUGHAN, TABITHA,</t>
  </si>
  <si>
    <t>VAUGHAN , TABITHA, LMSW</t>
  </si>
  <si>
    <t>(716) 835-7807</t>
  </si>
  <si>
    <t>TVAUGHAN@CATSWNY.ORG</t>
  </si>
  <si>
    <t>VAUGHAN TABITHA</t>
  </si>
  <si>
    <t>SAYALOLIPAVAN, THIHALOLIPAVAN, MD</t>
  </si>
  <si>
    <t>E0138268</t>
  </si>
  <si>
    <t>SAYALOLIPAVAN THIHALOLIPAVAN</t>
  </si>
  <si>
    <t>(716) 636-3730</t>
  </si>
  <si>
    <t>SAYALOLIPAVAN THIHALOLIPAVAN DR.</t>
  </si>
  <si>
    <t>567 KENSINGTON AVE</t>
  </si>
  <si>
    <t>KANE, JOHN, MD</t>
  </si>
  <si>
    <t>E0067566</t>
  </si>
  <si>
    <t>KANE JOHN MD</t>
  </si>
  <si>
    <t>JKANE@KALEIDAHEALTH.ORG</t>
  </si>
  <si>
    <t>KANE JOHN</t>
  </si>
  <si>
    <t>LELE, SHASHIKANT, MD</t>
  </si>
  <si>
    <t>E0187396</t>
  </si>
  <si>
    <t>LELE SHASHIKANT B MD</t>
  </si>
  <si>
    <t>SLELE@KALEIDAHEALTH.ORG</t>
  </si>
  <si>
    <t>LELE SHASHIKANT</t>
  </si>
  <si>
    <t>AL-IBRAHIM, OMAR, MD</t>
  </si>
  <si>
    <t>E0019549</t>
  </si>
  <si>
    <t>AL-IBRAHIM OMAR S MD</t>
  </si>
  <si>
    <t>OALIBRAHIM2@KALEIDAHEALTH.ORG</t>
  </si>
  <si>
    <t>AL-IBRAHIM OMAR</t>
  </si>
  <si>
    <t>ROSA COPLON LONG TERM HOME HEALTH CARE PROGRAM</t>
  </si>
  <si>
    <t>E0195070</t>
  </si>
  <si>
    <t>ROSA COPLON JEWISH H&amp;I LTHHCP</t>
  </si>
  <si>
    <t>(716) 639-3311</t>
  </si>
  <si>
    <t>ROSA COPLONJEWISH HOME AND INFIRMARY</t>
  </si>
  <si>
    <t>2700 N FOREST RD</t>
  </si>
  <si>
    <t>DAMON, KATHLEEN,</t>
  </si>
  <si>
    <t>DAMON,  KATHLEEN, PROGRAM DIRECTOR</t>
  </si>
  <si>
    <t>DAMON KATHLEEN</t>
  </si>
  <si>
    <t>BALLOK, EMILY, MSLMHC</t>
  </si>
  <si>
    <t>BALLOK,  EMILY , PROGRAM DIRECTOR</t>
  </si>
  <si>
    <t>BALLOK EMILY</t>
  </si>
  <si>
    <t>SILVA, MELITON, MD</t>
  </si>
  <si>
    <t>E0321968</t>
  </si>
  <si>
    <t>SILVA MELITON</t>
  </si>
  <si>
    <t>(716) 837-9111</t>
  </si>
  <si>
    <t>MSILVA@KALEIDAHEALTH.ORG</t>
  </si>
  <si>
    <t>SILVA MELITON DR.</t>
  </si>
  <si>
    <t>SILVA MELITON B</t>
  </si>
  <si>
    <t>4231 MAPLE RD</t>
  </si>
  <si>
    <t>AL-HUMADI, MOHANED, MD</t>
  </si>
  <si>
    <t>E0325488</t>
  </si>
  <si>
    <t>AL-HUMADI MOHANED</t>
  </si>
  <si>
    <t>AL-HUMADI, MOHANED,</t>
  </si>
  <si>
    <t>AL-HUMADI MOHANED DR.</t>
  </si>
  <si>
    <t>SMITH, KAREN, LMSW</t>
  </si>
  <si>
    <t>SMITHKA@SHSWNY.ORG</t>
  </si>
  <si>
    <t>COLOPRISCO, SARA, RPAC</t>
  </si>
  <si>
    <t>E0369955</t>
  </si>
  <si>
    <t>COLOPRISCO SARA ANN</t>
  </si>
  <si>
    <t>COLOPRISCO, SARA, PA</t>
  </si>
  <si>
    <t>SCOLOPRISCO@KALEIDAHEALTH.ORG</t>
  </si>
  <si>
    <t>AOUN SARA MS.</t>
  </si>
  <si>
    <t>JASINSKI, CARLY,</t>
  </si>
  <si>
    <t>JASINSKI, CARLY, MHC-P</t>
  </si>
  <si>
    <t>JASINSKIC@SHSWNY.ORG</t>
  </si>
  <si>
    <t>JASINSKI CARLY</t>
  </si>
  <si>
    <t>HASTINGS, BRITTANY,</t>
  </si>
  <si>
    <t>HASTINGS,  BRITTANY, COUNSELOR III</t>
  </si>
  <si>
    <t>HASTINGS BRITTANY</t>
  </si>
  <si>
    <t>SATTELBERG, AMANDA, FNP</t>
  </si>
  <si>
    <t>E0395446</t>
  </si>
  <si>
    <t>SATTELBERG AMANDA</t>
  </si>
  <si>
    <t>(716) 778-7334</t>
  </si>
  <si>
    <t>ASATTELBERG@KALEIDAHEALTH.ORG</t>
  </si>
  <si>
    <t>HOLLINGDRAKE, ELIZABETH,</t>
  </si>
  <si>
    <t>HOLLINGDRAKE,  ELIZABETH, COUNSELOR III</t>
  </si>
  <si>
    <t>HOLLINGDRAKE ELIZABETH</t>
  </si>
  <si>
    <t>SCHAEFFER, CHRISTOPHER, MD</t>
  </si>
  <si>
    <t>E0082864</t>
  </si>
  <si>
    <t>SCHAEFFER CHRISTOPHER MD</t>
  </si>
  <si>
    <t>CSCHAEFFER@KALEIDAHEALTH.ORG</t>
  </si>
  <si>
    <t>SCHAEFFER CHRISTOPHER</t>
  </si>
  <si>
    <t>SCHAEFFER CHRISTOPHER PATRICK</t>
  </si>
  <si>
    <t>PANTANO, JOANNE, ANP</t>
  </si>
  <si>
    <t>E0079837</t>
  </si>
  <si>
    <t>PANTANO JOANNE ELYSE</t>
  </si>
  <si>
    <t>JPANTANO@KALEIDAHEALTH.ORG</t>
  </si>
  <si>
    <t>PANTANO JOANNE</t>
  </si>
  <si>
    <t>STE B103</t>
  </si>
  <si>
    <t>PURCELL, PETER, DDS</t>
  </si>
  <si>
    <t>E0200129</t>
  </si>
  <si>
    <t>PURCELL PETER DAMIEN      DDS</t>
  </si>
  <si>
    <t>(716) 822-2499</t>
  </si>
  <si>
    <t>PPURCELL@KALEIDAHEALTH.ORG</t>
  </si>
  <si>
    <t>PURCELL PETER DR.</t>
  </si>
  <si>
    <t>401 POTTERS RD</t>
  </si>
  <si>
    <t>PRESS, SHALOM, MD</t>
  </si>
  <si>
    <t>E0240161</t>
  </si>
  <si>
    <t>PRESS SHALOM               MD</t>
  </si>
  <si>
    <t>(716) 691-1414</t>
  </si>
  <si>
    <t>SPRESS@KALEIDAHEALTH.ORG</t>
  </si>
  <si>
    <t>PRESS SHALOM</t>
  </si>
  <si>
    <t>CHILDRENS M HOSP</t>
  </si>
  <si>
    <t>KAISER, RHONDA, NP</t>
  </si>
  <si>
    <t>E0091305</t>
  </si>
  <si>
    <t>KAISER RHONDA A</t>
  </si>
  <si>
    <t>KAISER, RHONDA, ANP</t>
  </si>
  <si>
    <t>(716) 694-3541</t>
  </si>
  <si>
    <t>RKAISER@KALEIDAHEALTH.ORG</t>
  </si>
  <si>
    <t>KAISER RHONDA</t>
  </si>
  <si>
    <t>533 MEADOW DR</t>
  </si>
  <si>
    <t>SCHAEFER-TURNER, MARGARET, CNM</t>
  </si>
  <si>
    <t>E0153695</t>
  </si>
  <si>
    <t>SCHAEFER TURNER MARGARET M</t>
  </si>
  <si>
    <t>MSCHAEFERTURNER@KALEIDAHEALTH.ORG</t>
  </si>
  <si>
    <t>SCHAEFER-TURNER MARGARET</t>
  </si>
  <si>
    <t>755 WEHRLE DR</t>
  </si>
  <si>
    <t>BUFALO</t>
  </si>
  <si>
    <t>SULLIVAN, LAURIE, NP</t>
  </si>
  <si>
    <t>E0034978</t>
  </si>
  <si>
    <t>SULLIVAN LAURIE EILEEN</t>
  </si>
  <si>
    <t>SULLIVAN, LAURIE, ANP</t>
  </si>
  <si>
    <t>(716) 622-8623</t>
  </si>
  <si>
    <t>LSULLIVAN@KALEIDAHEALTH.ORG</t>
  </si>
  <si>
    <t>SULLIVAN LAURIE</t>
  </si>
  <si>
    <t>PERRY, MARK, MD</t>
  </si>
  <si>
    <t>E0228735</t>
  </si>
  <si>
    <t>PERRY MARK D               MD</t>
  </si>
  <si>
    <t>PERRY MARK</t>
  </si>
  <si>
    <t>PERRY MARK D MD</t>
  </si>
  <si>
    <t>NIAGARA RADIOLOGISTS</t>
  </si>
  <si>
    <t>FORTE, KENTON, MD</t>
  </si>
  <si>
    <t>E0181575</t>
  </si>
  <si>
    <t>FORTE KENTON E  MD</t>
  </si>
  <si>
    <t>(716) 886-4202</t>
  </si>
  <si>
    <t>KFORTE@KALEIDAHEALTH.ORG</t>
  </si>
  <si>
    <t>FORTE KENTON DR.</t>
  </si>
  <si>
    <t>TIU SNYDERMAN, ZERLINE, MD</t>
  </si>
  <si>
    <t>E0129767</t>
  </si>
  <si>
    <t>TIU-SNYDERMAN ZERLINE MD</t>
  </si>
  <si>
    <t>TIU-SNYDERMAN, ZERLINE, MD</t>
  </si>
  <si>
    <t>ZTIUSNYDERMAN@KALEIDAHEALTH.ORG</t>
  </si>
  <si>
    <t>TIU SNYDERMAN ZERLINE</t>
  </si>
  <si>
    <t>WIKTOR, KYLE, NP</t>
  </si>
  <si>
    <t>E0308092</t>
  </si>
  <si>
    <t>WIKTOR KYLE</t>
  </si>
  <si>
    <t>WIKTOR KYLE MR.</t>
  </si>
  <si>
    <t>(716) 657-7376</t>
  </si>
  <si>
    <t>WIKTOR KYLE ANDREW</t>
  </si>
  <si>
    <t>305 E FAIRMOUNT AVE</t>
  </si>
  <si>
    <t>LAKEWOOD</t>
  </si>
  <si>
    <t>KORITZ, SARA, MD</t>
  </si>
  <si>
    <t>E0196627</t>
  </si>
  <si>
    <t>KORITZ SARA                MD</t>
  </si>
  <si>
    <t>KORITZ SARA DR.</t>
  </si>
  <si>
    <t>60 E 208TH ST</t>
  </si>
  <si>
    <t>SINGH, ASHOK, MD</t>
  </si>
  <si>
    <t>E0092964</t>
  </si>
  <si>
    <t>SINGH ASHOK MD</t>
  </si>
  <si>
    <t>SINGH ASHOK DR.</t>
  </si>
  <si>
    <t>BARRON, MARTIN, MD</t>
  </si>
  <si>
    <t>E0234382</t>
  </si>
  <si>
    <t>BARRON MARTIN MD</t>
  </si>
  <si>
    <t>MBARRON@KALEIDAHEALTH.ORG</t>
  </si>
  <si>
    <t>BARRON MARTIN</t>
  </si>
  <si>
    <t>164 MARINER ST</t>
  </si>
  <si>
    <t>PIERCE, WILLIAM, DPM</t>
  </si>
  <si>
    <t>E0208935</t>
  </si>
  <si>
    <t>PIERCE WILLIAM S DPM</t>
  </si>
  <si>
    <t>(716) 675-3555</t>
  </si>
  <si>
    <t>WPIERCE2@KALEIDAHEALTH.ORG</t>
  </si>
  <si>
    <t>PIERCE WILLIAM DR.</t>
  </si>
  <si>
    <t>STE 207</t>
  </si>
  <si>
    <t>PROS</t>
  </si>
  <si>
    <t>E0063074</t>
  </si>
  <si>
    <t>6783484A/ACT ASPIRE</t>
  </si>
  <si>
    <t>WATSON, HEATHER, PSYD</t>
  </si>
  <si>
    <t>(716) 816-2995</t>
  </si>
  <si>
    <t>HEATHER.WATSON@OMH.NY.GOV</t>
  </si>
  <si>
    <t>WATSON HEATHER DR.</t>
  </si>
  <si>
    <t>400 FOREST AVE, BUTLER CLINIC</t>
  </si>
  <si>
    <t>BRIGUGLIO, ARIEL,</t>
  </si>
  <si>
    <t>BRIGUGLIO,  ARIEL, SR COUNSELOR LICENSED</t>
  </si>
  <si>
    <t>BRIGUGLIO ARIEL</t>
  </si>
  <si>
    <t>MUSCARELLA, JOSEPH, DO</t>
  </si>
  <si>
    <t>E0183270</t>
  </si>
  <si>
    <t>MUSCARELLA JOSEPH L JR MD</t>
  </si>
  <si>
    <t>JMUSCARELLA@KALEIDAHEALTH.ORG</t>
  </si>
  <si>
    <t>MUSCARELLA JOSEPH DR.</t>
  </si>
  <si>
    <t>MUSCARELLA JOSEPH L JR</t>
  </si>
  <si>
    <t>DEBERRY, JOHN, MD</t>
  </si>
  <si>
    <t>E0197525</t>
  </si>
  <si>
    <t>DEBERRY JOHN LAFAYETTE III MD</t>
  </si>
  <si>
    <t>(716) 881-9077</t>
  </si>
  <si>
    <t>JDEBERRY@KALEIDAHEALTH.ORG</t>
  </si>
  <si>
    <t>DEBERRY JOHN DR.</t>
  </si>
  <si>
    <t>DEBERRY JOHN LAFAYETTE III</t>
  </si>
  <si>
    <t>BUFFALO GENL HOSP</t>
  </si>
  <si>
    <t>FINKELSTEIN, MARK, DPM</t>
  </si>
  <si>
    <t>E0205493</t>
  </si>
  <si>
    <t>FINKELSTEIN MARK S DPM</t>
  </si>
  <si>
    <t>(716) 689-2120</t>
  </si>
  <si>
    <t>MFINKELSTEIN@KALEIDAHEALTH.ORG</t>
  </si>
  <si>
    <t>FINKELSTEIN MARK DR.</t>
  </si>
  <si>
    <t>FINKELSTEIN MARK S  DPM</t>
  </si>
  <si>
    <t>1540 ELLICOTT CREEK RD</t>
  </si>
  <si>
    <t>DURANDETTO, LISA, NP</t>
  </si>
  <si>
    <t>E0035092</t>
  </si>
  <si>
    <t>DURANDETTO LISA ANN</t>
  </si>
  <si>
    <t>DURANDETTO, LISA, ANP</t>
  </si>
  <si>
    <t>LDURANDETTO@KALEIDAHEALTH.ORG</t>
  </si>
  <si>
    <t>DURANDETTO LISA</t>
  </si>
  <si>
    <t>BAKER, JOHN, PHD</t>
  </si>
  <si>
    <t>E0126051</t>
  </si>
  <si>
    <t>BAKER JOHN GREGORY PHD</t>
  </si>
  <si>
    <t>(716) 838-5889</t>
  </si>
  <si>
    <t>JBAKER2@KALEIDAHEALTH.ORG</t>
  </si>
  <si>
    <t>BAKER JOHN</t>
  </si>
  <si>
    <t>TIRONE, CHARLES, MD</t>
  </si>
  <si>
    <t>E0232318</t>
  </si>
  <si>
    <t>TIRONE CHARLES SALVATORE MD</t>
  </si>
  <si>
    <t>TIRONE CHARLES DR.</t>
  </si>
  <si>
    <t>5815 S PARK AVE</t>
  </si>
  <si>
    <t>WILLIOT, PIERRE, MD</t>
  </si>
  <si>
    <t>E0092334</t>
  </si>
  <si>
    <t>WILLIOT PIERRE EMILE MD</t>
  </si>
  <si>
    <t>PWILLIOT@KALEIDAHEALTH.ORG</t>
  </si>
  <si>
    <t>WILLIOT PIERRE</t>
  </si>
  <si>
    <t>UROLOGY MAP 5</t>
  </si>
  <si>
    <t>FIX, BRENDA, NP</t>
  </si>
  <si>
    <t>E0057182</t>
  </si>
  <si>
    <t>FIX BRENDA J</t>
  </si>
  <si>
    <t>FIX, BRENDA, FNP</t>
  </si>
  <si>
    <t>BFIX@KALEIDAHEALTH.ORG</t>
  </si>
  <si>
    <t>FIX BRENDA</t>
  </si>
  <si>
    <t>GUNAWARDANE, CYRIL, MD</t>
  </si>
  <si>
    <t>E0180064</t>
  </si>
  <si>
    <t>GUNAWARDANE CYRIL MD</t>
  </si>
  <si>
    <t>(716) 898-4808</t>
  </si>
  <si>
    <t>GUNAWARDANE CYRIL DR.</t>
  </si>
  <si>
    <t>DELETIONS TO DR GUNA</t>
  </si>
  <si>
    <t>RICH, ELLEN, MD</t>
  </si>
  <si>
    <t>E0126770</t>
  </si>
  <si>
    <t>RICH ELLEN PAIGE MD</t>
  </si>
  <si>
    <t>RICH ELLEN DR.</t>
  </si>
  <si>
    <t>M GAJEWSKI HUMAN SVC</t>
  </si>
  <si>
    <t>CAMPBELL, LUCY, MD</t>
  </si>
  <si>
    <t>E0165955</t>
  </si>
  <si>
    <t>CAMPBELL LUCY A  MD</t>
  </si>
  <si>
    <t>LCAMPBELL@KALEIDAHEALTH.ORG</t>
  </si>
  <si>
    <t>CAMPBELL LUCY</t>
  </si>
  <si>
    <t>CAMPBELL LUCY ANN</t>
  </si>
  <si>
    <t>YACOBUCCI, DEAN, MD</t>
  </si>
  <si>
    <t>E0132504</t>
  </si>
  <si>
    <t>YACOBUCCI DEAN VINCENT MD</t>
  </si>
  <si>
    <t>(716) 878-7502</t>
  </si>
  <si>
    <t>DYACOBUCCI@KALEIDAHEALTH.ORG</t>
  </si>
  <si>
    <t>YACOBUCCI DEAN</t>
  </si>
  <si>
    <t>191 N MAIN ST</t>
  </si>
  <si>
    <t>HONG, FREDERICK,</t>
  </si>
  <si>
    <t>E0186940</t>
  </si>
  <si>
    <t>HONG FREDERICK MD</t>
  </si>
  <si>
    <t>HONG, FREDERICK, MD</t>
  </si>
  <si>
    <t>FHONG@KALEIDAHEALTH.ORG</t>
  </si>
  <si>
    <t>HONG FREDERICK</t>
  </si>
  <si>
    <t>45 SPRINDRIFT DR</t>
  </si>
  <si>
    <t>MALPESO, JAMES, MD</t>
  </si>
  <si>
    <t>E0251034</t>
  </si>
  <si>
    <t>MALPESO JAMES V            MD</t>
  </si>
  <si>
    <t>(718) 226-9600</t>
  </si>
  <si>
    <t>JMALPESO@KALEIDAHEALTH.ORG</t>
  </si>
  <si>
    <t>MALPESO JAMES</t>
  </si>
  <si>
    <t>153 W 11TH ST</t>
  </si>
  <si>
    <t>HEALTH SYSTEM SERVICES, LTD.</t>
  </si>
  <si>
    <t>E0009175</t>
  </si>
  <si>
    <t>HEALTH SYSTEM SERVICES LTD</t>
  </si>
  <si>
    <t>BOB MINICUCCI</t>
  </si>
  <si>
    <t>(716) 283-2339</t>
  </si>
  <si>
    <t>ROBERTM@HEALTHSYS.NET</t>
  </si>
  <si>
    <t>6867 WILLIAMS RD</t>
  </si>
  <si>
    <t>ALBERICO, RONALD, MD</t>
  </si>
  <si>
    <t>E0121886</t>
  </si>
  <si>
    <t>ALBERICO RONALD A  MD</t>
  </si>
  <si>
    <t>RALBERICO@KALEIDAHEALTH.ORG</t>
  </si>
  <si>
    <t>ALBERICO RONALD</t>
  </si>
  <si>
    <t>ST JEROME HOSPITAL</t>
  </si>
  <si>
    <t>MUNRO, AMY, RPAC</t>
  </si>
  <si>
    <t>E0065553</t>
  </si>
  <si>
    <t>MUNRO AMY J</t>
  </si>
  <si>
    <t>MUNRO AMY</t>
  </si>
  <si>
    <t>MUNRO AMY JEANENE RPA</t>
  </si>
  <si>
    <t>4893 TRANSIT RD</t>
  </si>
  <si>
    <t>KRAMER, BREE, DO</t>
  </si>
  <si>
    <t>E0287336</t>
  </si>
  <si>
    <t>KRAMER BREE</t>
  </si>
  <si>
    <t>KRAMER , BREE, MD</t>
  </si>
  <si>
    <t>(915) 545-6720</t>
  </si>
  <si>
    <t>BKRAMER@UPA.CHOB.EDU</t>
  </si>
  <si>
    <t>KRAMER BREE C DO</t>
  </si>
  <si>
    <t>BARTH, MATTHEW, MD</t>
  </si>
  <si>
    <t>E0320797</t>
  </si>
  <si>
    <t>BARTH MATTHEW JOHN</t>
  </si>
  <si>
    <t>BARTH , MATTHEW, MD</t>
  </si>
  <si>
    <t>MBARTH@UPA.CHOB.EDU</t>
  </si>
  <si>
    <t>BARTH MATTHEW DR.</t>
  </si>
  <si>
    <t>DUNN, MARY, DDS</t>
  </si>
  <si>
    <t>(716) 759-8170</t>
  </si>
  <si>
    <t>MDUNN@KALEIDAHEALTH.ORG</t>
  </si>
  <si>
    <t>DUNN MARY DR.</t>
  </si>
  <si>
    <t>2733 WEHRLE DR STE 300</t>
  </si>
  <si>
    <t>ROSS, MAUREEN, MDPHD</t>
  </si>
  <si>
    <t>E0126561</t>
  </si>
  <si>
    <t>ROSS MAUREEN MD</t>
  </si>
  <si>
    <t>ROSS, MAUREEN, MD</t>
  </si>
  <si>
    <t>MROSS3@KALEIDAHEALTH.ORG</t>
  </si>
  <si>
    <t>ROSS MAUREEN</t>
  </si>
  <si>
    <t>CONVERSO, NICOLE, PAC</t>
  </si>
  <si>
    <t>E0002199</t>
  </si>
  <si>
    <t>CONVERSO NICOLE MARIA RPA</t>
  </si>
  <si>
    <t>CONVERSO, NICOLE, PA</t>
  </si>
  <si>
    <t>NCONVERSO@KALEIDAHEALTH.ORG</t>
  </si>
  <si>
    <t>CONVERSO NICOLE</t>
  </si>
  <si>
    <t>7008 ERIE RD</t>
  </si>
  <si>
    <t>DEMBSKI, JENNIE, MD</t>
  </si>
  <si>
    <t>E0348643</t>
  </si>
  <si>
    <t>DEMBSKI JENNIE LYNN</t>
  </si>
  <si>
    <t>(716) 768-6622</t>
  </si>
  <si>
    <t>JDEMBSKI@KALEIDAHEALTH.ORG</t>
  </si>
  <si>
    <t>DEMBSKI JENNIE DR.</t>
  </si>
  <si>
    <t>ZUCCALA, SCOTT, DO</t>
  </si>
  <si>
    <t>E0148028</t>
  </si>
  <si>
    <t>ZUCCALA SCOTT JEFFREY DO</t>
  </si>
  <si>
    <t>ZUCCALA SCOTT DR.</t>
  </si>
  <si>
    <t>ZUCCALA SCOTT JEFFREY</t>
  </si>
  <si>
    <t>450 CENTRAL AVE</t>
  </si>
  <si>
    <t>MAKDISSI, REGINA, MD</t>
  </si>
  <si>
    <t>E0020938</t>
  </si>
  <si>
    <t>MAKDISSI REGINA MD</t>
  </si>
  <si>
    <t>(716) 898-3152</t>
  </si>
  <si>
    <t>MAKDISSI REGINA</t>
  </si>
  <si>
    <t>DARLING, SCOTT, MD</t>
  </si>
  <si>
    <t>E0021653</t>
  </si>
  <si>
    <t>DARLING SCOTT ROBERT MD</t>
  </si>
  <si>
    <t>BARB BEATON</t>
  </si>
  <si>
    <t>BEATON@BUFFALO.EDU</t>
  </si>
  <si>
    <t>DARLING SCOTT DR.</t>
  </si>
  <si>
    <t>DEPAUL COMMUNTIY SERVICES</t>
  </si>
  <si>
    <t>E0168202</t>
  </si>
  <si>
    <t>DEPAUL MENTAL HLTH SVCS B</t>
  </si>
  <si>
    <t>DEPAUL MENTAL HLTH SVCS A</t>
  </si>
  <si>
    <t>A/7126444 MONROE</t>
  </si>
  <si>
    <t>TAN, ALFONSO, MD</t>
  </si>
  <si>
    <t>E0082757</t>
  </si>
  <si>
    <t>TAN ALFONSO MD</t>
  </si>
  <si>
    <t>(716) 835-1246</t>
  </si>
  <si>
    <t>ATAN@KALEIDAHEALTH.ORG</t>
  </si>
  <si>
    <t>TAN ALFONSO DR.</t>
  </si>
  <si>
    <t>LEONE, ANTHONY, MD</t>
  </si>
  <si>
    <t>E0134294</t>
  </si>
  <si>
    <t>LEONE ANTHONY MICHAEL MD</t>
  </si>
  <si>
    <t>ALEONE@KALEIDAHEALTH.ORG</t>
  </si>
  <si>
    <t>LEONE ANTHONY DR.</t>
  </si>
  <si>
    <t>4 COULTER RD</t>
  </si>
  <si>
    <t>CLIFTON SPRINGS</t>
  </si>
  <si>
    <t>WHEELER, LISA, NP</t>
  </si>
  <si>
    <t>E0026090</t>
  </si>
  <si>
    <t>WHEELER LISA MARIE</t>
  </si>
  <si>
    <t>LISA.WHEELER@FAMILYCHOICENY.COM</t>
  </si>
  <si>
    <t>WHEELER LISA</t>
  </si>
  <si>
    <t>2365 UNION RD</t>
  </si>
  <si>
    <t>SISLEY, AMY, FNP</t>
  </si>
  <si>
    <t>E0009726</t>
  </si>
  <si>
    <t>SISLEY AMY M</t>
  </si>
  <si>
    <t>(716) 447-6694</t>
  </si>
  <si>
    <t>ASISLEY@KALEIDAHEALTH.ORG</t>
  </si>
  <si>
    <t>SISLEY AMY MRS.</t>
  </si>
  <si>
    <t>CASEY, MAUREEN, DDS</t>
  </si>
  <si>
    <t>E0125371</t>
  </si>
  <si>
    <t>CASEY MAUREEN JANE DDS</t>
  </si>
  <si>
    <t>(716) 648-4035</t>
  </si>
  <si>
    <t>MCASEY@KALEIDAHEALTH.ORG</t>
  </si>
  <si>
    <t>CASEY MAUREEN DR.</t>
  </si>
  <si>
    <t>4017 LEGION DR</t>
  </si>
  <si>
    <t>MATTSON, DAVID, MD</t>
  </si>
  <si>
    <t>E0287058</t>
  </si>
  <si>
    <t>MATTSON DAVID MICHAEL KAWANANAKOA</t>
  </si>
  <si>
    <t>DMATTSON@KALEIDAHEALTH.ORG</t>
  </si>
  <si>
    <t>MATTSON DAVID</t>
  </si>
  <si>
    <t>COOPER, CLAIRICE, MDASOF</t>
  </si>
  <si>
    <t>E0383300</t>
  </si>
  <si>
    <t>COOPER CLAIRICE</t>
  </si>
  <si>
    <t>COOPER, CLAIRICE, MD</t>
  </si>
  <si>
    <t>CCOOPER@KALEIDAHEALTH.ORG</t>
  </si>
  <si>
    <t>COOPER CLAIRICE MRS.</t>
  </si>
  <si>
    <t>COOPER CLAIRICE ANN</t>
  </si>
  <si>
    <t>SHERLOCK, MAUREEN, ANP</t>
  </si>
  <si>
    <t>E0065522</t>
  </si>
  <si>
    <t>SHERLOCK MAUREEN A</t>
  </si>
  <si>
    <t>MSHERLOCK@KALEIDAHEALTH.ORG</t>
  </si>
  <si>
    <t>SHERLOCK MAUREEN</t>
  </si>
  <si>
    <t>WILLIAMS, EMILY, MD</t>
  </si>
  <si>
    <t>E0022669</t>
  </si>
  <si>
    <t>WILLIAMS EMILY FLEMING MD</t>
  </si>
  <si>
    <t>EWILLIAMS3@KALEIDAHEALTH.ORG</t>
  </si>
  <si>
    <t>WILLIAMS EMILY</t>
  </si>
  <si>
    <t>WILLIAMS EMILY MD</t>
  </si>
  <si>
    <t>PENQUE, MICHELLE, MD</t>
  </si>
  <si>
    <t>E0122362</t>
  </si>
  <si>
    <t>PENQUE MICHELLE</t>
  </si>
  <si>
    <t>PENQUE , MICHELLE  , MD</t>
  </si>
  <si>
    <t>MPENQUE@UPA.CHOB.EDU</t>
  </si>
  <si>
    <t>PENQUE MICHELLE DR.</t>
  </si>
  <si>
    <t>KINGSLEY, KHRISTEENA, CNM</t>
  </si>
  <si>
    <t>E0025424</t>
  </si>
  <si>
    <t>KINGSLEY KHRISTEENA CNM</t>
  </si>
  <si>
    <t>(716) 474-2816</t>
  </si>
  <si>
    <t>KKINGSLEY@KALEIDAHEALTH.ORG</t>
  </si>
  <si>
    <t>KINGSLEY KHRISTEENA MS.</t>
  </si>
  <si>
    <t>AIAD, SHAHIR, MD</t>
  </si>
  <si>
    <t>E0091803</t>
  </si>
  <si>
    <t>AIAD SHAHIR ELFRED MD</t>
  </si>
  <si>
    <t>SAIAD@KALEIDAHEALTH.ORG</t>
  </si>
  <si>
    <t>AIAD SHAHIR</t>
  </si>
  <si>
    <t>INTER COMM HOSP</t>
  </si>
  <si>
    <t>HALEY, TIMOTHY, MD</t>
  </si>
  <si>
    <t>E0089624</t>
  </si>
  <si>
    <t>HALEY TIMOTHY DANAHY MD</t>
  </si>
  <si>
    <t>THALEY@KALEIDAHEALTH.ORG</t>
  </si>
  <si>
    <t>HALEY TIMOTHY</t>
  </si>
  <si>
    <t>KAMIL ALSPAN MD</t>
  </si>
  <si>
    <t>LEBERMAN, MELANIE, RPAC</t>
  </si>
  <si>
    <t>E0035122</t>
  </si>
  <si>
    <t>BINK MELANIE ALISSA</t>
  </si>
  <si>
    <t>LEBERMAN MELANIE MRS.</t>
  </si>
  <si>
    <t>LEBERMAN MELANIE ALISSA</t>
  </si>
  <si>
    <t>5879 SNYDER DR</t>
  </si>
  <si>
    <t>KELEHER, MIKE, RNCNNP</t>
  </si>
  <si>
    <t>E0097762</t>
  </si>
  <si>
    <t>KELEHER MICHAEL THOMAS</t>
  </si>
  <si>
    <t>KELEHER, MICHAEL, NNP</t>
  </si>
  <si>
    <t>MKELEHER@KALEIDAHEALTH.ORG</t>
  </si>
  <si>
    <t>KELEHER MIKE</t>
  </si>
  <si>
    <t>FACER, JEFFERY, MD</t>
  </si>
  <si>
    <t>E0043787</t>
  </si>
  <si>
    <t>FACER JEFFERY TODD MD</t>
  </si>
  <si>
    <t>JFACER@KALEIDAHEALTH.ORG</t>
  </si>
  <si>
    <t>FACER JEFFERY</t>
  </si>
  <si>
    <t>12 CENTER ST STE 1 &amp; 4</t>
  </si>
  <si>
    <t>WILSON, GENESTA,</t>
  </si>
  <si>
    <t>WILSON, RALPH, SENIOR COUNSELOR - HV</t>
  </si>
  <si>
    <t>WILSON GENESTA</t>
  </si>
  <si>
    <t>CARLSON, RONI, CRNA</t>
  </si>
  <si>
    <t>RCARLSON3@KALEIDAHEALTH.ORG</t>
  </si>
  <si>
    <t>CARLSON RONI</t>
  </si>
  <si>
    <t>SCAROZZA, JENNIFER, MD</t>
  </si>
  <si>
    <t>E0015636</t>
  </si>
  <si>
    <t>SCAROZZA JENNIFER R</t>
  </si>
  <si>
    <t>SCAROZZA,  JENNIFER, MD</t>
  </si>
  <si>
    <t>JSCAROZZA@CATSWNY.ORG</t>
  </si>
  <si>
    <t>SCAROZZA JENNIFER DR.</t>
  </si>
  <si>
    <t>301 CAYUGA RD STE 201</t>
  </si>
  <si>
    <t>DAMIANI, AMY, MD</t>
  </si>
  <si>
    <t>E0158238</t>
  </si>
  <si>
    <t>DAMIANI AMY L MD</t>
  </si>
  <si>
    <t>DAMIANI AMY DR.</t>
  </si>
  <si>
    <t>(716) 363-6960</t>
  </si>
  <si>
    <t>FARRY, JAMES, MD</t>
  </si>
  <si>
    <t>E0310555</t>
  </si>
  <si>
    <t>FARRY JAMES</t>
  </si>
  <si>
    <t>JFARRY@KALEIDAHEALTH.ORG</t>
  </si>
  <si>
    <t>FARRY JAMES DR.</t>
  </si>
  <si>
    <t>FARRY JAMES KEVIN</t>
  </si>
  <si>
    <t>MCKENNA, KELLY, NP</t>
  </si>
  <si>
    <t>E0005401</t>
  </si>
  <si>
    <t>KELLY MANN ANP</t>
  </si>
  <si>
    <t>MCKENNA, KELLY, ANP</t>
  </si>
  <si>
    <t>KMCKENNA@KALEIDAHEALTH.ORG</t>
  </si>
  <si>
    <t>MCKENNA KELLY MRS.</t>
  </si>
  <si>
    <t>MCKENNA KELLY ANNE</t>
  </si>
  <si>
    <t>CRANSTON, THOMAS, MSED</t>
  </si>
  <si>
    <t>CRANSTON, THOMAS, MHC (MS)</t>
  </si>
  <si>
    <t>TCRANSTON@CATSWNY.ORG</t>
  </si>
  <si>
    <t>CRANSTON THOMAS</t>
  </si>
  <si>
    <t>DOMZALSKI, CARYN,</t>
  </si>
  <si>
    <t>WITHEY, CARYN, LCSW</t>
  </si>
  <si>
    <t>CWITHEY@CATSWNY.ORG</t>
  </si>
  <si>
    <t>DOMZALSKI CARYN</t>
  </si>
  <si>
    <t>301 CAYUGA RD</t>
  </si>
  <si>
    <t>FABIANO, ANDREW, MD</t>
  </si>
  <si>
    <t>E0308619</t>
  </si>
  <si>
    <t>FABIANO ANDREW JOSEPH</t>
  </si>
  <si>
    <t>AFABIANO@KALEIDAHEALTH.ORG</t>
  </si>
  <si>
    <t>FABIANO ANDREW</t>
  </si>
  <si>
    <t>BATTAGLIA, EMILY, MD</t>
  </si>
  <si>
    <t>E0356218</t>
  </si>
  <si>
    <t>BATTAGLIA EMILY CHRISTINE</t>
  </si>
  <si>
    <t>(716) 859-7280</t>
  </si>
  <si>
    <t>EBATTAGLIA@KALEIDAHEALTH.ORG</t>
  </si>
  <si>
    <t>BATTAGLIA EMILY DR.</t>
  </si>
  <si>
    <t>LINTON, MELISSA,</t>
  </si>
  <si>
    <t>LINTON, MELISSA S, COUNSELOR III - HV</t>
  </si>
  <si>
    <t>LINTON MELISSA</t>
  </si>
  <si>
    <t>LEISER, ELIZABETH, NP</t>
  </si>
  <si>
    <t>E0337599</t>
  </si>
  <si>
    <t>LEISER ELIZABETH A</t>
  </si>
  <si>
    <t>LEISER, ELIZABETH, ANP</t>
  </si>
  <si>
    <t>(716) 876-0790</t>
  </si>
  <si>
    <t>ELEISER@KALEIDAHEALTH.ORG</t>
  </si>
  <si>
    <t>LEISER ELIZABETH</t>
  </si>
  <si>
    <t>TURNER, CARL,</t>
  </si>
  <si>
    <t>TURNER, CARL, LMSW</t>
  </si>
  <si>
    <t>TURNER CARL</t>
  </si>
  <si>
    <t>5775 MAELOU DRIVE OPERATING COMPANY LLC</t>
  </si>
  <si>
    <t>E0396500</t>
  </si>
  <si>
    <t>5775 MAELOU DRIVE OPERATING COMPANY</t>
  </si>
  <si>
    <t>DEBORAH URBANK</t>
  </si>
  <si>
    <t>DURBANK@ELDERWOOD.COM</t>
  </si>
  <si>
    <t>MCPHERSON, JACOB, PTDPTN</t>
  </si>
  <si>
    <t>E0321919</t>
  </si>
  <si>
    <t>MCPHERSON JACOB</t>
  </si>
  <si>
    <t>MCPHERSON, JACOB, PT</t>
  </si>
  <si>
    <t>(716) 690-2051</t>
  </si>
  <si>
    <t>JMCPHERSON@KALEIDAHEALTH.ORG</t>
  </si>
  <si>
    <t>VERA, MOLLY,</t>
  </si>
  <si>
    <t>VERA MOLLY MISS</t>
  </si>
  <si>
    <t>MAJEWSKI, KATIE,</t>
  </si>
  <si>
    <t>HARLOCK,  KATIE , SR COUNSELOR LICENSED</t>
  </si>
  <si>
    <t>MAJEWSKI KATIE</t>
  </si>
  <si>
    <t>BURKE, MEGAN, NP</t>
  </si>
  <si>
    <t>E0354683</t>
  </si>
  <si>
    <t>BURKE MEGAN ELIZABETH</t>
  </si>
  <si>
    <t>BURKE, MEGAN, FNP</t>
  </si>
  <si>
    <t>MBURKE3@KALEIDAHEALTH.ORG</t>
  </si>
  <si>
    <t>BURKE MEGAN</t>
  </si>
  <si>
    <t>FARRIS, COLLEEN,</t>
  </si>
  <si>
    <t>FARRIS, COLLEEN, MHC-P</t>
  </si>
  <si>
    <t>FARRISC@SHSWNY.ORG</t>
  </si>
  <si>
    <t>FARRIS COLLEEN</t>
  </si>
  <si>
    <t>1526 WALDEN AVE STE 900</t>
  </si>
  <si>
    <t>BETZOLD, SAMANTHA,</t>
  </si>
  <si>
    <t>BETZOLD, SAMANTHA, LMSW</t>
  </si>
  <si>
    <t>BETZOLDS@SHSWNY.ORG</t>
  </si>
  <si>
    <t>BETZOLD SAMANTHA</t>
  </si>
  <si>
    <t>SCHULTZ, HEATHER, CRNA</t>
  </si>
  <si>
    <t>HSCHULTZ@KALEIDAHEALTH.ORG</t>
  </si>
  <si>
    <t>RIZZO HEATHER</t>
  </si>
  <si>
    <t>ERK, MEHMET, MD</t>
  </si>
  <si>
    <t>E0186467</t>
  </si>
  <si>
    <t>ERK MEHMET MD</t>
  </si>
  <si>
    <t>MERK@KALEIDAHEALTH.ORG</t>
  </si>
  <si>
    <t>ERK MEHMET DR.</t>
  </si>
  <si>
    <t>IPPOLITO, CALOGERO, MD</t>
  </si>
  <si>
    <t>E0068521</t>
  </si>
  <si>
    <t>IPPOLITO CALOGERO MARIO MD</t>
  </si>
  <si>
    <t>CIPPOLITO@KALEIDAHEALTH.ORG</t>
  </si>
  <si>
    <t>IPPOLITO CALOGERO DR.</t>
  </si>
  <si>
    <t>IPPOLITO CALOGERO MARIO</t>
  </si>
  <si>
    <t>CHAN-LAM, PATRICK, MD</t>
  </si>
  <si>
    <t>E0139976</t>
  </si>
  <si>
    <t>CHAN-LAM PATRICK D MD</t>
  </si>
  <si>
    <t>PCHANLAM@KALEIDAHEALTH.ORG</t>
  </si>
  <si>
    <t>CHAN-LAM PATRICK</t>
  </si>
  <si>
    <t>GONZALEZ-FERNANDEZ, FEDERICO, MD</t>
  </si>
  <si>
    <t>E0112524</t>
  </si>
  <si>
    <t>GONZALEZ-FERNANDEZ FEDERICO</t>
  </si>
  <si>
    <t>GONZALEZ-FERNANDEZ, FEDERICO, MD PHD</t>
  </si>
  <si>
    <t>(716) 859-2140</t>
  </si>
  <si>
    <t>FGONZALEZ-FERNANDEZ@KALEIDAHEALTH.ORG</t>
  </si>
  <si>
    <t>GEORGE, MARY, MD</t>
  </si>
  <si>
    <t>E0057879</t>
  </si>
  <si>
    <t>GEORGE MARY</t>
  </si>
  <si>
    <t>MGEORGE@KALEIDAHEALTH.ORG</t>
  </si>
  <si>
    <t>LOEFKE, MELINDA, WHNP</t>
  </si>
  <si>
    <t>E0049597</t>
  </si>
  <si>
    <t>LOEFKE MELINDA L</t>
  </si>
  <si>
    <t>M.LOEFKE@NWBCHCC.ORG</t>
  </si>
  <si>
    <t>LOEFKE MELINDA</t>
  </si>
  <si>
    <t>LOEFKE MELINDA LEE</t>
  </si>
  <si>
    <t>Chemung ARC, NYSARC, Inc. and Western Finger Lakes</t>
  </si>
  <si>
    <t>E0014480</t>
  </si>
  <si>
    <t>NYSARC INC CHEMUNG CO CHPTER</t>
  </si>
  <si>
    <t>Michael A. Doherty</t>
  </si>
  <si>
    <t>(607) 734-6151</t>
  </si>
  <si>
    <t>pjo@chemingarc.org</t>
  </si>
  <si>
    <t>NYSARC INC., CHEMUNG COUNTY CHAPTER</t>
  </si>
  <si>
    <t>711 SULLIVAN ST</t>
  </si>
  <si>
    <t>PLANNED PARENTHOOD OF WESTERN NEW YORK INC</t>
  </si>
  <si>
    <t>E0252030</t>
  </si>
  <si>
    <t>PLANNED PARENTHOOD OF NIAG CO</t>
  </si>
  <si>
    <t>COLLEEN SCHIFFHAUER, VP-COO</t>
  </si>
  <si>
    <t>COLLEEN.SCHIFFHAUER@PPCWNY.ORG</t>
  </si>
  <si>
    <t>PLANNED PARENTHOOD OF CENTRAL AND WESTERN NEW YORK, INC</t>
  </si>
  <si>
    <t>PLANNED PARENTHOOD OF C &amp; W NY</t>
  </si>
  <si>
    <t>750 PORTAGE RD</t>
  </si>
  <si>
    <t>CHOUCHANI, ADEL, MD</t>
  </si>
  <si>
    <t>E0223120</t>
  </si>
  <si>
    <t>CHOUCHANI ADEL E           MD</t>
  </si>
  <si>
    <t>ACHOUCHANI@KALEIDAHEALTH.ORG</t>
  </si>
  <si>
    <t>CHOUCHANI ADEL DR.</t>
  </si>
  <si>
    <t>CHOUCHANI ADEL E</t>
  </si>
  <si>
    <t>385 CLEVELAND DR</t>
  </si>
  <si>
    <t>ELMER, THOMAS, MD</t>
  </si>
  <si>
    <t>E0071470</t>
  </si>
  <si>
    <t>ELMER THOMAS R JR MD</t>
  </si>
  <si>
    <t>(716) 864-5479</t>
  </si>
  <si>
    <t>TELMER@KALEIDAHEALTH.ORG</t>
  </si>
  <si>
    <t>ELMER THOMAS DR.</t>
  </si>
  <si>
    <t>ELMER THOMAS ROBERT JR MD</t>
  </si>
  <si>
    <t>2825 NIAGARA FALLS BLVD STE 130</t>
  </si>
  <si>
    <t>WIELBON, EDNA,</t>
  </si>
  <si>
    <t>WIELBON EDNA</t>
  </si>
  <si>
    <t>GUALTIERI, JOSEPH, MD</t>
  </si>
  <si>
    <t>E0283512</t>
  </si>
  <si>
    <t>GUALTIERI JOSEPH</t>
  </si>
  <si>
    <t>(716) 836-8603</t>
  </si>
  <si>
    <t>JGUALTIERI@KALEIDAHEALTH.ORG</t>
  </si>
  <si>
    <t>350 ALBERTA DR</t>
  </si>
  <si>
    <t>PANCHAL, AJAY, MD</t>
  </si>
  <si>
    <t>E0362925</t>
  </si>
  <si>
    <t>AJAY NARHARI PANCHAL</t>
  </si>
  <si>
    <t>(716) 689-6388</t>
  </si>
  <si>
    <t>APANCHAL@KALEIDAHEALTH.ORG</t>
  </si>
  <si>
    <t>PANCHAL AJAY DR.</t>
  </si>
  <si>
    <t>350 ALBERTA DR STE 205</t>
  </si>
  <si>
    <t>GUAY, JENNIFER, CNM</t>
  </si>
  <si>
    <t>E0047673</t>
  </si>
  <si>
    <t>GUAY JENNIFER M  CNW</t>
  </si>
  <si>
    <t>(716) 568-6570</t>
  </si>
  <si>
    <t>JGUAY@KALEIDAHEALTH.ORG</t>
  </si>
  <si>
    <t>GUAY JENNIFER</t>
  </si>
  <si>
    <t>NURSE MIDWIFERY WNY</t>
  </si>
  <si>
    <t>SMITH, KELLY, PNP</t>
  </si>
  <si>
    <t>E0004019</t>
  </si>
  <si>
    <t>SMITH KELLY ANN</t>
  </si>
  <si>
    <t>(716) 884-4665</t>
  </si>
  <si>
    <t>KSMITH3@KALEIDAHEALTH.ORG</t>
  </si>
  <si>
    <t>SMITH KELLY</t>
  </si>
  <si>
    <t>217 LINWOOD AVE</t>
  </si>
  <si>
    <t>CERVI, JENNIFER,</t>
  </si>
  <si>
    <t>E0358083</t>
  </si>
  <si>
    <t>CERVI JENNIFER MARIE</t>
  </si>
  <si>
    <t>CERVI,  EMILY, SR COUNSELOR LICENSED</t>
  </si>
  <si>
    <t>CERVI JENNIFER MRS.</t>
  </si>
  <si>
    <t>2563 UNION RD STE 800</t>
  </si>
  <si>
    <t>GRIMMER, MICHELE,</t>
  </si>
  <si>
    <t>GRIMMER, MICHELE, FNP</t>
  </si>
  <si>
    <t>(716) 510-4071</t>
  </si>
  <si>
    <t>MGRIMMER@KALEIDAHEALTH.ORG</t>
  </si>
  <si>
    <t>GRIMMER MICHELE</t>
  </si>
  <si>
    <t>GORSKI, MEGAN,</t>
  </si>
  <si>
    <t>GORSKI,  MEGAN, SR COUNSELOR LICENSED</t>
  </si>
  <si>
    <t>GORSKI MEGAN</t>
  </si>
  <si>
    <t>ERIE COUNTY DEPT. OF HEALTH</t>
  </si>
  <si>
    <t>DEBORAH A. GOLDMAN, ASSISTANT COMMISSIONER</t>
  </si>
  <si>
    <t>(716) 523-3318</t>
  </si>
  <si>
    <t>GOLDMAND@ERIE.GOV</t>
  </si>
  <si>
    <t>95 FRANKLIN ST, ROOM 911</t>
  </si>
  <si>
    <t>1818 COMO PARK BOULEVARD OPERATING COMPANY LLC</t>
  </si>
  <si>
    <t>E0372245</t>
  </si>
  <si>
    <t>1818 COMO PARK BLVD OPERATING</t>
  </si>
  <si>
    <t>DENISE BOTHWELL</t>
  </si>
  <si>
    <t>DBOTHWELL@ELDERWOOD.COM</t>
  </si>
  <si>
    <t>1818 COMO PARK BLVD</t>
  </si>
  <si>
    <t>HAMMOND, JACQUELINE,</t>
  </si>
  <si>
    <t>HAMMOND, JACQUELINE, COUNSELOR III - HV</t>
  </si>
  <si>
    <t>HAMMOND JACQUELINE</t>
  </si>
  <si>
    <t>WEED, MARGARET, CNM</t>
  </si>
  <si>
    <t>E0034968</t>
  </si>
  <si>
    <t>WEED MARGARET LEE</t>
  </si>
  <si>
    <t>WEED, MARGARET, WNP</t>
  </si>
  <si>
    <t>(716) 537-2029</t>
  </si>
  <si>
    <t>MWEED@KALEIDAHEALTH.ORG</t>
  </si>
  <si>
    <t>WEED MARGARET MS.</t>
  </si>
  <si>
    <t>VEROSTKO-SLAZAK, SHERRY ANN,</t>
  </si>
  <si>
    <t>E0022636</t>
  </si>
  <si>
    <t>VEROSTKO-SLAZAK SHERRY</t>
  </si>
  <si>
    <t>VEROSTKO-SLAZAK, SHERRY, ANP</t>
  </si>
  <si>
    <t>SVEROSTKOSLAZAK@KALEIDAHEALTH.ORG</t>
  </si>
  <si>
    <t>VEROSTKO-SLAZAK SHERRY ANN MRS.</t>
  </si>
  <si>
    <t>1503 MILITARY RD</t>
  </si>
  <si>
    <t>SWITZER, DONALD, MD</t>
  </si>
  <si>
    <t>E0196215</t>
  </si>
  <si>
    <t>SWITZER DONALD F           MD</t>
  </si>
  <si>
    <t>DSWITZER@KALEIDAHEALTH.ORG</t>
  </si>
  <si>
    <t>SWITZER DONALD DR.</t>
  </si>
  <si>
    <t>MILLARD FILLMORE H</t>
  </si>
  <si>
    <t>OUELLETTE, WENDY, CRNA</t>
  </si>
  <si>
    <t>WOUELLETTE@KALEIDAHEALTH.ORG</t>
  </si>
  <si>
    <t>OUELLETTE WENDY</t>
  </si>
  <si>
    <t>DAVIS, THOMAS, MD</t>
  </si>
  <si>
    <t>E0003751</t>
  </si>
  <si>
    <t>DAVIS THOMAS</t>
  </si>
  <si>
    <t>TDAVIS@KALEIDAHEALTH.ORG</t>
  </si>
  <si>
    <t>DAVIS THOMAS DR.</t>
  </si>
  <si>
    <t>2233 STATE ROUTE 86</t>
  </si>
  <si>
    <t>SARANAC LAKE</t>
  </si>
  <si>
    <t>BOEHMKE, FRED, MD</t>
  </si>
  <si>
    <t>E0232798</t>
  </si>
  <si>
    <t>BOEHMKE FRED               MD</t>
  </si>
  <si>
    <t>BOEHMKE, FREDERICK, MD</t>
  </si>
  <si>
    <t>(716) 626-6626</t>
  </si>
  <si>
    <t>FBOEHMKE@KALEIDAHEALTH.ORG</t>
  </si>
  <si>
    <t>BOEHMKE FRED DR.</t>
  </si>
  <si>
    <t>SHERRIS, DAVID, MD</t>
  </si>
  <si>
    <t>E0053999</t>
  </si>
  <si>
    <t>SHERRIS DAVID ALLEN</t>
  </si>
  <si>
    <t>(716) 884-5102</t>
  </si>
  <si>
    <t>DSHERRIS@KALEIDAHEALTH.ORG</t>
  </si>
  <si>
    <t>SHERRIS DAVID</t>
  </si>
  <si>
    <t>E0263580</t>
  </si>
  <si>
    <t>CUBA MEMORIAL HOS SNF     INC</t>
  </si>
  <si>
    <t>CUBA MEMORIAL HOSPITAL INC</t>
  </si>
  <si>
    <t>PIETRANTONI, CELESTINO, DO</t>
  </si>
  <si>
    <t>E0044062</t>
  </si>
  <si>
    <t>PIETRANTONI CELESTINO MD</t>
  </si>
  <si>
    <t>CPIETRANTONI@KALEIDAHEALTH.ORG</t>
  </si>
  <si>
    <t>PIETRANTONI CELESTINO</t>
  </si>
  <si>
    <t>GRAFF, JONATHAN, MD</t>
  </si>
  <si>
    <t>E0162497</t>
  </si>
  <si>
    <t>GRAFF JONATHAN AARON  MD</t>
  </si>
  <si>
    <t>JGRAFF2@KALEIDAHEALTH.ORG</t>
  </si>
  <si>
    <t>GRAFF JONATHAN</t>
  </si>
  <si>
    <t>CTR FOR PLASTIC SURG</t>
  </si>
  <si>
    <t>OLEAN MEDICAL GROUP PARTNERSHIP</t>
  </si>
  <si>
    <t>E0021629</t>
  </si>
  <si>
    <t>OLEAN MEDICAL GROUP</t>
  </si>
  <si>
    <t>DANIEL STRAUCH</t>
  </si>
  <si>
    <t>HUEFTLE, MARK, MD</t>
  </si>
  <si>
    <t>E0315001</t>
  </si>
  <si>
    <t>HUEFTLE MARK</t>
  </si>
  <si>
    <t>MHUEFTLE@KALEIDAHEALTH.ORG</t>
  </si>
  <si>
    <t>HUEFTLE MARK DR.</t>
  </si>
  <si>
    <t>BEECHER, MICHAEL, MD</t>
  </si>
  <si>
    <t>E0065404</t>
  </si>
  <si>
    <t>BEECHER MICHAEL STEPHEN MD</t>
  </si>
  <si>
    <t>MBEECHER@KALEIDAHEALTH.ORG</t>
  </si>
  <si>
    <t>BEECHER MICHAEL DR.</t>
  </si>
  <si>
    <t>RAABE, JOHN, MD</t>
  </si>
  <si>
    <t>E0291030</t>
  </si>
  <si>
    <t>JOHN R RAABE</t>
  </si>
  <si>
    <t>RAABE JOHN DR.</t>
  </si>
  <si>
    <t>RAABE JOHN ROBERT MD</t>
  </si>
  <si>
    <t>E0263031</t>
  </si>
  <si>
    <t>All Other:: Clinic:: Hospital:: Mental Health:: Pharmacy:: Substance Abuse</t>
  </si>
  <si>
    <t>BUFFALO GENERAL MEDICAL CENTER</t>
  </si>
  <si>
    <t>KOREISHI, FARUK, MD</t>
  </si>
  <si>
    <t>E0238093</t>
  </si>
  <si>
    <t>KOREISHI FARUK M</t>
  </si>
  <si>
    <t>FKOREISHI@KALEIDAHEALTH.ORG</t>
  </si>
  <si>
    <t>KOREISHI FARUK DR.</t>
  </si>
  <si>
    <t>GIBB, MARGARET,</t>
  </si>
  <si>
    <t>GIBB, MARGARET, LMHC</t>
  </si>
  <si>
    <t>MGIBB@CFSBNY.ORG</t>
  </si>
  <si>
    <t>GIBB MARGARET</t>
  </si>
  <si>
    <t>GIACOBBE, ANDREW, MD</t>
  </si>
  <si>
    <t>E0155157</t>
  </si>
  <si>
    <t>GIACOBBE ANDREW P MD</t>
  </si>
  <si>
    <t>(716) 634-5555</t>
  </si>
  <si>
    <t>AGIACOBBE@KALEIDAHEALTH.ORG</t>
  </si>
  <si>
    <t>GIACOBBE ANDREW</t>
  </si>
  <si>
    <t>KENWOOD MEDICAL BLDG</t>
  </si>
  <si>
    <t>LIU, WEIGUO, MDPHD</t>
  </si>
  <si>
    <t>E0350526</t>
  </si>
  <si>
    <t>LIU WEIGUO</t>
  </si>
  <si>
    <t>LIU, WEIGUO, MD</t>
  </si>
  <si>
    <t>WLIU@KALEIDAHEALTH.ORG</t>
  </si>
  <si>
    <t>LIU WEIGUO DR.</t>
  </si>
  <si>
    <t>SKOMPINSKI, EVA, NP</t>
  </si>
  <si>
    <t>E0321292</t>
  </si>
  <si>
    <t>SKOMPINSKI EVA T</t>
  </si>
  <si>
    <t>SKOMPINSKI, EVA, ANP</t>
  </si>
  <si>
    <t>(716) 633-3459</t>
  </si>
  <si>
    <t>ESKOMPINSKI@KALEIDAHEALTH.ORG</t>
  </si>
  <si>
    <t>SKOMPINSKI EVA MRS.</t>
  </si>
  <si>
    <t>ELBERG, ZHANNA, MD</t>
  </si>
  <si>
    <t>E0357846</t>
  </si>
  <si>
    <t>ELBERG ZHANNA</t>
  </si>
  <si>
    <t>ZELBERG@KALEIDAHEALTH.ORG</t>
  </si>
  <si>
    <t>ELBERG ZHANNA DR.</t>
  </si>
  <si>
    <t>ROMANO, ROBERT, RNFA</t>
  </si>
  <si>
    <t>RROMANO@KALEIDAHEALTH.ORG</t>
  </si>
  <si>
    <t>ROMANO ROBERT</t>
  </si>
  <si>
    <t>ROJAS, LUISA, MD</t>
  </si>
  <si>
    <t>E0327594</t>
  </si>
  <si>
    <t>ROJAS LUISA F MD</t>
  </si>
  <si>
    <t>ROJAS , LUISA, MD</t>
  </si>
  <si>
    <t>LROJAS@KALEIDAHEALTH.ORG</t>
  </si>
  <si>
    <t>ROJAS LUISA</t>
  </si>
  <si>
    <t>GOTHGEN, NICOLE, MD</t>
  </si>
  <si>
    <t>E0296934</t>
  </si>
  <si>
    <t>GOTHGEN NICOLE MARIE MD</t>
  </si>
  <si>
    <t>NGOTHGEN@KALEIDAHEALTH.ORG</t>
  </si>
  <si>
    <t>GOTHGEN NICOLE DR.</t>
  </si>
  <si>
    <t>RACHALA, SRIDHAR, MBBS</t>
  </si>
  <si>
    <t>E0308983</t>
  </si>
  <si>
    <t>RACHALA SRIDHAR REDDY</t>
  </si>
  <si>
    <t>(715) 859-1256</t>
  </si>
  <si>
    <t>SRACHALA@KALEIDAHEALTH.ORG</t>
  </si>
  <si>
    <t>RACHALA SRIDHAR</t>
  </si>
  <si>
    <t>MUSIAL, WANDA, PNPCDE</t>
  </si>
  <si>
    <t>E0291941</t>
  </si>
  <si>
    <t>MUSIAL WANDA MARIE</t>
  </si>
  <si>
    <t>MUSIAL , WANDA  , NP</t>
  </si>
  <si>
    <t>WMUSIAL@UPA.CHOB.EDU</t>
  </si>
  <si>
    <t>MUSIAL WANDA MS.</t>
  </si>
  <si>
    <t>MAMON, JENA, RPAC</t>
  </si>
  <si>
    <t>E0340455</t>
  </si>
  <si>
    <t>MAMON JENA E</t>
  </si>
  <si>
    <t>MAMON, JENA, PA</t>
  </si>
  <si>
    <t>JMAMON3@KALEIDAHEALTH.ORG</t>
  </si>
  <si>
    <t>MORCELLE JENA MRS.</t>
  </si>
  <si>
    <t>New Vision Services, Inc.</t>
  </si>
  <si>
    <t>E0033115</t>
  </si>
  <si>
    <t>NEW VISION SERVICES INC TBI</t>
  </si>
  <si>
    <t>Jessica Holmes</t>
  </si>
  <si>
    <t>(716) 661-1099</t>
  </si>
  <si>
    <t>jessica.holmes@resourcecenter.org</t>
  </si>
  <si>
    <t>BAKER VICTORY SERVICES SPV</t>
  </si>
  <si>
    <t>E0031381</t>
  </si>
  <si>
    <t>BAKER VICTORY SERVICES ND 3</t>
  </si>
  <si>
    <t>(716) 828-9500</t>
  </si>
  <si>
    <t>SUPERVISED</t>
  </si>
  <si>
    <t>RIVERSHORE INC SPT</t>
  </si>
  <si>
    <t>E0031336</t>
  </si>
  <si>
    <t>RIVERSHORE INC ND 5</t>
  </si>
  <si>
    <t>SUPPORTIVE</t>
  </si>
  <si>
    <t>ASPIRE DF WNY INC DAY</t>
  </si>
  <si>
    <t>E0030934</t>
  </si>
  <si>
    <t>ASPIRE OF WNY INC DAY</t>
  </si>
  <si>
    <t>GROUP DAY HAB</t>
  </si>
  <si>
    <t>CANTALICIAN CTR LEARN DAY</t>
  </si>
  <si>
    <t>E0030927</t>
  </si>
  <si>
    <t>(716) 901-8700</t>
  </si>
  <si>
    <t>CLADDAGH COMMISSION INC DAY</t>
  </si>
  <si>
    <t>E0030876</t>
  </si>
  <si>
    <t>(716) 947-5857</t>
  </si>
  <si>
    <t>SUBURBAN ADULT SERVICES DAY</t>
  </si>
  <si>
    <t>E0030817</t>
  </si>
  <si>
    <t>ERIE CO ARC HERITAGE CT DAY</t>
  </si>
  <si>
    <t>E0030267</t>
  </si>
  <si>
    <t>NYS ARC INC CATTARAUG DAY</t>
  </si>
  <si>
    <t>E0030040</t>
  </si>
  <si>
    <t>PEOPLE SERVICE TO THE DAY</t>
  </si>
  <si>
    <t>E0029966</t>
  </si>
  <si>
    <t>CATTARAUGUS CO AGING DAY</t>
  </si>
  <si>
    <t>E0029723</t>
  </si>
  <si>
    <t>(716) 373-8052</t>
  </si>
  <si>
    <t>NIAGARA COUNTY ARC DAY</t>
  </si>
  <si>
    <t>E0029701</t>
  </si>
  <si>
    <t>NYSARC NIAGARA CO HCBS 7</t>
  </si>
  <si>
    <t>E0029023</t>
  </si>
  <si>
    <t>VVD2107</t>
  </si>
  <si>
    <t>OMRDD/DE PAUL DEVELOP SVCS</t>
  </si>
  <si>
    <t>E0027675</t>
  </si>
  <si>
    <t>PEOPLE IN FINGER LAKES</t>
  </si>
  <si>
    <t>PEOPLE INC FINGER LAKES</t>
  </si>
  <si>
    <t>1219 N FOREST ROAD</t>
  </si>
  <si>
    <t>WILLIAMSBURG</t>
  </si>
  <si>
    <t>DEPAUL DEV SERVICES DAY</t>
  </si>
  <si>
    <t>E0026726</t>
  </si>
  <si>
    <t>PEOPLE INC FINGER LAKES DAY</t>
  </si>
  <si>
    <t>DEPAUL DEV SERVICES SPV</t>
  </si>
  <si>
    <t>E0026717</t>
  </si>
  <si>
    <t>PEOPLE INC FINGER LAKES SPV</t>
  </si>
  <si>
    <t>SUPERVISED SPV</t>
  </si>
  <si>
    <t>PEOPLE INC HCBS 12</t>
  </si>
  <si>
    <t>E0023222</t>
  </si>
  <si>
    <t>1219 N FOREST RD # VVF2287</t>
  </si>
  <si>
    <t>BOSCARINO, MARTIN, MD</t>
  </si>
  <si>
    <t>E0337637</t>
  </si>
  <si>
    <t>BOSCARINO MARTIN ANTHONY</t>
  </si>
  <si>
    <t>MBOSCARINO@KALEIDAHEALTH.ORG</t>
  </si>
  <si>
    <t>BOSCARINO MARTIN DR.</t>
  </si>
  <si>
    <t>6480 MAIN ST STE 1</t>
  </si>
  <si>
    <t>RULE, JOHN, MD</t>
  </si>
  <si>
    <t>E0345736</t>
  </si>
  <si>
    <t>RULE JOHN</t>
  </si>
  <si>
    <t>JRULE@KALEIDAHEALTH.ORG</t>
  </si>
  <si>
    <t>RULE JOHN DR.</t>
  </si>
  <si>
    <t>RAIMONDI, GUY, DDS</t>
  </si>
  <si>
    <t>E0239596</t>
  </si>
  <si>
    <t>RAIMONDI GUY CHARLES      DDS</t>
  </si>
  <si>
    <t>(716) 754-0052</t>
  </si>
  <si>
    <t>RAIMONDI GUY</t>
  </si>
  <si>
    <t>RAIMONDI GUY CHARLES</t>
  </si>
  <si>
    <t>LILLIE, DAVID, MD</t>
  </si>
  <si>
    <t>E0238965</t>
  </si>
  <si>
    <t>LILLIE DAVID B             MD</t>
  </si>
  <si>
    <t>DLILLIE@KALEIDAHEALTH.ORG</t>
  </si>
  <si>
    <t>LILLIE DAVID DR.</t>
  </si>
  <si>
    <t>LILLIE DAVID B</t>
  </si>
  <si>
    <t>DYSTER, JOHN, MD</t>
  </si>
  <si>
    <t>E0197524</t>
  </si>
  <si>
    <t>DYSTER JOHN G              MD</t>
  </si>
  <si>
    <t>DYSTER JOHN DR.</t>
  </si>
  <si>
    <t>STE 700</t>
  </si>
  <si>
    <t xml:space="preserve">Lamothe, Henry </t>
  </si>
  <si>
    <t>E0019062</t>
  </si>
  <si>
    <t>LAMOTHE P HENRI MD</t>
  </si>
  <si>
    <t>LAMOTHE HENRI</t>
  </si>
  <si>
    <t>SNYDER, GLENN, MD</t>
  </si>
  <si>
    <t>E0125302</t>
  </si>
  <si>
    <t>SNYDER GLENN JUSTIN MD</t>
  </si>
  <si>
    <t>SNYDER, GLENN, DO</t>
  </si>
  <si>
    <t>GSNYDER2@KALEIDAHEALTH.ORG</t>
  </si>
  <si>
    <t>SNYDER GLENN</t>
  </si>
  <si>
    <t>WAGNER, MARY, CRNA</t>
  </si>
  <si>
    <t>MWAGNER@KALEIDAHEALTH.ORG</t>
  </si>
  <si>
    <t>WAGNER MARY</t>
  </si>
  <si>
    <t>OEHMAN, DONNA, MD</t>
  </si>
  <si>
    <t>E0182290</t>
  </si>
  <si>
    <t>OEHMAN DONNA M MD</t>
  </si>
  <si>
    <t>OEHMAN DONNA DR.</t>
  </si>
  <si>
    <t>OEHMAN DONNA MARIE</t>
  </si>
  <si>
    <t>KEYSTONE MEDICAL SERVICES OF NEW YORK, PC</t>
  </si>
  <si>
    <t>E0041801</t>
  </si>
  <si>
    <t>KEYSTONE MEDICAL SVCS OF NEW</t>
  </si>
  <si>
    <t>KEYSTONE MEDICAL SERVICES OF NEW YO</t>
  </si>
  <si>
    <t>BERTRAND CHAFFEE HSP</t>
  </si>
  <si>
    <t>MAZGAJ, JESSICA, LCSW</t>
  </si>
  <si>
    <t>E0358210</t>
  </si>
  <si>
    <t>MAZGAJ JESSICA RUTH</t>
  </si>
  <si>
    <t>MAZGAJ,  JESSICA, SUPERVISING SENIOR COUNSELOR</t>
  </si>
  <si>
    <t>(716) 462-9789</t>
  </si>
  <si>
    <t>MAZGAJ JESSICA</t>
  </si>
  <si>
    <t>MOBERG, AMOS, MD</t>
  </si>
  <si>
    <t>E0306683</t>
  </si>
  <si>
    <t>MOBERG AMOS MICHAEL</t>
  </si>
  <si>
    <t>AMOBERG@KALEIDAHEALTH.ORG</t>
  </si>
  <si>
    <t>MOBERG AMOS DR.</t>
  </si>
  <si>
    <t>6044 MAIN ST STE 100</t>
  </si>
  <si>
    <t>YOWPA, JOHN, MD</t>
  </si>
  <si>
    <t>E0284595</t>
  </si>
  <si>
    <t>YOWPA JOHN MD</t>
  </si>
  <si>
    <t>(716) 667-0958</t>
  </si>
  <si>
    <t>JYOWPA@KALEIDAHEALTH.ORG</t>
  </si>
  <si>
    <t>YOWPA JOHN DR.</t>
  </si>
  <si>
    <t>GAGLIARDO, ANTHONY, PA</t>
  </si>
  <si>
    <t>E0285719</t>
  </si>
  <si>
    <t>GAGLIARDO ANTHONY JOHN</t>
  </si>
  <si>
    <t>AGAGLIARDO@KALEIDAHEALTH.ORG</t>
  </si>
  <si>
    <t>GAGLIARDO ANTHONY</t>
  </si>
  <si>
    <t>550 ORCHARD PARK RD STE A105</t>
  </si>
  <si>
    <t>WILSON, VICTORIA,</t>
  </si>
  <si>
    <t>E0383377</t>
  </si>
  <si>
    <t>WILSON VICTORIA A</t>
  </si>
  <si>
    <t>WILSON, VICTORIA, FNP</t>
  </si>
  <si>
    <t>V.WILSON@NWBCHCC.ORG</t>
  </si>
  <si>
    <t>WILSON VICTORIA</t>
  </si>
  <si>
    <t>300 NIAGARA ST</t>
  </si>
  <si>
    <t>GARRISON, TRACY, CASAC</t>
  </si>
  <si>
    <t>GARRISON,TRACY, CASAC</t>
  </si>
  <si>
    <t>GARRISONT@SHSWNY.ORG</t>
  </si>
  <si>
    <t>GARRISON TRACY</t>
  </si>
  <si>
    <t>LAWLER, NELDA, MD</t>
  </si>
  <si>
    <t>E0145539</t>
  </si>
  <si>
    <t>NELDA SUBIA LAWLER MD</t>
  </si>
  <si>
    <t>LAWLER NELDA</t>
  </si>
  <si>
    <t>UNIV MEDICNE SVCS</t>
  </si>
  <si>
    <t>BROWN, ROBERT, MD</t>
  </si>
  <si>
    <t>E0121115</t>
  </si>
  <si>
    <t>BROWN ROBERT KEVIN MD</t>
  </si>
  <si>
    <t>RBROWN@KALEIDAHEALTH.ORG</t>
  </si>
  <si>
    <t>BROWN ROBERT</t>
  </si>
  <si>
    <t>ARZOLA, LINDA, MD</t>
  </si>
  <si>
    <t>E0026071</t>
  </si>
  <si>
    <t>ARZOLA LINDA</t>
  </si>
  <si>
    <t>LINDA.ARZOLA@OMH.NY.GOV</t>
  </si>
  <si>
    <t>ELSIGAN JULIE</t>
  </si>
  <si>
    <t>E0065951</t>
  </si>
  <si>
    <t>ELSIGAN JULIE ANN RPA</t>
  </si>
  <si>
    <t>UNIVERSITY GYNECOLOGISTS &amp; OBSTETRICIANS,INC.</t>
  </si>
  <si>
    <t>E0125383</t>
  </si>
  <si>
    <t>UNIVERSITY GYN &amp; OB INC</t>
  </si>
  <si>
    <t>VANESSA M. BARNABEI, MD, PHD</t>
  </si>
  <si>
    <t>VMBARNAB@BUFFALO.EDU</t>
  </si>
  <si>
    <t>UNIVERSITY GYNECOLOGISTS &amp;</t>
  </si>
  <si>
    <t>LONDON, PAMELA, MD</t>
  </si>
  <si>
    <t>E0139538</t>
  </si>
  <si>
    <t>LONDON PAMELA VIDA MD</t>
  </si>
  <si>
    <t>PLONDON@KALEIDAHEALTH.ORG</t>
  </si>
  <si>
    <t>LONDON PAMELA DR.</t>
  </si>
  <si>
    <t>ANTFLECK, ALAN, MD</t>
  </si>
  <si>
    <t>E0117937</t>
  </si>
  <si>
    <t>ANTFLECK ALAN M MD</t>
  </si>
  <si>
    <t>(716) 551-1970</t>
  </si>
  <si>
    <t>AANTFLECK@KALEIDAHEALTH.ORG</t>
  </si>
  <si>
    <t>ANTFLECK ALAN DR.</t>
  </si>
  <si>
    <t>ANTFLECK ALAN MARTIN</t>
  </si>
  <si>
    <t>TINNESZ, MICHAEL, MD</t>
  </si>
  <si>
    <t>E0037334</t>
  </si>
  <si>
    <t>TINNESZ MICHAEL D</t>
  </si>
  <si>
    <t>MTINNESZ@KALEIDAHEALTH.ORG</t>
  </si>
  <si>
    <t>TINNESZ MICHAEL DR.</t>
  </si>
  <si>
    <t>TINNESZ MICHAEL DYLAN</t>
  </si>
  <si>
    <t>CATERINA, ANTHONY, MD</t>
  </si>
  <si>
    <t>E0343492</t>
  </si>
  <si>
    <t>CATERINA ANTHONY MICHAEL</t>
  </si>
  <si>
    <t>ACATERINA@KALEIDAHEALTH.ORG</t>
  </si>
  <si>
    <t>CATERINA ANTHONY</t>
  </si>
  <si>
    <t>KOTHARI, ASHOKKUMAR, MD</t>
  </si>
  <si>
    <t>E0216903</t>
  </si>
  <si>
    <t>KOTHARI ASHOKKUMAR J       MD</t>
  </si>
  <si>
    <t>(716) 373-3544</t>
  </si>
  <si>
    <t>KOTHARI ASHOKKUMAR DR.</t>
  </si>
  <si>
    <t>2223 W STATE ST STE 120</t>
  </si>
  <si>
    <t>CHING, MARILOU, MD</t>
  </si>
  <si>
    <t>E0009055</t>
  </si>
  <si>
    <t>CHING MARILOU MD</t>
  </si>
  <si>
    <t>MCHING2@KALEIDAHEALTH.ORG</t>
  </si>
  <si>
    <t>CHING MARILOU</t>
  </si>
  <si>
    <t>3 GATES CIRCLE</t>
  </si>
  <si>
    <t>MCGREEVY, SARAH, PHD</t>
  </si>
  <si>
    <t>ADRAGNA, SARAH, PHD</t>
  </si>
  <si>
    <t>(716) 859-5481</t>
  </si>
  <si>
    <t>SADRAGNA@KALEIDAHEALTH.ORG</t>
  </si>
  <si>
    <t>ADRAGNA SARAH DR.</t>
  </si>
  <si>
    <t>142 BIDWELL PARKWAY</t>
  </si>
  <si>
    <t>MIORI, JOYCE, FNP</t>
  </si>
  <si>
    <t>E0009744</t>
  </si>
  <si>
    <t>MIORI JOYCE</t>
  </si>
  <si>
    <t>(716) 668-5276</t>
  </si>
  <si>
    <t>JMIORI@KALEIDAHEALTH.ORG</t>
  </si>
  <si>
    <t>MIORI JOYCE MRS.</t>
  </si>
  <si>
    <t>MIORI JOYCE G</t>
  </si>
  <si>
    <t>YOUNG, PAUL, MD</t>
  </si>
  <si>
    <t>E0349003</t>
  </si>
  <si>
    <t>YOUNG PAUL RAYMOND</t>
  </si>
  <si>
    <t>(716) 688-0601</t>
  </si>
  <si>
    <t>PYOUNG@KALEIDAHEALTH.ORG</t>
  </si>
  <si>
    <t>YOUNG PAUL</t>
  </si>
  <si>
    <t>4955 N BAILEY AVE STE 202</t>
  </si>
  <si>
    <t>GOKHALE, ROHIT, MBBS</t>
  </si>
  <si>
    <t>E0379521</t>
  </si>
  <si>
    <t>GOKHALE ROHIT ARVIND</t>
  </si>
  <si>
    <t>GOKHALE, ROHIT, MD</t>
  </si>
  <si>
    <t>RGOKHALE@KALEIDAHEALTH.ORG</t>
  </si>
  <si>
    <t>GOKHALE ROHIT DR.</t>
  </si>
  <si>
    <t>PILLAI, ANITA, MD</t>
  </si>
  <si>
    <t>E0306520</t>
  </si>
  <si>
    <t>PILLAI ANITA K</t>
  </si>
  <si>
    <t>PILLAI , ANITA    , MD</t>
  </si>
  <si>
    <t>(516) 877-5942</t>
  </si>
  <si>
    <t>APILLAI@UPA.CHOB.EDU</t>
  </si>
  <si>
    <t>PILLAI ANITA</t>
  </si>
  <si>
    <t>SAMUEL, SAM, MD</t>
  </si>
  <si>
    <t>E0040446</t>
  </si>
  <si>
    <t>SAMUEL SAM J MD</t>
  </si>
  <si>
    <t>SAMUEL, SAM,</t>
  </si>
  <si>
    <t>(716) 636-5651</t>
  </si>
  <si>
    <t>SAMUEL SAM DR.</t>
  </si>
  <si>
    <t>NEWELL, KATIE, NP</t>
  </si>
  <si>
    <t>E0324850</t>
  </si>
  <si>
    <t>NEWELL KATIE M</t>
  </si>
  <si>
    <t>NEWELL, KATIE, FNP</t>
  </si>
  <si>
    <t>KNEWELL@KALEIDAHEALTH.ORG</t>
  </si>
  <si>
    <t>WIGDORSKI KATIE</t>
  </si>
  <si>
    <t>WIGDORSKI KATIE M</t>
  </si>
  <si>
    <t>JAMES, DAVID, MD</t>
  </si>
  <si>
    <t>E0136259</t>
  </si>
  <si>
    <t>JAMES DAVID MICHAEL MD</t>
  </si>
  <si>
    <t>DJAMES@KALEIDAHEALTH.ORG</t>
  </si>
  <si>
    <t>JAMES DAVID DR.</t>
  </si>
  <si>
    <t>JAMES DAVID MICHAEL</t>
  </si>
  <si>
    <t>LOCKPORT MEM HSP</t>
  </si>
  <si>
    <t>NEILSON, BARBARA, NP</t>
  </si>
  <si>
    <t>E0079117</t>
  </si>
  <si>
    <t>NEILSON BABBARA ANN</t>
  </si>
  <si>
    <t>NEILSON, BARBARA, WNP</t>
  </si>
  <si>
    <t>(716) 692-9124</t>
  </si>
  <si>
    <t>BNEILSON@KALEIDAHEALTH.ORG</t>
  </si>
  <si>
    <t>NEILSON BARBARA</t>
  </si>
  <si>
    <t>NEILSON BARBARA ANN</t>
  </si>
  <si>
    <t>7020 ERIE RD</t>
  </si>
  <si>
    <t>MYERS, JEFFREY, DO</t>
  </si>
  <si>
    <t>E0043752</t>
  </si>
  <si>
    <t>MYERS JEFFREY W MD</t>
  </si>
  <si>
    <t>JMYERS@KALEIDAHEALTH.ORG</t>
  </si>
  <si>
    <t>MYERS JEFFREY</t>
  </si>
  <si>
    <t>UNIV EMERG MED SVCS</t>
  </si>
  <si>
    <t>UYTANA, VINSON, MD</t>
  </si>
  <si>
    <t>E0310703</t>
  </si>
  <si>
    <t>UYTANA VINSON</t>
  </si>
  <si>
    <t>VUYTANA@KALEIDAHEALTH.ORG</t>
  </si>
  <si>
    <t>UYTANA VINSON DR.</t>
  </si>
  <si>
    <t>COMMUNITY CARE OF WESTERN NEW YORK, INC.</t>
  </si>
  <si>
    <t>E0172149</t>
  </si>
  <si>
    <t>HOME CARE  AND HOSPICE</t>
  </si>
  <si>
    <t>COMMUNITY CARE OF WESTERN NEW YORK, DBA HOMECARE &amp; HOSPICE</t>
  </si>
  <si>
    <t>(716) 372-2106</t>
  </si>
  <si>
    <t>1225 W STATE ST</t>
  </si>
  <si>
    <t>WEISS, PAUL, DDS</t>
  </si>
  <si>
    <t>E0186587</t>
  </si>
  <si>
    <t>WEISS PAUL A DDS</t>
  </si>
  <si>
    <t>(716) 689-0929</t>
  </si>
  <si>
    <t>PWEISS@KALEIDAHEALTH.ORG</t>
  </si>
  <si>
    <t>WEISS PAUL DR.</t>
  </si>
  <si>
    <t>LEVIN&amp;HOUGHTALING PC</t>
  </si>
  <si>
    <t>ODUNSI, ADEKUNLE, MDPHD</t>
  </si>
  <si>
    <t>E0085220</t>
  </si>
  <si>
    <t>ODUNSI ADEKUNLE MD</t>
  </si>
  <si>
    <t>ODUNSI, ADEKUNLE, MD PHD</t>
  </si>
  <si>
    <t>AODUNSI@KALEIDAHEALTH.ORG</t>
  </si>
  <si>
    <t>ODUNSI ADEKUNLE</t>
  </si>
  <si>
    <t>RPCI CLINIC PRACTICE</t>
  </si>
  <si>
    <t>STEVENS, JOHN,</t>
  </si>
  <si>
    <t>E0190584</t>
  </si>
  <si>
    <t>STEVENS JOHN B III MD</t>
  </si>
  <si>
    <t>STEVENS, JOHN, MD</t>
  </si>
  <si>
    <t>JSTEVENS@KALEIDAHEALTH.ORG</t>
  </si>
  <si>
    <t>STEVENS JOHN DR.</t>
  </si>
  <si>
    <t>M FILLMORE HOSP</t>
  </si>
  <si>
    <t>MCKENZIE, KRISTIN, RNPMHNP</t>
  </si>
  <si>
    <t>E0359027</t>
  </si>
  <si>
    <t>MCKENZIE KRISTIN DIANE</t>
  </si>
  <si>
    <t>MCKENZIE , KRISTIN, NP</t>
  </si>
  <si>
    <t>(716) 648-0269</t>
  </si>
  <si>
    <t>KMCKENZIE@CFSBNY.ORG</t>
  </si>
  <si>
    <t>MCKENZIE KRISTIN DR.</t>
  </si>
  <si>
    <t>EASTERN NIAGARA HOSPITAL, INC</t>
  </si>
  <si>
    <t>E0263741</t>
  </si>
  <si>
    <t>LOCKPORT MEMORIAL HOSPITAL</t>
  </si>
  <si>
    <t>MOHAMMED MERE</t>
  </si>
  <si>
    <t>(716) 514-5700</t>
  </si>
  <si>
    <t>MMERE@ENHS.ORG</t>
  </si>
  <si>
    <t>EASTERN NIAGARA HOSPITAL</t>
  </si>
  <si>
    <t>SINGH, SONJOY, MD</t>
  </si>
  <si>
    <t>E0145662</t>
  </si>
  <si>
    <t>SINGH SONJOY MD</t>
  </si>
  <si>
    <t>SINGH SONJOY DR.</t>
  </si>
  <si>
    <t>ANDRES, JEROME, MD</t>
  </si>
  <si>
    <t>E0217121</t>
  </si>
  <si>
    <t>ANDRES JEROME COLLINS      MD</t>
  </si>
  <si>
    <t>ANDRES JEROME DR.</t>
  </si>
  <si>
    <t>Richard D. Larsson, PA</t>
  </si>
  <si>
    <t>E0093750</t>
  </si>
  <si>
    <t>LARSSON RICHARD D RPA</t>
  </si>
  <si>
    <t>(716) 376-2395</t>
  </si>
  <si>
    <t>LARSSON RICHARD</t>
  </si>
  <si>
    <t>LARSSON RICHARD D</t>
  </si>
  <si>
    <t>OLEAN FAMILY HEALTH</t>
  </si>
  <si>
    <t>POSNER, ALAN, MD</t>
  </si>
  <si>
    <t>E0155331</t>
  </si>
  <si>
    <t>POSNER ALAN ROBERT MD</t>
  </si>
  <si>
    <t>APOSNER@KALEIDAHEALTH.ORG</t>
  </si>
  <si>
    <t>POSNER ALAN DR.</t>
  </si>
  <si>
    <t>SUMMIT PARK PHARMACY INC</t>
  </si>
  <si>
    <t>E0027294</t>
  </si>
  <si>
    <t>CHRIS SAULS</t>
  </si>
  <si>
    <t>(716) 297-7151</t>
  </si>
  <si>
    <t>CHRIS@SUMMITPHARMACY.COM</t>
  </si>
  <si>
    <t>2578 NIAGARA FALLS BLVD STE 100</t>
  </si>
  <si>
    <t>WATSON, ALEASE, LMSW</t>
  </si>
  <si>
    <t>E0395378</t>
  </si>
  <si>
    <t>WATSON ALEASE</t>
  </si>
  <si>
    <t>(716) 883-9209</t>
  </si>
  <si>
    <t>ALEASE.WATSON@OMH.NY.GOV</t>
  </si>
  <si>
    <t>WATSON ALEASE MISS</t>
  </si>
  <si>
    <t>884 BRIGHTON RD</t>
  </si>
  <si>
    <t>MUKKAMALA, KRISHNA, MD</t>
  </si>
  <si>
    <t>E0031608</t>
  </si>
  <si>
    <t>MUKKAMALA KRISHNA PRASAD MD</t>
  </si>
  <si>
    <t>KMUKKAMALA@KALEIDAHEALTH.ORG</t>
  </si>
  <si>
    <t>MUKKAMALA KRISHNA</t>
  </si>
  <si>
    <t>FISHER, MICHELE, PA</t>
  </si>
  <si>
    <t>E0076208</t>
  </si>
  <si>
    <t>FISHER MICHELE CUDDY RPA-C</t>
  </si>
  <si>
    <t>MFISHER2@KALEIDAHEALTH.ORG</t>
  </si>
  <si>
    <t>FISHER MICHELE MRS.</t>
  </si>
  <si>
    <t>FISHER MICHELE CUDDY</t>
  </si>
  <si>
    <t>MAXWELL, DEBORAH, NP</t>
  </si>
  <si>
    <t>E0097753</t>
  </si>
  <si>
    <t>MAXWELL DEBORAH L</t>
  </si>
  <si>
    <t>MAXWELL, DEBORAH, NNP</t>
  </si>
  <si>
    <t>DMAXWELL@KALEIDAHEALTH.ORG</t>
  </si>
  <si>
    <t>MAXWELL DEBORAH</t>
  </si>
  <si>
    <t>KEYES, JOHN, MD</t>
  </si>
  <si>
    <t>E0238030</t>
  </si>
  <si>
    <t>KEYES JOHN L               MD</t>
  </si>
  <si>
    <t>KEYES JOHN</t>
  </si>
  <si>
    <t>(716) 366-1047</t>
  </si>
  <si>
    <t>614 CENTRAL AVE</t>
  </si>
  <si>
    <t>COPPOLA, ALYSON, RPAC</t>
  </si>
  <si>
    <t>E0325664</t>
  </si>
  <si>
    <t>COPPOLA ALYSON LYNN</t>
  </si>
  <si>
    <t>COPPOLA, ALYSON, RPA-C</t>
  </si>
  <si>
    <t>ACOPPOLA@KALEIDAHEALTH.ORG</t>
  </si>
  <si>
    <t>COPPOLA ALYSON</t>
  </si>
  <si>
    <t>8207 MAIN ST STE 5</t>
  </si>
  <si>
    <t>FOLCK, JAMIE, BAMS</t>
  </si>
  <si>
    <t>FOLCK,  JAMIE, COUNSELOR III</t>
  </si>
  <si>
    <t>FOLCK JAMIE MS.</t>
  </si>
  <si>
    <t>EMERLING, SYLVIA, LMSW</t>
  </si>
  <si>
    <t>E0386173</t>
  </si>
  <si>
    <t>EMERLING SYLVIA</t>
  </si>
  <si>
    <t>SYLVIAEMERLING@YAHOO.COM</t>
  </si>
  <si>
    <t>EMERLING SYLVIA MRS.</t>
  </si>
  <si>
    <t>SIDDIQUI, YUSUF, MDFACS</t>
  </si>
  <si>
    <t>E0225023</t>
  </si>
  <si>
    <t>SIDDIQUI MOHAMED YUSUF A   MD</t>
  </si>
  <si>
    <t>SIDDIQUI, MOHAMED YUSUF, MD</t>
  </si>
  <si>
    <t>(716) 838-8488</t>
  </si>
  <si>
    <t>MSIDDIQUI@KALEIDAHEALTH.ORG</t>
  </si>
  <si>
    <t>SIDDIQUI YUSUF MR.</t>
  </si>
  <si>
    <t>MCGEE, KEVIN, DO</t>
  </si>
  <si>
    <t>E0294588</t>
  </si>
  <si>
    <t>MCGEE KEVIN RICHARD</t>
  </si>
  <si>
    <t>(716) 859-2460</t>
  </si>
  <si>
    <t>KMCGEE@KALEIDAHEALTH.ORG</t>
  </si>
  <si>
    <t>MCGEE KEVIN</t>
  </si>
  <si>
    <t>MCGEE KEVIN RICHARD DO</t>
  </si>
  <si>
    <t>DYM, JEAN-PAUL, MD</t>
  </si>
  <si>
    <t>E0008309</t>
  </si>
  <si>
    <t>DYM JEAN-PAUL MD</t>
  </si>
  <si>
    <t>JDYM@KALEIDAHEALTH.ORG</t>
  </si>
  <si>
    <t>DYM JEAN-PAUL</t>
  </si>
  <si>
    <t>100 E 77TH ST</t>
  </si>
  <si>
    <t>FAZILI, ABDUL, MD</t>
  </si>
  <si>
    <t>E0239215</t>
  </si>
  <si>
    <t>FAZILI ABDUL Q             MD</t>
  </si>
  <si>
    <t>(716) 631-0621</t>
  </si>
  <si>
    <t>AFAZILI@KALEIDAHEALTH.ORG</t>
  </si>
  <si>
    <t>FAZILI ABDUL</t>
  </si>
  <si>
    <t>9040 MAIN ST</t>
  </si>
  <si>
    <t>CLARENCE</t>
  </si>
  <si>
    <t>THOMAS, ELIZABETH, LCSW</t>
  </si>
  <si>
    <t>THOMAS,  ELIZABETH , LCSW-R</t>
  </si>
  <si>
    <t>ETHOMAS@CATSWNY.ORG</t>
  </si>
  <si>
    <t>THOMAS ELIZABETH MS.</t>
  </si>
  <si>
    <t>3350 MAIN STREET</t>
  </si>
  <si>
    <t>MEADE, JANET, CRNA</t>
  </si>
  <si>
    <t>RENDA, JANET, CRNA</t>
  </si>
  <si>
    <t>JMEADE@KALEIDAHEALTH.ORG</t>
  </si>
  <si>
    <t>MEADE JANET</t>
  </si>
  <si>
    <t>PATEL, ANISH, PAC</t>
  </si>
  <si>
    <t>PATEL, ANISH, PA</t>
  </si>
  <si>
    <t>APATEL@KALEIDAHEALTH.ORG</t>
  </si>
  <si>
    <t>PATEL ANISH</t>
  </si>
  <si>
    <t>HOSPICE CHAUTAUQUA COUNTY, INC.</t>
  </si>
  <si>
    <t>E0159342</t>
  </si>
  <si>
    <t>CHAUTAUQUA HOSPICE AND PALLIATIVE</t>
  </si>
  <si>
    <t>(716) 338-0033</t>
  </si>
  <si>
    <t>CHAUTAUQUA HOSPICE AND PALLIATIVE CARE</t>
  </si>
  <si>
    <t>20 W FAIRMOUNT AVE</t>
  </si>
  <si>
    <t>HILLSIDE CHILDRENS CENTER</t>
  </si>
  <si>
    <t>E0004891</t>
  </si>
  <si>
    <t>HILLSIDE CHILDRENS CTR</t>
  </si>
  <si>
    <t>DENNIS RICHARDSON</t>
  </si>
  <si>
    <t>(585) 787-8099</t>
  </si>
  <si>
    <t>DRICHARD@HILLSIDE.ORG</t>
  </si>
  <si>
    <t>All Other:: Mental Health:: Substance Abuse</t>
  </si>
  <si>
    <t>HILLSIDE CHLDRENS CENTER</t>
  </si>
  <si>
    <t>1183 MONROE AVE</t>
  </si>
  <si>
    <t>MOORE, JAMES, MD</t>
  </si>
  <si>
    <t>E0237688</t>
  </si>
  <si>
    <t>MOORE JAMES P</t>
  </si>
  <si>
    <t>(716) 754-4998</t>
  </si>
  <si>
    <t>MOORE JAMES</t>
  </si>
  <si>
    <t>ELBERSON, VALERIE, MD</t>
  </si>
  <si>
    <t>E0373153</t>
  </si>
  <si>
    <t>ELBERSON VALERIE DAWN</t>
  </si>
  <si>
    <t>ELBERSON , VALERIE, MD</t>
  </si>
  <si>
    <t>(716) 878-7355</t>
  </si>
  <si>
    <t>VELBERSON@UPA.CHOB.EDU</t>
  </si>
  <si>
    <t>ELBERSON VALERIE DR.</t>
  </si>
  <si>
    <t>MAJUMDAR, INDRAJIT, MBBS</t>
  </si>
  <si>
    <t>E0335069</t>
  </si>
  <si>
    <t>MAJUMDAR INDRAJIT</t>
  </si>
  <si>
    <t>(716) 878-7588</t>
  </si>
  <si>
    <t>IMAJUMDAR@KALEIDAHEALTH.ORG</t>
  </si>
  <si>
    <t>MAJUMDAR INDRAJIT DR.</t>
  </si>
  <si>
    <t>NARDELLA, CHRISTINA, MS</t>
  </si>
  <si>
    <t>NARDELLO, CHRISTINA, LMHC</t>
  </si>
  <si>
    <t>CNARDELLO@CATSWNY.ORG</t>
  </si>
  <si>
    <t>NARDELLA CHRISTINA</t>
  </si>
  <si>
    <t>CICCHETTI, CORINE, MD</t>
  </si>
  <si>
    <t>E0007867</t>
  </si>
  <si>
    <t>KAUFMAN CORINE SEBAST</t>
  </si>
  <si>
    <t>CCICCHETTI@KALEIDAHEALTH.ORG</t>
  </si>
  <si>
    <t>CICCHETTI CORINE DR.</t>
  </si>
  <si>
    <t>CICCHETTI CORINE SEBAST MD</t>
  </si>
  <si>
    <t>GAJJAR, AARTI,</t>
  </si>
  <si>
    <t>E0359606</t>
  </si>
  <si>
    <t>GAJJAR AARTI V</t>
  </si>
  <si>
    <t>GAJJAR, AARTI, MD</t>
  </si>
  <si>
    <t>AGAJJAR@KALEIDAHEALTH.ORG</t>
  </si>
  <si>
    <t>GAJJAR AARTI</t>
  </si>
  <si>
    <t>SCHNELL, CASSANDRA, CRNA</t>
  </si>
  <si>
    <t>CSCHNELL@KALEIDAHEALTH.ORG</t>
  </si>
  <si>
    <t>SCHNELL CASSANDRA</t>
  </si>
  <si>
    <t>Faiza Wajid, MD</t>
  </si>
  <si>
    <t>E0364130</t>
  </si>
  <si>
    <t>WAJID FAIZA</t>
  </si>
  <si>
    <t>STAPLETON, KATHRYN, LMSW</t>
  </si>
  <si>
    <t>E0374180</t>
  </si>
  <si>
    <t>STAPLETON KATHRYN</t>
  </si>
  <si>
    <t>STAPLETON, KATHRYN, LCSW</t>
  </si>
  <si>
    <t>KSTAPLETON@CFSBNY.ORG</t>
  </si>
  <si>
    <t>DISTEFANO, MARY, RNANP</t>
  </si>
  <si>
    <t>E0394254</t>
  </si>
  <si>
    <t>DISTEFANO MARY G</t>
  </si>
  <si>
    <t>DISTEFANO, MARY, ANP</t>
  </si>
  <si>
    <t>(716) 949-1086</t>
  </si>
  <si>
    <t>MDISTEFANO@KALEIDAHEALTH.ORG</t>
  </si>
  <si>
    <t>DISTEFANO MARY</t>
  </si>
  <si>
    <t>E0027758</t>
  </si>
  <si>
    <t>ROSWELL PARK CANCER INSTITUTE CORP</t>
  </si>
  <si>
    <t>All Other:: Pharmacy</t>
  </si>
  <si>
    <t>ELM AND CARLTON STREETS</t>
  </si>
  <si>
    <t>PACE, SHEILA, CNM</t>
  </si>
  <si>
    <t>E0151971</t>
  </si>
  <si>
    <t>PACE SHEILA M</t>
  </si>
  <si>
    <t>PACE SHEILA</t>
  </si>
  <si>
    <t>KRAUS, DAVID, MD</t>
  </si>
  <si>
    <t>E0201881</t>
  </si>
  <si>
    <t>KRAUS DAVID R              MD</t>
  </si>
  <si>
    <t>(716) 689-6280</t>
  </si>
  <si>
    <t>DKRAUS@KALEIDAHEALTH.ORG</t>
  </si>
  <si>
    <t>KRAUS DAVID</t>
  </si>
  <si>
    <t>GRISWOLD, JOHN, MD</t>
  </si>
  <si>
    <t>E0182622</t>
  </si>
  <si>
    <t>GRISWOLD JOHN J MD</t>
  </si>
  <si>
    <t>JGRISWOLD@KALEIDAHEALTH.ORG</t>
  </si>
  <si>
    <t>GRISWOLD JOHN DR.</t>
  </si>
  <si>
    <t>KINKEL, WILLIAM, MD</t>
  </si>
  <si>
    <t>E0237772</t>
  </si>
  <si>
    <t>KINKEL WILLIAM R           MD</t>
  </si>
  <si>
    <t>WKINKEL2@KALEIDAHEALTH.ORG</t>
  </si>
  <si>
    <t>KINKEL WILLIAM</t>
  </si>
  <si>
    <t>UNIVERSITY NEUROLOGICAL</t>
  </si>
  <si>
    <t>WHEELER, DALE, MD</t>
  </si>
  <si>
    <t>E0203361</t>
  </si>
  <si>
    <t>WHEELER DALE ROBERT        MD</t>
  </si>
  <si>
    <t>(716) 887-4040</t>
  </si>
  <si>
    <t>DWHEELER@KALEIDAHEALTH.ORG</t>
  </si>
  <si>
    <t>WHEELER DALE</t>
  </si>
  <si>
    <t>KNAPP, RUSSELL, MD</t>
  </si>
  <si>
    <t>E0239349</t>
  </si>
  <si>
    <t>KNAPP RUSSELL GEORGE JR    MD</t>
  </si>
  <si>
    <t>RKNAPP@KALEIDAHEALTH.ORG</t>
  </si>
  <si>
    <t>KNAPP RUSSELL DR.</t>
  </si>
  <si>
    <t>1890 COLVIN BLVD</t>
  </si>
  <si>
    <t>E0054076</t>
  </si>
  <si>
    <t>KRISTIN KIGHT</t>
  </si>
  <si>
    <t>All Other:: Hospital</t>
  </si>
  <si>
    <t>FITZGERALD, JAMES, MD</t>
  </si>
  <si>
    <t>E0199189</t>
  </si>
  <si>
    <t>FITZGERALD JAMES P         MD</t>
  </si>
  <si>
    <t>FITZGERALD JAMES</t>
  </si>
  <si>
    <t>DUGAN, BONNIE, ANPC</t>
  </si>
  <si>
    <t>E0047847</t>
  </si>
  <si>
    <t>DUGAN BONNIE S</t>
  </si>
  <si>
    <t>DUGAN, BONNIE, ANP</t>
  </si>
  <si>
    <t>BDUGAN2@KALEIDAHEALTH.ORG</t>
  </si>
  <si>
    <t>DUGAN BONNIE</t>
  </si>
  <si>
    <t>E0323629</t>
  </si>
  <si>
    <t>DEGRAFF MEMORIAL HOSPITAL</t>
  </si>
  <si>
    <t>(716) 859-7200</t>
  </si>
  <si>
    <t>DEGRAFF MEMORIAL HOSPITAL SNF</t>
  </si>
  <si>
    <t>BARNABEI, VANESSA, MD</t>
  </si>
  <si>
    <t>E0342666</t>
  </si>
  <si>
    <t>BARNABEI VANESSA MARIE</t>
  </si>
  <si>
    <t>(716) 878-7138</t>
  </si>
  <si>
    <t>VBARNABEI@KALEIDAHEALTH.ORG</t>
  </si>
  <si>
    <t>BARNABEI VANESSA DR.</t>
  </si>
  <si>
    <t>WHITE, GLORIA, NP</t>
  </si>
  <si>
    <t>E0079149</t>
  </si>
  <si>
    <t>WHITE GLORIA J</t>
  </si>
  <si>
    <t>WHITE GLORIA MS.</t>
  </si>
  <si>
    <t>STE 704</t>
  </si>
  <si>
    <t>ZLOTNICK, DAVID, MD</t>
  </si>
  <si>
    <t>E0375613</t>
  </si>
  <si>
    <t>ZLOTNICK DAVID MICHAEL</t>
  </si>
  <si>
    <t>(504) 842-4000</t>
  </si>
  <si>
    <t>DZLOTNICK@KALEIDAHEALTH.ORG</t>
  </si>
  <si>
    <t>ZLOTNICK DAVID</t>
  </si>
  <si>
    <t>SWIENCICKI, JAMES, MD</t>
  </si>
  <si>
    <t>E0011708</t>
  </si>
  <si>
    <t>SWIENCICKI JR JAMES MD</t>
  </si>
  <si>
    <t>(216) 676-6330</t>
  </si>
  <si>
    <t>JSWIENCICKI@KALEIDAHEALTH.ORG</t>
  </si>
  <si>
    <t>SWIENCICKI JAMES DR.</t>
  </si>
  <si>
    <t>SWIENCICKI JAMES FRANCIS JR</t>
  </si>
  <si>
    <t>1829 MAPLE RD</t>
  </si>
  <si>
    <t>POMAKOV, OGNIAN, MD</t>
  </si>
  <si>
    <t>E0010446</t>
  </si>
  <si>
    <t>POMAKOV OGNIAN  MD</t>
  </si>
  <si>
    <t>OPOMAKOV@KALEIDAHEALTH.ORG</t>
  </si>
  <si>
    <t>POMAKOV OGNIAN</t>
  </si>
  <si>
    <t>CRAWFORD, DONALD, PHD</t>
  </si>
  <si>
    <t>E0072672</t>
  </si>
  <si>
    <t>CRAWFORD DONALD</t>
  </si>
  <si>
    <t>(716) 885-6608</t>
  </si>
  <si>
    <t>DCRAWFORD@KALEIDAHEALTH.ORG</t>
  </si>
  <si>
    <t>CRAWFORD DONALD DR.</t>
  </si>
  <si>
    <t>WAGNER, JENIA, MD</t>
  </si>
  <si>
    <t>E0139142</t>
  </si>
  <si>
    <t>SHERIF JENIA MD</t>
  </si>
  <si>
    <t>WAGNER JENIA</t>
  </si>
  <si>
    <t>GALPIN, ROBERT, MD</t>
  </si>
  <si>
    <t>E0085380</t>
  </si>
  <si>
    <t>GALPIN ROBERT D MD</t>
  </si>
  <si>
    <t>(716) 878-7563</t>
  </si>
  <si>
    <t>RGALPIN@KALEIDAHEALTH.ORG</t>
  </si>
  <si>
    <t>GALPIN ROBERT</t>
  </si>
  <si>
    <t>DEPT ORTHO</t>
  </si>
  <si>
    <t>SCHULMAN, ROBERT, MD</t>
  </si>
  <si>
    <t>E0231479</t>
  </si>
  <si>
    <t>SCHULMAN ROBERT J          MD</t>
  </si>
  <si>
    <t>RSCHULMAN@KALEIDAHEALTH.ORG</t>
  </si>
  <si>
    <t>SCHULMAN ROBERT</t>
  </si>
  <si>
    <t>KUA, ALFREDO, MD</t>
  </si>
  <si>
    <t>E0140715</t>
  </si>
  <si>
    <t>KUA ALFREDO UY MD</t>
  </si>
  <si>
    <t>AKUA@KALEIDAHEALTH.ORG</t>
  </si>
  <si>
    <t>KUA ALFREDO</t>
  </si>
  <si>
    <t>NORMAN, KAYLA,</t>
  </si>
  <si>
    <t>NORMAN , KAYLA, MS</t>
  </si>
  <si>
    <t>KNORMAN@CATSWNY.ORG</t>
  </si>
  <si>
    <t>NORMAN KAYLA</t>
  </si>
  <si>
    <t>AGRONS, GEOFFREY, MD</t>
  </si>
  <si>
    <t>E0032918</t>
  </si>
  <si>
    <t>AGRONS GEOFFREY ANSEL</t>
  </si>
  <si>
    <t>(330) 655-3800</t>
  </si>
  <si>
    <t>GAGRONS@KALEIDAHEALTH.ORG</t>
  </si>
  <si>
    <t>AGRONS GEOFFREY</t>
  </si>
  <si>
    <t>BUCZKOWSKI, GLENN, PAC</t>
  </si>
  <si>
    <t>E0071381</t>
  </si>
  <si>
    <t>BUCZKOWSKI GLENN ROBERT RPA</t>
  </si>
  <si>
    <t>BUCZKOWSKI, GLENN, PA</t>
  </si>
  <si>
    <t>GBUCZKOWSKI@KALEIDAHEALTH.ORG</t>
  </si>
  <si>
    <t>BUCZKOWSKI GLENN</t>
  </si>
  <si>
    <t>CERTO, ELIZABETH, PA</t>
  </si>
  <si>
    <t>E0043765</t>
  </si>
  <si>
    <t>CERTO ELIZABETH A</t>
  </si>
  <si>
    <t>(716) 875-6700</t>
  </si>
  <si>
    <t>ECERTO@KALEIDAHEALTH.ORG</t>
  </si>
  <si>
    <t>CERTO ELIZABETH</t>
  </si>
  <si>
    <t>1801 GRAND ISLAND BLVD STE 300</t>
  </si>
  <si>
    <t>DOMBROWSKI, FREDRICK, MALMHC</t>
  </si>
  <si>
    <t>DOMBROWSKI,  ANNA, OFFICE MANAGER</t>
  </si>
  <si>
    <t>DOMBROWSKI FREDRICK</t>
  </si>
  <si>
    <t>HENDER-HOLZERLAND, DEBRA, RN</t>
  </si>
  <si>
    <t>HENDER-HOLZERLAND,  DEBRA, RN</t>
  </si>
  <si>
    <t>HENDER-HOLZERLAND DEBRA</t>
  </si>
  <si>
    <t>PEER, MATTHEW, MD</t>
  </si>
  <si>
    <t>E0333031</t>
  </si>
  <si>
    <t>PEER MATTHEW GERARD</t>
  </si>
  <si>
    <t>MPEER@KALEIDAHEALTH.ORG</t>
  </si>
  <si>
    <t>PEER MATTHEW DR.</t>
  </si>
  <si>
    <t>NOVICK, MICHAEL, MD</t>
  </si>
  <si>
    <t>E0323252</t>
  </si>
  <si>
    <t>NOVICK MICHAEL</t>
  </si>
  <si>
    <t>MNOVICK2@KALEIDAHEALTH.ORG</t>
  </si>
  <si>
    <t>PERRELLO, ANNA, PAC</t>
  </si>
  <si>
    <t>E0366380</t>
  </si>
  <si>
    <t>PERRELLO ANNA CHRISTINE</t>
  </si>
  <si>
    <t>PERRELLO, ANNA, PA</t>
  </si>
  <si>
    <t>APERRELLO@KALEIDAHEALTH.ORG</t>
  </si>
  <si>
    <t>PERRELLO ANNA MRS.</t>
  </si>
  <si>
    <t>ROESER, GEOFFREY, PA</t>
  </si>
  <si>
    <t>E0368391</t>
  </si>
  <si>
    <t>ROESER GEOFFREY M</t>
  </si>
  <si>
    <t>(716) 694-4500</t>
  </si>
  <si>
    <t>GROESER@KALEIDAHEALTH.ORG</t>
  </si>
  <si>
    <t>ROESER GEOFFREY</t>
  </si>
  <si>
    <t>HANNON, MAUREEN, RN</t>
  </si>
  <si>
    <t>E0370325</t>
  </si>
  <si>
    <t>HANNON MAUREEN</t>
  </si>
  <si>
    <t>HANNONM@SHSWNY.ORG</t>
  </si>
  <si>
    <t>HANNON MAUREEN MCDONALD</t>
  </si>
  <si>
    <t>JARRELL, MEGHAN,</t>
  </si>
  <si>
    <t>JARRELL,  MEGHAN, COUNSELOR III</t>
  </si>
  <si>
    <t>JARRELL MEGHAN</t>
  </si>
  <si>
    <t>WEINBERG, MICHAEL, MD</t>
  </si>
  <si>
    <t>E0140798</t>
  </si>
  <si>
    <t>WEINBERG MICHAEL B MD</t>
  </si>
  <si>
    <t>MWEINBERG@KALEIDAHEALTH.ORG</t>
  </si>
  <si>
    <t>WEINBERG MICHAEL</t>
  </si>
  <si>
    <t>WLODAREK, BETH, RPAC</t>
  </si>
  <si>
    <t>E0364518</t>
  </si>
  <si>
    <t>WLODAREK BETH R</t>
  </si>
  <si>
    <t>WLODAREK, BETH,</t>
  </si>
  <si>
    <t>WLODAREK BETH</t>
  </si>
  <si>
    <t>MANKA, MICHAEL, MD</t>
  </si>
  <si>
    <t>E0072759</t>
  </si>
  <si>
    <t>MANKA MICHAEL ANTHONY JR MD</t>
  </si>
  <si>
    <t>(716) 898-4430</t>
  </si>
  <si>
    <t>MANKA MICHAEL</t>
  </si>
  <si>
    <t>MANKA MICHAEL ANTHONY JR</t>
  </si>
  <si>
    <t>BUFFALO ER LLP</t>
  </si>
  <si>
    <t>DESMONE, DONNA, MD</t>
  </si>
  <si>
    <t>E0180206</t>
  </si>
  <si>
    <t>DESMONE DONNA FAVRE   MD</t>
  </si>
  <si>
    <t>DDESMONE@KALEIDAHEALTH.ORG</t>
  </si>
  <si>
    <t>DESMONE DONNA</t>
  </si>
  <si>
    <t>DESMONE DONNA FAVRE MD</t>
  </si>
  <si>
    <t>MADEJSKI, THOMAS, MD</t>
  </si>
  <si>
    <t>E0160520</t>
  </si>
  <si>
    <t>MADEJSKI THOMAS J MD</t>
  </si>
  <si>
    <t>MADEJSKI THOMAS MR.</t>
  </si>
  <si>
    <t>243 S MAIN ST</t>
  </si>
  <si>
    <t>LINDFIELD, VIVIAN, MD</t>
  </si>
  <si>
    <t>E0049660</t>
  </si>
  <si>
    <t>LINDFIELD VIVIAN LESLIE MD</t>
  </si>
  <si>
    <t>(716) 632-7465</t>
  </si>
  <si>
    <t>VLINDFIELD@KALEIDAHEALTH.ORG</t>
  </si>
  <si>
    <t>LINDFIELD VIVIAN DR.</t>
  </si>
  <si>
    <t>BAKER VICTORY HEALTHCARE CENTR</t>
  </si>
  <si>
    <t>BELEN, ALFRED, MD</t>
  </si>
  <si>
    <t>E0349576</t>
  </si>
  <si>
    <t>BELEN ALFRED DENNIS</t>
  </si>
  <si>
    <t>(410) 938-3000</t>
  </si>
  <si>
    <t>ABELEN@KALEIDAHEALTH.ORG</t>
  </si>
  <si>
    <t>BELEN ALFRED</t>
  </si>
  <si>
    <t>3980 SHERIDAN DR STE 500</t>
  </si>
  <si>
    <t>MA, WEN, MD</t>
  </si>
  <si>
    <t>E0003064</t>
  </si>
  <si>
    <t>MA WEN WEE MD</t>
  </si>
  <si>
    <t>MA, WEN WEE, MD</t>
  </si>
  <si>
    <t>WMA@KALEIDAHEALTH.ORG</t>
  </si>
  <si>
    <t>MA WEN WEE</t>
  </si>
  <si>
    <t>MARTINO, ROBERT, CRNA</t>
  </si>
  <si>
    <t>RMARTINO@KALEIDAHEALTH.ORG</t>
  </si>
  <si>
    <t>MARTINO ROBERT</t>
  </si>
  <si>
    <t>GOLDMAN, SCOTT, DMD</t>
  </si>
  <si>
    <t>E0062507</t>
  </si>
  <si>
    <t>GOLDMAN SCOTT M DDS</t>
  </si>
  <si>
    <t>(716) 871-8624</t>
  </si>
  <si>
    <t>SGOLDMAN@ECMC.EDU</t>
  </si>
  <si>
    <t>GOLDMAN SCOTT DR.</t>
  </si>
  <si>
    <t>DENT NEUROLOGIC GROUP LLP</t>
  </si>
  <si>
    <t>E0090125</t>
  </si>
  <si>
    <t>DENT NEUROLOGIC GROUP LLC</t>
  </si>
  <si>
    <t>(716) 558-5886</t>
  </si>
  <si>
    <t>ZHANG, MEI, MDANDPH</t>
  </si>
  <si>
    <t>E0348044</t>
  </si>
  <si>
    <t>ZHANG MEI</t>
  </si>
  <si>
    <t>ZHANG, MEI, MD</t>
  </si>
  <si>
    <t>(716) 857-8872</t>
  </si>
  <si>
    <t>MZHANG@KALEIDAHEALTH.ORG</t>
  </si>
  <si>
    <t>ZHANG MEI DR.</t>
  </si>
  <si>
    <t>HURT, CHRISTOPHER, MD</t>
  </si>
  <si>
    <t>E0317103</t>
  </si>
  <si>
    <t>HURT CHRISTOPHE</t>
  </si>
  <si>
    <t>CHURT@KALEIDAHEALTH.ORG</t>
  </si>
  <si>
    <t>HURT CHRISTOPHER</t>
  </si>
  <si>
    <t>MENTAL HEALTH SERVICES OF ERIE COUNTY, SOUTHEAST CORP V</t>
  </si>
  <si>
    <t>E0063156</t>
  </si>
  <si>
    <t>MENTAL HEALTH SERV SE CORP V</t>
  </si>
  <si>
    <t>1280 MAIN ST LOWER LEVEL</t>
  </si>
  <si>
    <t>CIMATO, THOMAS, MDPHD</t>
  </si>
  <si>
    <t>E0001946</t>
  </si>
  <si>
    <t>CIMATO THOMAS ROBERT MD</t>
  </si>
  <si>
    <t>CIMATO, THOMAS, MD</t>
  </si>
  <si>
    <t>TCIMATO@KALEIDAHEALTH.ORG</t>
  </si>
  <si>
    <t>CIMATO THOMAS DR.</t>
  </si>
  <si>
    <t>CAMPANIE, KRISTIN, RPAC</t>
  </si>
  <si>
    <t>E0008664</t>
  </si>
  <si>
    <t>CAMPANIE KRISTIN RPA</t>
  </si>
  <si>
    <t>CAMPANIE, KRISTIN, PA</t>
  </si>
  <si>
    <t>KCAMPANIE@KALEIDAHEALTH.ORG</t>
  </si>
  <si>
    <t>CAMPANIE KRISTIN MRS.</t>
  </si>
  <si>
    <t>LAKE SHORE BEHAVIORAL HEALTH, INC</t>
  </si>
  <si>
    <t>GRUTTADAURIA, SALVATORE, AUD</t>
  </si>
  <si>
    <t>(716) 871-9883</t>
  </si>
  <si>
    <t>SGRUTTADAURIA@KALEIDAHEALTH.ORG</t>
  </si>
  <si>
    <t>GRUTTADAURIA SALVATORE DR.</t>
  </si>
  <si>
    <t>2565 ELMWOOD AVE</t>
  </si>
  <si>
    <t>STEWART, EILEEN, CNM</t>
  </si>
  <si>
    <t>E0140218</t>
  </si>
  <si>
    <t>STEWART EILEEN T</t>
  </si>
  <si>
    <t>ESTEWART@KALEIDAHEALTH.ORG</t>
  </si>
  <si>
    <t>STEWART EILEEN MS.</t>
  </si>
  <si>
    <t>STEWART EILEEN</t>
  </si>
  <si>
    <t>289 SUMMER ST</t>
  </si>
  <si>
    <t>WILD, DANIEL, MD</t>
  </si>
  <si>
    <t>E0235861</t>
  </si>
  <si>
    <t>WILD DANIEL R              MD</t>
  </si>
  <si>
    <t>DWILD@KALEIDAHEALTH.ORG</t>
  </si>
  <si>
    <t>WILD DANIEL DR.</t>
  </si>
  <si>
    <t>BGH ORTHOPEDIC SERV</t>
  </si>
  <si>
    <t>BARNES, STEVEN, DO</t>
  </si>
  <si>
    <t>E0191020</t>
  </si>
  <si>
    <t>BARNES STEVEN EDMUND</t>
  </si>
  <si>
    <t>BARNES, STEVEN,</t>
  </si>
  <si>
    <t>BARNES STEVEN DR.</t>
  </si>
  <si>
    <t>REIMER, TARA, MD</t>
  </si>
  <si>
    <t>E0043756</t>
  </si>
  <si>
    <t>REIMER TARA LIN MD</t>
  </si>
  <si>
    <t>TREIMER@KALEIDAHEALTH.ORG</t>
  </si>
  <si>
    <t>REIMER TARA DR.</t>
  </si>
  <si>
    <t>GAYLES, KENNETH, MD</t>
  </si>
  <si>
    <t>E0238842</t>
  </si>
  <si>
    <t>GAYLES KENNETH L           MD</t>
  </si>
  <si>
    <t>KGAYLES@KALEIDAHEALTH.ORG</t>
  </si>
  <si>
    <t>GAYLES KENNETH DR.</t>
  </si>
  <si>
    <t>PASTORE, JOHN, MD</t>
  </si>
  <si>
    <t>E0058679</t>
  </si>
  <si>
    <t>PASTORE JOHN VINCENT MD</t>
  </si>
  <si>
    <t>PASTORE,  JOHN     , MD</t>
  </si>
  <si>
    <t>JPASTORE@UPA.CHOB.EDU</t>
  </si>
  <si>
    <t>PASTORE JOHN</t>
  </si>
  <si>
    <t>BATTAGLIA, MICHAEL, MD</t>
  </si>
  <si>
    <t>E0181079</t>
  </si>
  <si>
    <t>BATTAGLIA MICHAEL J  MD</t>
  </si>
  <si>
    <t>BATTAGLIA, MICHAEL, DO</t>
  </si>
  <si>
    <t>MBATTAGLIA3@KALEIDAHEALTH.ORG</t>
  </si>
  <si>
    <t>BATTAGLIA MICHAEL</t>
  </si>
  <si>
    <t>SURACE, LOUIS, DDS</t>
  </si>
  <si>
    <t>E0172572</t>
  </si>
  <si>
    <t>SURACE LOUIS ANTHONY DDS</t>
  </si>
  <si>
    <t>(716) 433-3364</t>
  </si>
  <si>
    <t>LSURACE@KALEIDAHEALTH.ORG</t>
  </si>
  <si>
    <t>SURACE LOUIS DR.</t>
  </si>
  <si>
    <t>37 PROFESSIONAL PKWY STE A</t>
  </si>
  <si>
    <t>PRANIKOFF, KEVIN, MD</t>
  </si>
  <si>
    <t>E0236540</t>
  </si>
  <si>
    <t>PRANIKOFF KEVIN            MD</t>
  </si>
  <si>
    <t>KPRANIKOFF@KALEIDAHEALTH.ORG</t>
  </si>
  <si>
    <t>PRANIKOFF KEVIN</t>
  </si>
  <si>
    <t>RASALINGAM, MAITHRIDEVI, MD</t>
  </si>
  <si>
    <t>E0231938</t>
  </si>
  <si>
    <t>RASALINGAM M               MD</t>
  </si>
  <si>
    <t>(716) 677-0038</t>
  </si>
  <si>
    <t>RASALINGAM MAITHRIDEVI</t>
  </si>
  <si>
    <t>2026 ABBOTT RD</t>
  </si>
  <si>
    <t>E0189141</t>
  </si>
  <si>
    <t>PATHWAYS DAVIS ROAD ICF</t>
  </si>
  <si>
    <t>2753 DAVIS RD</t>
  </si>
  <si>
    <t>OWENS, MARIE, RN</t>
  </si>
  <si>
    <t>E0396231</t>
  </si>
  <si>
    <t>OWENS MARIE</t>
  </si>
  <si>
    <t>OWENS, MARIE,</t>
  </si>
  <si>
    <t>JAFFRAY, RACHEL,</t>
  </si>
  <si>
    <t>JAFFRAY,  RACHEL, COUNSELOR III</t>
  </si>
  <si>
    <t>JAFFRAY RACHEL</t>
  </si>
  <si>
    <t>GEORGE, MARY LOU, LCSW</t>
  </si>
  <si>
    <t>E0412066</t>
  </si>
  <si>
    <t>GEORGE MARY LOU</t>
  </si>
  <si>
    <t>MARY LOU GEORGE, , LCSW</t>
  </si>
  <si>
    <t>(716) 636-7432</t>
  </si>
  <si>
    <t>GEORGE MARY LOU MS.</t>
  </si>
  <si>
    <t>MURACA, MOLLY,</t>
  </si>
  <si>
    <t>MURACA,  MOLLY, COUNSELOR III</t>
  </si>
  <si>
    <t>MURACA MOLLY</t>
  </si>
  <si>
    <t>GHOSH, SUBRATO, MD</t>
  </si>
  <si>
    <t>E0068335</t>
  </si>
  <si>
    <t>GHOSH SUBRATO MD</t>
  </si>
  <si>
    <t>SUGHOSH@IPC-HUB.COM</t>
  </si>
  <si>
    <t>GHOSH SUBRATO DR.</t>
  </si>
  <si>
    <t>SISTER OF CHARTY HOS</t>
  </si>
  <si>
    <t>WEHR, MATTHEW, MD</t>
  </si>
  <si>
    <t>E0005563</t>
  </si>
  <si>
    <t>WEHR MATTHEW D MD</t>
  </si>
  <si>
    <t>WEHR, MATTHEW,</t>
  </si>
  <si>
    <t>WEHR MATTHEW</t>
  </si>
  <si>
    <t>WEHR MATTHEW DAVID</t>
  </si>
  <si>
    <t>138 EAST MAIN ST</t>
  </si>
  <si>
    <t>PLATT, BRUCE, MD</t>
  </si>
  <si>
    <t>E0242745</t>
  </si>
  <si>
    <t>PLATT BRUCE L MD</t>
  </si>
  <si>
    <t>(716) 834-3278</t>
  </si>
  <si>
    <t>PLATT BRUCE</t>
  </si>
  <si>
    <t>CONLEY, JAMES, MD</t>
  </si>
  <si>
    <t>E0228380</t>
  </si>
  <si>
    <t>CONLEY JAMES GEORGE        MD</t>
  </si>
  <si>
    <t>(716) 859-2987</t>
  </si>
  <si>
    <t>JCONLEY@KALEIDAHEALTH.ORG</t>
  </si>
  <si>
    <t>CONLEY JAMES DR.</t>
  </si>
  <si>
    <t>CARTAGENA, MARIA, MD</t>
  </si>
  <si>
    <t>E0102868</t>
  </si>
  <si>
    <t>CARTAGENA MARIA</t>
  </si>
  <si>
    <t>MCARTAGENA@KALEIDAHEALTH.ORG</t>
  </si>
  <si>
    <t>HELEN B PELYSKO</t>
  </si>
  <si>
    <t>BUFFALO BEACON CORPORATION</t>
  </si>
  <si>
    <t>E0181566</t>
  </si>
  <si>
    <t>BUFFALO BEACON CORP</t>
  </si>
  <si>
    <t>LAUREN CLARK / JACQUELINE NICASTRO</t>
  </si>
  <si>
    <t>(716) 831-1937</t>
  </si>
  <si>
    <t>LCLARK@BEACONCENTER.NET / JNICASTRO@BEACONCENTER.NET</t>
  </si>
  <si>
    <t># 09/01/02</t>
  </si>
  <si>
    <t>DUFF, MICHAEL, MD</t>
  </si>
  <si>
    <t>E0022513</t>
  </si>
  <si>
    <t>DUFF MICHAEL MD</t>
  </si>
  <si>
    <t>MDUFF@KALEIDAHEALTH.ORG</t>
  </si>
  <si>
    <t>DUFF MICHAEL DR.</t>
  </si>
  <si>
    <t>DUFF MICHAEL</t>
  </si>
  <si>
    <t>FALKNER, CATHERINE, MD</t>
  </si>
  <si>
    <t>E0037970</t>
  </si>
  <si>
    <t>FALKNER CATHERINE MARIE MD</t>
  </si>
  <si>
    <t>FALKNER CATHERINE</t>
  </si>
  <si>
    <t>SZAFRANSKI, JULIA, RPAC</t>
  </si>
  <si>
    <t>E0079849</t>
  </si>
  <si>
    <t>SZAFRANSKI JULIA RPA</t>
  </si>
  <si>
    <t>SZAFRANSKI, JULIA, RPA-C</t>
  </si>
  <si>
    <t>(716) 439-0939</t>
  </si>
  <si>
    <t>JSZAFRANSKI2@KALEIDAHEALTH.ORG</t>
  </si>
  <si>
    <t>SZAFRANSKI JULIA MRS.</t>
  </si>
  <si>
    <t>268 W MAIN ST</t>
  </si>
  <si>
    <t>NAGALLA, BHANU,</t>
  </si>
  <si>
    <t>E0010005</t>
  </si>
  <si>
    <t>NAGALLA BHANU PRAKASH MD</t>
  </si>
  <si>
    <t>NAGALLA, BHANU, MD</t>
  </si>
  <si>
    <t>(817) 239-0890</t>
  </si>
  <si>
    <t>BNAGALLA@KALEIDAHEALTH.ORG</t>
  </si>
  <si>
    <t>NAGALLA BHANU DR.</t>
  </si>
  <si>
    <t>WOOD, BEATRICE, PHD</t>
  </si>
  <si>
    <t>E0136183</t>
  </si>
  <si>
    <t>WOOD BEATRICE L PHD</t>
  </si>
  <si>
    <t>(585) 734-8116</t>
  </si>
  <si>
    <t>BWOOD@KALEIDAHEALTH.ORG</t>
  </si>
  <si>
    <t>WOOD BEATRICE DR.</t>
  </si>
  <si>
    <t>SHARMA, RAJEEV, MBBS</t>
  </si>
  <si>
    <t>E0348237</t>
  </si>
  <si>
    <t>SHARMA RAJEEV</t>
  </si>
  <si>
    <t>SHARMA, RAJEEV, MD</t>
  </si>
  <si>
    <t>(716) 481-6847</t>
  </si>
  <si>
    <t>RSHARMA@KALEIDAHEALTH.ORG</t>
  </si>
  <si>
    <t>SHARMA RAJEEV DR.</t>
  </si>
  <si>
    <t>KHADIM, HAIDER, MD</t>
  </si>
  <si>
    <t>E0322539</t>
  </si>
  <si>
    <t>KHADIM HAIDER ALI</t>
  </si>
  <si>
    <t>(315) 464-8200</t>
  </si>
  <si>
    <t>HKHADIM@KALEIDAHEALTH.ORG</t>
  </si>
  <si>
    <t>KHADIM HAIDER</t>
  </si>
  <si>
    <t>1000 E GENESEE ST STE 403</t>
  </si>
  <si>
    <t>CANTALICIAN CENTER FOR LEARNING, INC.</t>
  </si>
  <si>
    <t>E0316314</t>
  </si>
  <si>
    <t>CANTALICIAN CENTER FOR LEARNING INC</t>
  </si>
  <si>
    <t>MILISSA ACQUARD</t>
  </si>
  <si>
    <t>MACQUARD@CANTALICIAN.ORG</t>
  </si>
  <si>
    <t>JABI, FERAAS, MD</t>
  </si>
  <si>
    <t>E0370403</t>
  </si>
  <si>
    <t>JABI FERAAS</t>
  </si>
  <si>
    <t>(716) 859-1144</t>
  </si>
  <si>
    <t>FJABI@KALEIDAHEALTH.ORG</t>
  </si>
  <si>
    <t>JABI FERAAS DR.</t>
  </si>
  <si>
    <t>STOWELL, KAREN, ANP</t>
  </si>
  <si>
    <t>E0022962</t>
  </si>
  <si>
    <t>STOWELL K JEANNINE NP</t>
  </si>
  <si>
    <t>STOWELL, K. JEANNINE, ANP</t>
  </si>
  <si>
    <t>(716) 675-3683</t>
  </si>
  <si>
    <t>KSTOWELL@KALEIDAHEALTH.ORG</t>
  </si>
  <si>
    <t>STOWELL KAREN MS.</t>
  </si>
  <si>
    <t>STOWELL K JEANNINE</t>
  </si>
  <si>
    <t>2949 ELMWOOD AVE STE 202</t>
  </si>
  <si>
    <t>ATKINS, LINDSAY,</t>
  </si>
  <si>
    <t>ATKINS,  LINDSAY, SENIOR COUNSELOR</t>
  </si>
  <si>
    <t>ATKINS LINDSAY</t>
  </si>
  <si>
    <t>Mary Richards, NP</t>
  </si>
  <si>
    <t>RICHARDS MARY</t>
  </si>
  <si>
    <t>345 E SUPERIOR ST</t>
  </si>
  <si>
    <t>PATEL, SHITAL, MD</t>
  </si>
  <si>
    <t>E0350516</t>
  </si>
  <si>
    <t>PATEL SHITAL</t>
  </si>
  <si>
    <t>SPATEL3@KALEIDAHEALTH.ORG</t>
  </si>
  <si>
    <t>MASTRORILLI, LEAH,</t>
  </si>
  <si>
    <t>MASTRORILLI, LEAH, LMSW</t>
  </si>
  <si>
    <t>LMASTRORILLI@CATSWNY.ORG</t>
  </si>
  <si>
    <t>MASTRORILLI LEAH</t>
  </si>
  <si>
    <t>MEZA, CAITLIN,</t>
  </si>
  <si>
    <t>MEZA,  CAITLIN, COUNSELOR III</t>
  </si>
  <si>
    <t>MEZA CAITLIN</t>
  </si>
  <si>
    <t>DUNN, ERIN, RN</t>
  </si>
  <si>
    <t>E0384597</t>
  </si>
  <si>
    <t>DUNN ERIN L</t>
  </si>
  <si>
    <t>DUNNE@SHSWNY.ORG</t>
  </si>
  <si>
    <t>DUNN ERIN</t>
  </si>
  <si>
    <t>KASNICKI, LAURIE, MD</t>
  </si>
  <si>
    <t>E0194655</t>
  </si>
  <si>
    <t>KASNICKI LAURIE            MD</t>
  </si>
  <si>
    <t>(716) 995-8801</t>
  </si>
  <si>
    <t>LKASNICKI@KALEIDAHEALTH.ORG</t>
  </si>
  <si>
    <t>KASNICKI LAURIE</t>
  </si>
  <si>
    <t>KIDS ALLIANCE</t>
  </si>
  <si>
    <t>BALAN, OCTAVIA, MD</t>
  </si>
  <si>
    <t>E0025771</t>
  </si>
  <si>
    <t>BALAN OCTAVIA FLORINA MD</t>
  </si>
  <si>
    <t>OBALAN@KALEIDAHEALTH.ORG</t>
  </si>
  <si>
    <t>BALAN OCTAVIA</t>
  </si>
  <si>
    <t>KOCH, TODD, MD</t>
  </si>
  <si>
    <t>E0204436</t>
  </si>
  <si>
    <t>KOCH TODD B                MD</t>
  </si>
  <si>
    <t>(716) 759-7717</t>
  </si>
  <si>
    <t>TKOCH@KALEIDAHEALTH.ORG</t>
  </si>
  <si>
    <t>KOCH TODD DR.</t>
  </si>
  <si>
    <t>6315 SHERIDAN DR</t>
  </si>
  <si>
    <t>SPAETH MELISSA MS.</t>
  </si>
  <si>
    <t>E0029579</t>
  </si>
  <si>
    <t>BIANCA MELISSA A RPA</t>
  </si>
  <si>
    <t>SPAETH MELISSA A PA</t>
  </si>
  <si>
    <t>3045 SOUTHWESTERN BLVD STE 108</t>
  </si>
  <si>
    <t>BAKHAI, YOGESH, MD</t>
  </si>
  <si>
    <t>E0160123</t>
  </si>
  <si>
    <t>BAKHAI YOGESH D</t>
  </si>
  <si>
    <t>YBAKHAI@KALEIDAHEALTH.ORG</t>
  </si>
  <si>
    <t>BAKHAI YOGESH</t>
  </si>
  <si>
    <t>SULLIVAN, ANN,</t>
  </si>
  <si>
    <t>SULLIVAN, ANN, LCSW-R</t>
  </si>
  <si>
    <t>(716) 366-6125</t>
  </si>
  <si>
    <t>PENNYMOM25@HOTMAIL.COM</t>
  </si>
  <si>
    <t>SULLIVAN ANN</t>
  </si>
  <si>
    <t>CLARKE, RONALD, DO</t>
  </si>
  <si>
    <t>E0210512</t>
  </si>
  <si>
    <t>CLARKE RONALD JAY          DO</t>
  </si>
  <si>
    <t>(716) 297-1027</t>
  </si>
  <si>
    <t>CLARKE RONALD</t>
  </si>
  <si>
    <t>6950 WILLIAMS RD</t>
  </si>
  <si>
    <t>MONTGOMERY, MAUREEN, MD</t>
  </si>
  <si>
    <t>E0221522</t>
  </si>
  <si>
    <t>MONTGOMERY MAUREEN EIMER   MD</t>
  </si>
  <si>
    <t>MMONTGOMERY@KALEIDAHEALTH.ORG</t>
  </si>
  <si>
    <t>MONTGOMERY MAUREEN</t>
  </si>
  <si>
    <t>MONTGOMERY MAUREEN EIMER</t>
  </si>
  <si>
    <t>SASANKAN, KRISHNAKANTHAN, MD</t>
  </si>
  <si>
    <t>E0156036</t>
  </si>
  <si>
    <t>SASANKAN KRISHNAKANTHAN MD</t>
  </si>
  <si>
    <t>KSASANKAN@KALEIDAHEALTH.ORG</t>
  </si>
  <si>
    <t>SASANKAN KRISHNAKANTHAN</t>
  </si>
  <si>
    <t>MALLAVARAPU, CHRISTOPHER, MD</t>
  </si>
  <si>
    <t>E0163358</t>
  </si>
  <si>
    <t>MALLAVARAPU CHRISTOPHER THOMAS</t>
  </si>
  <si>
    <t>(337) 261-0928</t>
  </si>
  <si>
    <t>CMALLAVARAPU@KALEIDAHEALTH.ORG</t>
  </si>
  <si>
    <t>MALLAVARAPU CHRISTOPHER</t>
  </si>
  <si>
    <t>E0252048</t>
  </si>
  <si>
    <t>CATTARAUGUS COUNTY DOH</t>
  </si>
  <si>
    <t>(716) 701-3398</t>
  </si>
  <si>
    <t>1 LEO MOSS DR</t>
  </si>
  <si>
    <t>WANG, YUBAO, MD</t>
  </si>
  <si>
    <t>E0354392</t>
  </si>
  <si>
    <t>WANG YUBAO</t>
  </si>
  <si>
    <t>YWANG@KALEIDAHEALTH.ORG</t>
  </si>
  <si>
    <t>WANG YUBAO DR.</t>
  </si>
  <si>
    <t>45 SPINDRIFT DR STE 100</t>
  </si>
  <si>
    <t>FORD-MUKKAMALA, LAURA, DO</t>
  </si>
  <si>
    <t>E0338441</t>
  </si>
  <si>
    <t>LAURA FORD-MUKKAMALA</t>
  </si>
  <si>
    <t>LFORDMUKKAMALA@KALEIDAHEALTH.ORG</t>
  </si>
  <si>
    <t>FORD-MUKKAMALA LAURA</t>
  </si>
  <si>
    <t>3345 SOUTHWESTERN BLVD STE 304</t>
  </si>
  <si>
    <t>FAST, ALFRED, MD</t>
  </si>
  <si>
    <t>E0236477</t>
  </si>
  <si>
    <t>FAST ALFRED                MD</t>
  </si>
  <si>
    <t>FAST ALFRED DR.</t>
  </si>
  <si>
    <t>(716) 282-5388</t>
  </si>
  <si>
    <t>CHEN, HONGBIN, MDPHD</t>
  </si>
  <si>
    <t>E0295897</t>
  </si>
  <si>
    <t>CHEN HONGBIN</t>
  </si>
  <si>
    <t>CHEN, HONGBIN, MD</t>
  </si>
  <si>
    <t>HCHEN@KALEIDAHEALTH.ORG</t>
  </si>
  <si>
    <t>MAURO, ELIZABETH, LCSW</t>
  </si>
  <si>
    <t>MAURO, ELIZABETH L., LCSWR</t>
  </si>
  <si>
    <t>MAURO ELIZABETH MS.</t>
  </si>
  <si>
    <t>NAZARIO, ROBERT, LMSW</t>
  </si>
  <si>
    <t>NAZARIO ROBERT MR.</t>
  </si>
  <si>
    <t>BUCKLEY, RICHARD, MD</t>
  </si>
  <si>
    <t>E0232629</t>
  </si>
  <si>
    <t>BUCKLEY RICHARD J JR MD</t>
  </si>
  <si>
    <t>RBUCKLEY@KALEIDAHEALTH.ORG</t>
  </si>
  <si>
    <t>BUCKLEY RICHARD DR.</t>
  </si>
  <si>
    <t>KUEHNLING, WILLIAM, MD</t>
  </si>
  <si>
    <t>E0175242</t>
  </si>
  <si>
    <t>KUEHNLING WILLIAM ROBERT  MD</t>
  </si>
  <si>
    <t>WKUEHNLING@KALEIDAHEALTH.ORG</t>
  </si>
  <si>
    <t>KUEHNLING WILLIAM</t>
  </si>
  <si>
    <t>KUEHNLING WILLIAM ROBERT</t>
  </si>
  <si>
    <t>HARRIS HILL FAM MED</t>
  </si>
  <si>
    <t>TAYLOR, KAREN, PAC</t>
  </si>
  <si>
    <t>E0287952</t>
  </si>
  <si>
    <t>TAYLOR KAREN ANNE RPA</t>
  </si>
  <si>
    <t>TAYLOR, KAREN, PA-C</t>
  </si>
  <si>
    <t>KTAYLOR4@KALEIDAHEALTH.ORG</t>
  </si>
  <si>
    <t>TAYLOR KAREN</t>
  </si>
  <si>
    <t>SAXTON, SARAH, NP</t>
  </si>
  <si>
    <t>E0041228</t>
  </si>
  <si>
    <t>SAXTON SARAH J</t>
  </si>
  <si>
    <t>SAXTON, SARAH, ANP</t>
  </si>
  <si>
    <t>SSAXTON@KALEIDAHEALTH.ORG</t>
  </si>
  <si>
    <t>SAXTON SARAH</t>
  </si>
  <si>
    <t>STE 1300</t>
  </si>
  <si>
    <t>WATSON MARION</t>
  </si>
  <si>
    <t>E0065452</t>
  </si>
  <si>
    <t>WATSON MARION R</t>
  </si>
  <si>
    <t>WATSON MARION R NP</t>
  </si>
  <si>
    <t>268 MAIN ST</t>
  </si>
  <si>
    <t>WEISS, STEVEN, MD</t>
  </si>
  <si>
    <t>E0195400</t>
  </si>
  <si>
    <t>WEISS STEVEN D             MD</t>
  </si>
  <si>
    <t>SWEISS2@KALEIDAHEALTH.ORG</t>
  </si>
  <si>
    <t>WEISS STEVEN DR.</t>
  </si>
  <si>
    <t>ACADEMIC MEDICINE SERVICES, INC.</t>
  </si>
  <si>
    <t>E0139720</t>
  </si>
  <si>
    <t>ACADEMIC MEDICINE SERVICES</t>
  </si>
  <si>
    <t>JOHN FUDYMA</t>
  </si>
  <si>
    <t>(716) 816-7204</t>
  </si>
  <si>
    <t>FUDYMA@BUFFALO.EDU</t>
  </si>
  <si>
    <t>SCIAMMARELLA, JOSEPH, MD</t>
  </si>
  <si>
    <t>E0140745</t>
  </si>
  <si>
    <t>SCIAMMARELLA JOSEPH C JR MD</t>
  </si>
  <si>
    <t>(631) 477-5144</t>
  </si>
  <si>
    <t>SCIAMMARELLA JOSEPH DR.</t>
  </si>
  <si>
    <t>NASSAU PROF MED SER</t>
  </si>
  <si>
    <t>O'KEEFFE, DAVID, MD</t>
  </si>
  <si>
    <t>E0192369</t>
  </si>
  <si>
    <t>OKEEFFE DAVID A MD</t>
  </si>
  <si>
    <t>DO'KEEFFE@KALEIDAHEALTH.ORG</t>
  </si>
  <si>
    <t>O'KEEFFE DAVID DR.</t>
  </si>
  <si>
    <t>TROCK, DANIEL, MD</t>
  </si>
  <si>
    <t>E0082673</t>
  </si>
  <si>
    <t>TROCK DANIEL MD</t>
  </si>
  <si>
    <t>DTROCK@KALEIDAHEALTH.ORG</t>
  </si>
  <si>
    <t>TROCK DANIEL DR.</t>
  </si>
  <si>
    <t>KUREK, CARLOS, MD</t>
  </si>
  <si>
    <t>E0078826</t>
  </si>
  <si>
    <t>KUREK CARLOS JACOBO MD</t>
  </si>
  <si>
    <t>(716) 639-8928</t>
  </si>
  <si>
    <t>CKUREK@KALEIDAHEALTH.ORG</t>
  </si>
  <si>
    <t>KUREK CARLOS DR.</t>
  </si>
  <si>
    <t>KALIEDA HMF HOSPITAL</t>
  </si>
  <si>
    <t>CYWINSKI, MATTHEW, MD</t>
  </si>
  <si>
    <t>E0115698</t>
  </si>
  <si>
    <t>CYWINSKI MATTHEW J MD</t>
  </si>
  <si>
    <t>MCYWINSKI@KALEIDAHEALTH.ORG</t>
  </si>
  <si>
    <t>CYWINSKI MATTHEW DR.</t>
  </si>
  <si>
    <t>37 NORTH CHEMUNG STREET OPERATING COMPANY LLC</t>
  </si>
  <si>
    <t>E0396595</t>
  </si>
  <si>
    <t>37 NORTH CHEMUNG STREET OPERATING C</t>
  </si>
  <si>
    <t>MARIA LANDY</t>
  </si>
  <si>
    <t>MLANDY@ELDERWOOD.COM</t>
  </si>
  <si>
    <t>37 N CHEMUNG ST</t>
  </si>
  <si>
    <t>WAVERLY</t>
  </si>
  <si>
    <t>BEARDSLEY, REBECCA, FNPCNM</t>
  </si>
  <si>
    <t>E0350033</t>
  </si>
  <si>
    <t>REBECCA JEAN BEARDSLEY</t>
  </si>
  <si>
    <t>BEARDSLEY, REBECCA, CNM</t>
  </si>
  <si>
    <t>(478) 396-6469</t>
  </si>
  <si>
    <t>RBEARDSLEY@KALEIDAHEALTH.ORG</t>
  </si>
  <si>
    <t>BEARDSLEY REBECCA</t>
  </si>
  <si>
    <t>BEARDSLEY REBECCA JEAN</t>
  </si>
  <si>
    <t>RANNEY, MICHAEL,</t>
  </si>
  <si>
    <t>RANNEY, MICHAEL, MHC</t>
  </si>
  <si>
    <t>RANNEYM@SHSWNY.ORG</t>
  </si>
  <si>
    <t>RANNEY MICHAEL</t>
  </si>
  <si>
    <t>GRIFFIN, JUDY, ANP</t>
  </si>
  <si>
    <t>E0065481</t>
  </si>
  <si>
    <t>GRIFFIN JUDY A NP</t>
  </si>
  <si>
    <t>JGRIFFIN@KALEIDAHEALTH.ORG</t>
  </si>
  <si>
    <t>GRIFFIN JUDY</t>
  </si>
  <si>
    <t>GRIFFIN JUDY ANN</t>
  </si>
  <si>
    <t>Jennifer Ruh, MD</t>
  </si>
  <si>
    <t>E0117007</t>
  </si>
  <si>
    <t>RUH JENNIFER MARIE MD</t>
  </si>
  <si>
    <t>RUH JENNIFER DR.</t>
  </si>
  <si>
    <t>STEWART, SCOTT, MD</t>
  </si>
  <si>
    <t>E0081067</t>
  </si>
  <si>
    <t>STEWART SCOTT H MD</t>
  </si>
  <si>
    <t>ECAMILLERI</t>
  </si>
  <si>
    <t>(843) 792-1414</t>
  </si>
  <si>
    <t>STEWART SCOTT</t>
  </si>
  <si>
    <t>STEWART SCOTT HASTINGS</t>
  </si>
  <si>
    <t>TRASK, JENNIFER, MD</t>
  </si>
  <si>
    <t>E0021739</t>
  </si>
  <si>
    <t>TRASK JENNIFER LOUISE MD</t>
  </si>
  <si>
    <t>(716) 876-0330</t>
  </si>
  <si>
    <t>JTRASK@KALEIDAHEALTH.ORG</t>
  </si>
  <si>
    <t>TRASK JENNIFER DR.</t>
  </si>
  <si>
    <t>E0086913</t>
  </si>
  <si>
    <t>PERRY MARK FRANKLYN MD</t>
  </si>
  <si>
    <t>MPERRY2@KALEIDAHEALTH.ORG</t>
  </si>
  <si>
    <t>PERRY MARK FRANKLYN</t>
  </si>
  <si>
    <t>FREED LIEBER SCHEVZ</t>
  </si>
  <si>
    <t>HOLBROOK</t>
  </si>
  <si>
    <t>LANNON, GAIL, RPA</t>
  </si>
  <si>
    <t>E0172812</t>
  </si>
  <si>
    <t>DUNNE GAIL G</t>
  </si>
  <si>
    <t>LANNON, GAIL, PA</t>
  </si>
  <si>
    <t>GLANNON@KALEIDAHEALTH.ORG</t>
  </si>
  <si>
    <t>LANNON GAIL</t>
  </si>
  <si>
    <t>LANNON GAIL G</t>
  </si>
  <si>
    <t>DESCHAMPS, JACQUELINE, NP</t>
  </si>
  <si>
    <t>E0088883</t>
  </si>
  <si>
    <t>DESCHAMPS JACQUELINE MARY</t>
  </si>
  <si>
    <t>DESCHAMPS, JACQUELINE, NNP</t>
  </si>
  <si>
    <t>JDESCHAMPS@KALEIDAHEALTH.ORG</t>
  </si>
  <si>
    <t>DESCHAMPS JACQUELINE</t>
  </si>
  <si>
    <t>ANAIN, SHIRLEY, MD</t>
  </si>
  <si>
    <t>E0161695</t>
  </si>
  <si>
    <t>ANAIN SHIRLEY A MD</t>
  </si>
  <si>
    <t>(716) 838-1333</t>
  </si>
  <si>
    <t>SANAIN2@KALEIDAHEALTH.ORG</t>
  </si>
  <si>
    <t>ANAIN SHIRLEY DR.</t>
  </si>
  <si>
    <t>4949 HARLEM RD STE 302</t>
  </si>
  <si>
    <t>DEWEY, SETH, MD</t>
  </si>
  <si>
    <t>E0078186</t>
  </si>
  <si>
    <t>DEWEY SETH G MD</t>
  </si>
  <si>
    <t>DEWEY, SETH G., MD</t>
  </si>
  <si>
    <t>SDEWEY@CATSWNY.ORG</t>
  </si>
  <si>
    <t>DEWEY SETH</t>
  </si>
  <si>
    <t>PIERCE, KIMBERLY, NP</t>
  </si>
  <si>
    <t>E0043621</t>
  </si>
  <si>
    <t>PETKO KIMBERLY A</t>
  </si>
  <si>
    <t>PIERCE, KIMBERLY, ANP</t>
  </si>
  <si>
    <t>(716) 667-6981</t>
  </si>
  <si>
    <t>KPIERCE@KALEIDAHEALTH.ORG</t>
  </si>
  <si>
    <t>PIERCE KIMBERLY MRS.</t>
  </si>
  <si>
    <t>PIERCE KIMBERLY ANN</t>
  </si>
  <si>
    <t>BLAIN, KAREN, NP</t>
  </si>
  <si>
    <t>E0072311</t>
  </si>
  <si>
    <t>BLAIN KAREN</t>
  </si>
  <si>
    <t>BLAIN, KAREN, NNP</t>
  </si>
  <si>
    <t>KBLAIN@KALEIDAHEALTH.ORG</t>
  </si>
  <si>
    <t>SLAUGHTER, STEPHANIE, MD</t>
  </si>
  <si>
    <t>E0153615</t>
  </si>
  <si>
    <t>SLAUGHTER STEPHANIE A MD</t>
  </si>
  <si>
    <t>(716) 568-2196</t>
  </si>
  <si>
    <t>SSLAUGHTER@KALEIDAHEALTH.ORG</t>
  </si>
  <si>
    <t>SLAUGHTER STEPHANIE DR.</t>
  </si>
  <si>
    <t>POLISOTO, THOMAS, MD</t>
  </si>
  <si>
    <t>E0192405</t>
  </si>
  <si>
    <t>POLISOTO THOMAS DANIEL MD</t>
  </si>
  <si>
    <t>TPOLISOTO@KALEIDAHEALTH.ORG</t>
  </si>
  <si>
    <t>POLISOTO THOMAS</t>
  </si>
  <si>
    <t>ERIE CO MED CENTER</t>
  </si>
  <si>
    <t>WILSON, MICHAEL, MD</t>
  </si>
  <si>
    <t>E0139712</t>
  </si>
  <si>
    <t>WILSON MICHAEL F MD</t>
  </si>
  <si>
    <t>(716) 631-0092</t>
  </si>
  <si>
    <t>MWILSON@KALEIDAHEALTH.ORG</t>
  </si>
  <si>
    <t>WILSON MICHAEL DR.</t>
  </si>
  <si>
    <t>MF HEALTH SYS-CARD</t>
  </si>
  <si>
    <t>SILLIMAN, CARRIE, NP</t>
  </si>
  <si>
    <t>E0050671</t>
  </si>
  <si>
    <t>SILLIMAN CARRIE G</t>
  </si>
  <si>
    <t>SILLIMAN, CARRIE, FNP</t>
  </si>
  <si>
    <t>CSILLIMAN@KALEIDAHEALTH.ORG</t>
  </si>
  <si>
    <t>SILLIMAN CARRIE</t>
  </si>
  <si>
    <t>STE 240</t>
  </si>
  <si>
    <t>SNITZER, JOEL, MD</t>
  </si>
  <si>
    <t>E0117012</t>
  </si>
  <si>
    <t>SNITZER JOEL A</t>
  </si>
  <si>
    <t>(716) 836-3300</t>
  </si>
  <si>
    <t>JSNITZER@KALEIDAHEALTH.ORG</t>
  </si>
  <si>
    <t>SNITZER JOEL DR.</t>
  </si>
  <si>
    <t>605 GROVER CLEVELAND HWY</t>
  </si>
  <si>
    <t>SUMMIT PEDIATRICS, P.C.</t>
  </si>
  <si>
    <t>E0183106</t>
  </si>
  <si>
    <t>SUMMIT PEDIATRICS P  C</t>
  </si>
  <si>
    <t>SHEIKH, TARIQ, MD</t>
  </si>
  <si>
    <t>E0043709</t>
  </si>
  <si>
    <t>SHEIKH TARIQ AZIZ MD</t>
  </si>
  <si>
    <t>SHEIKH TARIQ</t>
  </si>
  <si>
    <t>CANTALICIAN CTR FOR LEARN SMP</t>
  </si>
  <si>
    <t>E0082945</t>
  </si>
  <si>
    <t>KASHIN, JEFFREY, MD</t>
  </si>
  <si>
    <t>E0192164</t>
  </si>
  <si>
    <t>KASHIN JEFFREY D MD</t>
  </si>
  <si>
    <t>(716) 859-4795</t>
  </si>
  <si>
    <t>KASHINJ@SHSWNY.ORG</t>
  </si>
  <si>
    <t>KASHIN JEFFREY</t>
  </si>
  <si>
    <t>VONA, DAVID, DPM</t>
  </si>
  <si>
    <t>E0175054</t>
  </si>
  <si>
    <t>VONA DAVID PAUL DPM</t>
  </si>
  <si>
    <t>VONA DAVID DR.</t>
  </si>
  <si>
    <t>(716) 345-6690</t>
  </si>
  <si>
    <t>VONA DAVID PAUL</t>
  </si>
  <si>
    <t>12655 SENECA RD</t>
  </si>
  <si>
    <t>KHAN, ABDUR, MD</t>
  </si>
  <si>
    <t>E0072062</t>
  </si>
  <si>
    <t>KHAN ABDUR RAUF MD</t>
  </si>
  <si>
    <t>(716) 829-2846</t>
  </si>
  <si>
    <t>AKHAN@KALEIDAHEALTH.ORG</t>
  </si>
  <si>
    <t>KHAN ABDUR</t>
  </si>
  <si>
    <t>DELREGNO, PAULA, MD</t>
  </si>
  <si>
    <t>E0065790</t>
  </si>
  <si>
    <t>DEL REGNO PAULA A</t>
  </si>
  <si>
    <t>PDELREGNO@KALEIDAHEALTH.ORG</t>
  </si>
  <si>
    <t>DELREGNO PAULA</t>
  </si>
  <si>
    <t>RZEPKOWSKI, NEAL, MD</t>
  </si>
  <si>
    <t>E0227506</t>
  </si>
  <si>
    <t>RZEPKOWSKI NEAL RICHARD    MD</t>
  </si>
  <si>
    <t>(716) 665-0768</t>
  </si>
  <si>
    <t>RZEPKOWSKI NEAL DR.</t>
  </si>
  <si>
    <t>4 BUFFALO ST</t>
  </si>
  <si>
    <t>LILY DALE</t>
  </si>
  <si>
    <t>NASCA, PAUL, DPM</t>
  </si>
  <si>
    <t>E0215928</t>
  </si>
  <si>
    <t>NASCA PAUL C DPM</t>
  </si>
  <si>
    <t>(716) 683-3330</t>
  </si>
  <si>
    <t>PNASCA@KALEIDAHEALTH.ORG</t>
  </si>
  <si>
    <t>NASCA PAUL</t>
  </si>
  <si>
    <t>2562 WALDEN AVE STE  105</t>
  </si>
  <si>
    <t>AKERS, STACEY, MD</t>
  </si>
  <si>
    <t>E0336859</t>
  </si>
  <si>
    <t>AKERS STACEY NICOLE</t>
  </si>
  <si>
    <t>SAKERS@KALEIDAHEALTH.ORG</t>
  </si>
  <si>
    <t>AKERS STACEY</t>
  </si>
  <si>
    <t>OKEEFE, MARGARET, DDSMSD</t>
  </si>
  <si>
    <t>E0146848</t>
  </si>
  <si>
    <t>O'KEEFE MARGARET</t>
  </si>
  <si>
    <t>(716) 284-8477</t>
  </si>
  <si>
    <t>OKEEFE MARGARET DR.</t>
  </si>
  <si>
    <t>REDHEAD, ANTONIA, MD</t>
  </si>
  <si>
    <t>E0081379</t>
  </si>
  <si>
    <t>REDHEAD ANTONIA J MD</t>
  </si>
  <si>
    <t>AREDHEAD@KALEIDAHEALTH.ORG</t>
  </si>
  <si>
    <t>REDHEAD ANTONIA</t>
  </si>
  <si>
    <t>2589 BAILEY AVE</t>
  </si>
  <si>
    <t>WHITE, THOMAS, MD</t>
  </si>
  <si>
    <t>E0197158</t>
  </si>
  <si>
    <t>WHITE THOMAS GERARD        MD</t>
  </si>
  <si>
    <t>TWHITE3@KALEIDAHEALTH.ORG</t>
  </si>
  <si>
    <t>WHITE THOMAS DR.</t>
  </si>
  <si>
    <t>89 BRYANT STREET</t>
  </si>
  <si>
    <t>BOYD, BARRY, DMDMD</t>
  </si>
  <si>
    <t>E0129818</t>
  </si>
  <si>
    <t>BOYD BARRY CHARLES DMD</t>
  </si>
  <si>
    <t>BOYD, BARRY, DDS, MD</t>
  </si>
  <si>
    <t>(716) 829-2722</t>
  </si>
  <si>
    <t>BBOYD@KALEIDAHEALTH.ORG</t>
  </si>
  <si>
    <t>BOYD BARRY DR.</t>
  </si>
  <si>
    <t>BOYD BARRY CHARLES</t>
  </si>
  <si>
    <t>SUNYAB-STE 112</t>
  </si>
  <si>
    <t>GUPTA, SANJAY, MD</t>
  </si>
  <si>
    <t>E0142905</t>
  </si>
  <si>
    <t>GUPTA SANJAY MD</t>
  </si>
  <si>
    <t>SANJAY.GUPTA.DR@GMAIL.COM</t>
  </si>
  <si>
    <t>GUPTA SANJAY DR.</t>
  </si>
  <si>
    <t>2221 W STATE ST</t>
  </si>
  <si>
    <t>SCOTT, PATRICK, DDSMD</t>
  </si>
  <si>
    <t>E0097900</t>
  </si>
  <si>
    <t>SCOTT PATRICK V DDS</t>
  </si>
  <si>
    <t>SCOTT, PATRICK, DDS MD</t>
  </si>
  <si>
    <t>(716) 927-7175</t>
  </si>
  <si>
    <t>PSCOTT@KALEIDAHEALTH.ORG</t>
  </si>
  <si>
    <t>SCOTT PATRICK DR.</t>
  </si>
  <si>
    <t>SCOTT PATRICK VINCENT</t>
  </si>
  <si>
    <t>4010 SOUTHWESTERN BLVD</t>
  </si>
  <si>
    <t>NAUGHTON, BRUCE, MD</t>
  </si>
  <si>
    <t>E0152216</t>
  </si>
  <si>
    <t>NAUGHTON BRUCE J MD</t>
  </si>
  <si>
    <t>(716) 859-3876</t>
  </si>
  <si>
    <t>BNAUGHTON@KALEIDAHEALTH.ORG</t>
  </si>
  <si>
    <t>NAUGHTON BRUCE</t>
  </si>
  <si>
    <t>HEBERT, SUSANNE, NP</t>
  </si>
  <si>
    <t>E0084052</t>
  </si>
  <si>
    <t>HEBERT SUSANNE MARIE NP</t>
  </si>
  <si>
    <t>HEBERT, SUSANNE, FNP</t>
  </si>
  <si>
    <t>SHEBERT@KALEIDAHEALTH.ORG</t>
  </si>
  <si>
    <t>HEBERT SUSANNE</t>
  </si>
  <si>
    <t>HEBERT SUSANNE MARIE</t>
  </si>
  <si>
    <t>BEEECHWOOD CONT CARE</t>
  </si>
  <si>
    <t>KHAWAR, MUHAMMAD, MDFRCPC</t>
  </si>
  <si>
    <t>E0117902</t>
  </si>
  <si>
    <t>KHAWAR MUHAMMAD KHALID MD</t>
  </si>
  <si>
    <t>(716) 285-5776</t>
  </si>
  <si>
    <t>KHAWAR MUHAMMAD DR.</t>
  </si>
  <si>
    <t>817 MAIN ST</t>
  </si>
  <si>
    <t>WAZ, WAYNE, MD</t>
  </si>
  <si>
    <t>E0170721</t>
  </si>
  <si>
    <t>WAZ WAYNE R MD</t>
  </si>
  <si>
    <t>WAZ , WAYNE      , MD</t>
  </si>
  <si>
    <t>WWAZ@UPA.CHOB.EDU</t>
  </si>
  <si>
    <t>WAZ WAYNE DR.</t>
  </si>
  <si>
    <t>WATSON, ERIN, MD</t>
  </si>
  <si>
    <t>E0044301</t>
  </si>
  <si>
    <t>WATSON ERIN LYNN MD</t>
  </si>
  <si>
    <t>EWATSON2@KALEIDAHEALTH.ORG</t>
  </si>
  <si>
    <t>WATSON ERIN DR.</t>
  </si>
  <si>
    <t>CIECHOSKI, MARY, ANP</t>
  </si>
  <si>
    <t>E0049883</t>
  </si>
  <si>
    <t>CIECHOSKI MARY J</t>
  </si>
  <si>
    <t>MCIECHOSKI@KALEIDAHEALTH.ORG</t>
  </si>
  <si>
    <t>CIECHOSKI MARY MS.</t>
  </si>
  <si>
    <t>RALABATE, MONICA, RPAC</t>
  </si>
  <si>
    <t>E0065672</t>
  </si>
  <si>
    <t>RALABATE MONICA L</t>
  </si>
  <si>
    <t>RALABATE, MONICA, PA</t>
  </si>
  <si>
    <t>MRALABATE@KALEIDAHEALTH.ORG</t>
  </si>
  <si>
    <t>RALABATE MONICA MRS.</t>
  </si>
  <si>
    <t>CARLSON JR, RICHARD, MD</t>
  </si>
  <si>
    <t>E0177288</t>
  </si>
  <si>
    <t>CARLSON RICHARD A JR MD</t>
  </si>
  <si>
    <t>CARLSON, RICHARD, MD</t>
  </si>
  <si>
    <t>RCARLSON2@KALEIDAHEALTH.ORG</t>
  </si>
  <si>
    <t>CARLSON JR RICHARD DR.</t>
  </si>
  <si>
    <t>HAMPTON, WILLIAM, MD</t>
  </si>
  <si>
    <t>E0157929</t>
  </si>
  <si>
    <t>HAMPTON WILLIAM R MD</t>
  </si>
  <si>
    <t>WHAMPTON@KALEIDAHEALTH.ORG</t>
  </si>
  <si>
    <t>HAMPTON WILLIAM DR.</t>
  </si>
  <si>
    <t>325 ESSJAY RD STE 300</t>
  </si>
  <si>
    <t>LEBERER, JOSEPH, MD</t>
  </si>
  <si>
    <t>E0192293</t>
  </si>
  <si>
    <t>LEBERER JOSEPH P MD</t>
  </si>
  <si>
    <t>JLEBERER@KALEIDAHEALTH.ORG</t>
  </si>
  <si>
    <t>LEBERER JOSEPH DR.</t>
  </si>
  <si>
    <t>3140 SHERIDAN DR</t>
  </si>
  <si>
    <t>BALTI, MUBEENA, MD</t>
  </si>
  <si>
    <t>E0224579</t>
  </si>
  <si>
    <t>BALTI MUBEENA              MD</t>
  </si>
  <si>
    <t>(716) 836-8380</t>
  </si>
  <si>
    <t>MBALTI2@KALEIDAHEALTH.ORG</t>
  </si>
  <si>
    <t>BALTI MUBEENA MRS.</t>
  </si>
  <si>
    <t>CZAJKA, GREGORY, RPAC</t>
  </si>
  <si>
    <t>E0158713</t>
  </si>
  <si>
    <t>CZAJKA GREGORY ALLAN</t>
  </si>
  <si>
    <t>CZAJKA, GREGORY, PA</t>
  </si>
  <si>
    <t>GCZAJKA@KALEIDAHEALTH.ORG</t>
  </si>
  <si>
    <t>CZAJKA GREGORY</t>
  </si>
  <si>
    <t>STE 301</t>
  </si>
  <si>
    <t>POLLINA, JOHN, MD</t>
  </si>
  <si>
    <t>E0085875</t>
  </si>
  <si>
    <t>POLLINA JOHN MD</t>
  </si>
  <si>
    <t>JPOLLINA@KALEIDAHEALTH.ORG</t>
  </si>
  <si>
    <t>POLLINA JOHN</t>
  </si>
  <si>
    <t>KALEIDA</t>
  </si>
  <si>
    <t>LAPLANTE, BRIAN, PAC</t>
  </si>
  <si>
    <t>E0065705</t>
  </si>
  <si>
    <t>LAPLANTE BRIAN PATRICK RPA</t>
  </si>
  <si>
    <t>LAPLANTE, BRIAN, PA</t>
  </si>
  <si>
    <t>BLAPLANTE@KALEIDAHEALTH.ORG</t>
  </si>
  <si>
    <t>LAPLANTE BRIAN MR.</t>
  </si>
  <si>
    <t>ELLIS, NITZA, MD</t>
  </si>
  <si>
    <t>E0196909</t>
  </si>
  <si>
    <t>ELLIS NITZA F              MD</t>
  </si>
  <si>
    <t>NELLIS@KALEIDAHEALTH.ORG</t>
  </si>
  <si>
    <t>ELLIS NITZA DR.</t>
  </si>
  <si>
    <t>ELLIS NITZA FARHI</t>
  </si>
  <si>
    <t>1131 DELAWARE AVE</t>
  </si>
  <si>
    <t>ROWLES, CYNTHIA, FNP</t>
  </si>
  <si>
    <t>E0093944</t>
  </si>
  <si>
    <t>ROWLES CYNTHIA JEAN</t>
  </si>
  <si>
    <t>CROWLES@KALEIDAHEALTH.ORG</t>
  </si>
  <si>
    <t>ROWLES CYNTHIA</t>
  </si>
  <si>
    <t>PAUL, JAMES, DO</t>
  </si>
  <si>
    <t>E0230965</t>
  </si>
  <si>
    <t>PAUL JAMES JULIUS          MD</t>
  </si>
  <si>
    <t>(716) 881-6113</t>
  </si>
  <si>
    <t>JPAUL@KALEIDAHEALTH.ORG</t>
  </si>
  <si>
    <t>PAUL JAMES DR.</t>
  </si>
  <si>
    <t>BUFFALO GENERAL HOS</t>
  </si>
  <si>
    <t>KOZLOWSKI, SARAH,</t>
  </si>
  <si>
    <t>E0354107</t>
  </si>
  <si>
    <t>KOZLOWSKI SARAH JOSEPHINE</t>
  </si>
  <si>
    <t>KOZLOWSKI, SARAH, LPN</t>
  </si>
  <si>
    <t>KOZLOWSKIS@SHSWNY.ORG</t>
  </si>
  <si>
    <t>KOZLOWSKI SARAH</t>
  </si>
  <si>
    <t>PO BOX 631</t>
  </si>
  <si>
    <t>ABELES, JENNIFER, MD</t>
  </si>
  <si>
    <t>E0059100</t>
  </si>
  <si>
    <t>ABELES JENNIFER SUSAN MD</t>
  </si>
  <si>
    <t>ABELES, JENNIFER, DO</t>
  </si>
  <si>
    <t>JABELES@KALEIDAHEALTH.ORG</t>
  </si>
  <si>
    <t>ABELES JENNIFER DR.</t>
  </si>
  <si>
    <t>NYS ARC INC CATTARAUG HCBS 10</t>
  </si>
  <si>
    <t>E0306461</t>
  </si>
  <si>
    <t>1439 BUFFALO ST # VVF2239</t>
  </si>
  <si>
    <t>PEOPLE SERVICE TO THE HCBS 10</t>
  </si>
  <si>
    <t>E0036869</t>
  </si>
  <si>
    <t>1219 N FOREST RD # VVF2164</t>
  </si>
  <si>
    <t>MASCARO, FRANK,</t>
  </si>
  <si>
    <t>E0065397</t>
  </si>
  <si>
    <t>MASCARO FRANK J MD</t>
  </si>
  <si>
    <t>MASCARO FRANK</t>
  </si>
  <si>
    <t>2600 WILLIAM ST</t>
  </si>
  <si>
    <t>SCHAEFER, DANIEL, MD</t>
  </si>
  <si>
    <t>E0201552</t>
  </si>
  <si>
    <t>SCHAEFER DANIEL P          MD</t>
  </si>
  <si>
    <t>SCHAEFER, DANIEL, MD, FACS</t>
  </si>
  <si>
    <t>(716) 839-3535</t>
  </si>
  <si>
    <t>DSCHAEFER@KALEIDAHEALTH.ORG</t>
  </si>
  <si>
    <t>SCHAEFER DANIEL DR.</t>
  </si>
  <si>
    <t>4590 MAIN ST</t>
  </si>
  <si>
    <t>SZIMONISZ, SUSAN, MD</t>
  </si>
  <si>
    <t>E0091148</t>
  </si>
  <si>
    <t>SZIMONISZ SUSAN MARIE MD</t>
  </si>
  <si>
    <t>SETTEDUKE@AOL.COM</t>
  </si>
  <si>
    <t>SZIMONISZ SUSAN</t>
  </si>
  <si>
    <t>NORTON, NICOLE, BSCASAC</t>
  </si>
  <si>
    <t>NORTON,  AMANDA, PROGRAM DIRECTOR</t>
  </si>
  <si>
    <t>NORTON NICOLE MRS.</t>
  </si>
  <si>
    <t>JUAN SANTIAG</t>
  </si>
  <si>
    <t>MERRILL, CASSANDRA,</t>
  </si>
  <si>
    <t>E0371716</t>
  </si>
  <si>
    <t>MERRILL CASSANDRA L</t>
  </si>
  <si>
    <t>MERRILL, CASSANDRA, LCSW</t>
  </si>
  <si>
    <t>CMERRILL@CATSWNY.ORG</t>
  </si>
  <si>
    <t>MERRILL CASSANDRA</t>
  </si>
  <si>
    <t>KASUBA, KHRISTINA, MD</t>
  </si>
  <si>
    <t>E0340976</t>
  </si>
  <si>
    <t>KASUBA KHRISTINA</t>
  </si>
  <si>
    <t>KKASUBA@KALEIDAHEALTH.ORG</t>
  </si>
  <si>
    <t>4899 TRANSIT RD</t>
  </si>
  <si>
    <t>BART, JOSEPH, DO</t>
  </si>
  <si>
    <t>E0334800</t>
  </si>
  <si>
    <t>BART JOSEPH AARON</t>
  </si>
  <si>
    <t>JBART@KALEIDAHEALTH.ORG</t>
  </si>
  <si>
    <t>BART JOSEPH DR.</t>
  </si>
  <si>
    <t>OLIVEIRA, MARIA, MD</t>
  </si>
  <si>
    <t>E0334353</t>
  </si>
  <si>
    <t>OLIVEIRA MARIA LURDES</t>
  </si>
  <si>
    <t>(716) 783-3134</t>
  </si>
  <si>
    <t>MOLIVERIA@KALEIDAHEALTH.ORG</t>
  </si>
  <si>
    <t>OLIVEIRA MARIA DR.</t>
  </si>
  <si>
    <t>462 GRIDER ST STE 1168</t>
  </si>
  <si>
    <t>BLYMIRE, WILLIAM, MD</t>
  </si>
  <si>
    <t>E0310173</t>
  </si>
  <si>
    <t>BLYMIRE WILLIAM WARREN JR</t>
  </si>
  <si>
    <t>WBLYMIRE@KALEIDAHEALTH.ORG</t>
  </si>
  <si>
    <t>BLYMIRE WILLIAM DR.</t>
  </si>
  <si>
    <t>CROWLEY, KATHLEEN, FNP</t>
  </si>
  <si>
    <t>E0348103</t>
  </si>
  <si>
    <t>CROWLEY KATHLEEN</t>
  </si>
  <si>
    <t>KCROWLEY@KALEIDAHEALTH.ORG</t>
  </si>
  <si>
    <t>DAVIS, TAMMY,</t>
  </si>
  <si>
    <t>DAVIS, TAMMY, MHC</t>
  </si>
  <si>
    <t>DAVIST@SHSWNY.ORG</t>
  </si>
  <si>
    <t>DAVIS TAMMY</t>
  </si>
  <si>
    <t>27 FRANKLIN ST</t>
  </si>
  <si>
    <t>225 BENNETT ROAD OPERATING COMPANY LLC</t>
  </si>
  <si>
    <t>E0377903</t>
  </si>
  <si>
    <t>225 BENNETT ROAD OPERATING CO LLC</t>
  </si>
  <si>
    <t>SCOTT WEST</t>
  </si>
  <si>
    <t>SWEST@ELDERWOOD.COM</t>
  </si>
  <si>
    <t>MOSEY, NICOLE,</t>
  </si>
  <si>
    <t>MOSEY,  NICOLE, SUPERVISING SENIOR COUNSELOR</t>
  </si>
  <si>
    <t>MOSEY NICOLE</t>
  </si>
  <si>
    <t>6495 TRANSIT RD, SUITE 800</t>
  </si>
  <si>
    <t>BARBER, JOANNE, LMHC</t>
  </si>
  <si>
    <t>BARBER, JOANNE, CASAC</t>
  </si>
  <si>
    <t>BARBER JOANNE</t>
  </si>
  <si>
    <t>BELL, CHRISTIAN, LCSW</t>
  </si>
  <si>
    <t>E0381607</t>
  </si>
  <si>
    <t>BELL CHRISTIAN MARSHALL</t>
  </si>
  <si>
    <t>BELL,  CHRISTIAN, CLINICAL SUPERVISOR</t>
  </si>
  <si>
    <t>BELL CHRISTIAN MR.</t>
  </si>
  <si>
    <t>1750 PINE AVE</t>
  </si>
  <si>
    <t>VALVO, KRYSTAL, CASAC</t>
  </si>
  <si>
    <t>VALVOK@SHSWNY.ORG</t>
  </si>
  <si>
    <t>VALVO KRYSTAL MRS.</t>
  </si>
  <si>
    <t>CHAPPELL, LINDSEY, ANP</t>
  </si>
  <si>
    <t>E0345274</t>
  </si>
  <si>
    <t>CHAPPELL LINDSEY T</t>
  </si>
  <si>
    <t>LCHAPPELL@KALEIDAHEALTH.ORG</t>
  </si>
  <si>
    <t>CHAPPELL LINDSEY MRS.</t>
  </si>
  <si>
    <t>ONDRACEK, THEODORE, MD</t>
  </si>
  <si>
    <t>E0287156</t>
  </si>
  <si>
    <t>ONDRACEK THEODORE</t>
  </si>
  <si>
    <t>TONDRACEK@KALEIDAHEALTH.ORG</t>
  </si>
  <si>
    <t>207 COMMERCE DR</t>
  </si>
  <si>
    <t>SOH, ANDREW, MD</t>
  </si>
  <si>
    <t>E0178067</t>
  </si>
  <si>
    <t>SOH ANDREW YOUNG HOON MD</t>
  </si>
  <si>
    <t>(716) 871-0171</t>
  </si>
  <si>
    <t>ASOH@KALEIDAHEALTH.ORG</t>
  </si>
  <si>
    <t>SOH ANDREW</t>
  </si>
  <si>
    <t>DIBELLA, MICHAEL, MD</t>
  </si>
  <si>
    <t>E0111533</t>
  </si>
  <si>
    <t>DIBELLA MICHAEL DAVID P MD</t>
  </si>
  <si>
    <t>(716) 828-2577</t>
  </si>
  <si>
    <t>MDIBELLA@KALEIDAHEALTH.ORG</t>
  </si>
  <si>
    <t>DIBELLA MICHAEL</t>
  </si>
  <si>
    <t>ALFARO-FRANCO, CARINA, MSMDFACC</t>
  </si>
  <si>
    <t>E0080561</t>
  </si>
  <si>
    <t>ALFARO-FRANCO CARINO M</t>
  </si>
  <si>
    <t>ALFARO-FRANCO, CARINA, MD</t>
  </si>
  <si>
    <t>(315) 362-5129</t>
  </si>
  <si>
    <t>CALFARO-FRANCO@KALEIDAHEALTH.ORG</t>
  </si>
  <si>
    <t>ALFARO-FRANCO CARINA</t>
  </si>
  <si>
    <t>ALFARO-FRANCO CARINA M</t>
  </si>
  <si>
    <t>4221 MEDICAL CENTER DR</t>
  </si>
  <si>
    <t>FAYETTEVILLE</t>
  </si>
  <si>
    <t>VIGNA, FRANCO, MD</t>
  </si>
  <si>
    <t>E0037335</t>
  </si>
  <si>
    <t>VIGNA FRANCO E MD</t>
  </si>
  <si>
    <t>(716) 629-3338</t>
  </si>
  <si>
    <t>FVIGNA@KALEIDAHEALTH.ORG</t>
  </si>
  <si>
    <t>VIGNA FRANCO DR.</t>
  </si>
  <si>
    <t>FARGHALY, AYMAN, MD</t>
  </si>
  <si>
    <t>E0151944</t>
  </si>
  <si>
    <t>FARGHALY AYMAN A MD</t>
  </si>
  <si>
    <t>FARGHALY AYMAN DR.</t>
  </si>
  <si>
    <t>JOHNSON, RURIK,</t>
  </si>
  <si>
    <t>E0012424</t>
  </si>
  <si>
    <t>JOHNSON RURIK CARNAHAN MD</t>
  </si>
  <si>
    <t>JOHNSON, RURIK, MD</t>
  </si>
  <si>
    <t>RJOHNSON2@KALEIDAHEALTH.ORG</t>
  </si>
  <si>
    <t>JOHNSON RURIK DR.</t>
  </si>
  <si>
    <t>ERIE COUNTY HEALTH - EARLY INTERVENTION PROGRAM</t>
  </si>
  <si>
    <t>E0104802</t>
  </si>
  <si>
    <t>ERIE CNTY DEPT YOUTH SER  EI</t>
  </si>
  <si>
    <t>(716) 858-6161</t>
  </si>
  <si>
    <t>MCCOLGIN, STERLING, MD</t>
  </si>
  <si>
    <t>E0340916</t>
  </si>
  <si>
    <t>MCCOLGIN STERLING WAYNE</t>
  </si>
  <si>
    <t>(719) 365-5960</t>
  </si>
  <si>
    <t>SMCCOLGIN@KALEIDAHEALTH.ORG</t>
  </si>
  <si>
    <t>MCCOLGIN STERLING DR.</t>
  </si>
  <si>
    <t>NIGALYE, SANIL, DDSM</t>
  </si>
  <si>
    <t>E0011146</t>
  </si>
  <si>
    <t>NIGALYE SANIL BALKRISHNA  DDS</t>
  </si>
  <si>
    <t>NIGALYE, SANIL, DDS MD</t>
  </si>
  <si>
    <t>(716) 573-9543</t>
  </si>
  <si>
    <t>SNIGALYE@KALEIDAHEALTH.ORG</t>
  </si>
  <si>
    <t>NIGALYE SANIL DR.</t>
  </si>
  <si>
    <t>NIGALYE SANIL BALKRISHNA</t>
  </si>
  <si>
    <t>36 THOMAS INDIAN SCHOOL DRIVE</t>
  </si>
  <si>
    <t>CAMPAGNA, ANGELO, MD</t>
  </si>
  <si>
    <t>E0154568</t>
  </si>
  <si>
    <t>CAMPAGNA ANGELO JOSEPH MD</t>
  </si>
  <si>
    <t>ANGELO J. CAMPAGNA, MD</t>
  </si>
  <si>
    <t>(716) 433-1941</t>
  </si>
  <si>
    <t>CAMPAGNA ANGELO DR.</t>
  </si>
  <si>
    <t>EASTERN NIAG OB/GYN</t>
  </si>
  <si>
    <t>WLOCK, VICKI, NP</t>
  </si>
  <si>
    <t>E0047968</t>
  </si>
  <si>
    <t>WLOCK VICKI M</t>
  </si>
  <si>
    <t>VICKI WLOCK</t>
  </si>
  <si>
    <t>VWLOCK@VERIZON.NET</t>
  </si>
  <si>
    <t>WLOCK VICKI</t>
  </si>
  <si>
    <t>STE 304</t>
  </si>
  <si>
    <t>ALVAREZ, CARMEN, MD</t>
  </si>
  <si>
    <t>E0191234</t>
  </si>
  <si>
    <t>ALVAREZ CARMEN ADRIANA MD</t>
  </si>
  <si>
    <t>CALVAREZ@KALEIDAHEALTH.ORG</t>
  </si>
  <si>
    <t>ALVAREZ CARMEN</t>
  </si>
  <si>
    <t>NIAGARA FAMILY HEALT</t>
  </si>
  <si>
    <t>E0208573</t>
  </si>
  <si>
    <t>NIAGARA CNTY HLTH DEPT LTHHCP</t>
  </si>
  <si>
    <t>NIAGARA COUNTY DEPT OF HLTH NUR DIV</t>
  </si>
  <si>
    <t>BLACK, THOMAS, MD</t>
  </si>
  <si>
    <t>E0042417</t>
  </si>
  <si>
    <t>BLACK THOMAS ALAN MD</t>
  </si>
  <si>
    <t>BLACK , THOMAS    , MD</t>
  </si>
  <si>
    <t>TBLACK@UPA.CHOB.EDU</t>
  </si>
  <si>
    <t>BLACK THOMAS</t>
  </si>
  <si>
    <t>IBRAHIM, HELEN, DDS</t>
  </si>
  <si>
    <t>E0100474</t>
  </si>
  <si>
    <t>IBRAHIM HELEN N DDS</t>
  </si>
  <si>
    <t>IBRAHIM HELEN DR.</t>
  </si>
  <si>
    <t>5835 S TRANSIT RD</t>
  </si>
  <si>
    <t>KOMIN, MARIA, MD</t>
  </si>
  <si>
    <t>E0197488</t>
  </si>
  <si>
    <t>KOMIN MARIA J</t>
  </si>
  <si>
    <t>KOMIN MARIA DR.</t>
  </si>
  <si>
    <t>WOJCIK, THADDEUS, MD</t>
  </si>
  <si>
    <t>E0215791</t>
  </si>
  <si>
    <t>WOJCIK THADDEUS S          MD</t>
  </si>
  <si>
    <t>WOJCIK THADDEUS</t>
  </si>
  <si>
    <t>WOJCIK THADDEUS STEPHEN</t>
  </si>
  <si>
    <t>LAKE SHORE BEHAVIORAL HEALTH INC</t>
  </si>
  <si>
    <t>HOWARD HITZEL</t>
  </si>
  <si>
    <t>255 DELAWARE AVE</t>
  </si>
  <si>
    <t>BELL, SANDRA, FNPWHNP</t>
  </si>
  <si>
    <t>BELL, SANDRA, FNP</t>
  </si>
  <si>
    <t>(716) 675-7024</t>
  </si>
  <si>
    <t>SBELL@KALEIDAHEALTH.ORG</t>
  </si>
  <si>
    <t>BELL SANDRA MS.</t>
  </si>
  <si>
    <t>CHANDAN, KOMAL, MD</t>
  </si>
  <si>
    <t>E0162798</t>
  </si>
  <si>
    <t>CHANDAN KOMAL MD</t>
  </si>
  <si>
    <t>KOMAL CHANDAN, M.D.</t>
  </si>
  <si>
    <t>(716) 298-4050</t>
  </si>
  <si>
    <t>KCHANDANMO@ROADRUNNER.COM</t>
  </si>
  <si>
    <t>CHANDAN KOMAL DR.</t>
  </si>
  <si>
    <t>6934 WILLIAMS RD</t>
  </si>
  <si>
    <t>UNIVERSITY AT BUFFALO SURGEONS INC</t>
  </si>
  <si>
    <t>E0066862</t>
  </si>
  <si>
    <t>UNIVERSITY AT BUFFALO SURGEON</t>
  </si>
  <si>
    <t>BUFFALO PUBLIC SCHOOLS</t>
  </si>
  <si>
    <t>E0163552</t>
  </si>
  <si>
    <t>BUFFALO SCHOOL DISTRICT</t>
  </si>
  <si>
    <t>(716) 824-4734</t>
  </si>
  <si>
    <t>65 NIAGARA SQ RM 816</t>
  </si>
  <si>
    <t>WINIECKI, DENNIS, DPM</t>
  </si>
  <si>
    <t>E0237254</t>
  </si>
  <si>
    <t>WINIECKI DENNIS G DPM</t>
  </si>
  <si>
    <t>(716) 692-1451</t>
  </si>
  <si>
    <t>DWINIECKI@KALEIDAHEALTH.ORG</t>
  </si>
  <si>
    <t>WINIECKI DENNIS</t>
  </si>
  <si>
    <t>87 MEAD ST</t>
  </si>
  <si>
    <t>BREWER, JEFFREY, MD</t>
  </si>
  <si>
    <t>E0306054</t>
  </si>
  <si>
    <t>JEFFREY JAMES BREWER</t>
  </si>
  <si>
    <t>JBREWER3@KALEIDAHEALTH.ORG</t>
  </si>
  <si>
    <t>BREWER JEFFREY DR.</t>
  </si>
  <si>
    <t>BREWER JEFFREY JAMES</t>
  </si>
  <si>
    <t>BLUJUS, RENEE,</t>
  </si>
  <si>
    <t>BLUJUS, RENEE, LMSW</t>
  </si>
  <si>
    <t>BLUJUSR@SHSWNY.ORG</t>
  </si>
  <si>
    <t>BLUJUS RENEE</t>
  </si>
  <si>
    <t>KELLEY, SARA,</t>
  </si>
  <si>
    <t>KELLEY,  SARA, SENIOR COUNSELOR</t>
  </si>
  <si>
    <t>KELLEY SARA</t>
  </si>
  <si>
    <t>VOLANIS, GEORGINA,</t>
  </si>
  <si>
    <t>VOLANIS, GEORGINA, MHC</t>
  </si>
  <si>
    <t>VOLANISG@SHSWNY.ORG</t>
  </si>
  <si>
    <t>VOLANIS GEORGINA</t>
  </si>
  <si>
    <t>DEROSA DANIELA MS.</t>
  </si>
  <si>
    <t>E0329502</t>
  </si>
  <si>
    <t>DEROSA DANIELA</t>
  </si>
  <si>
    <t>485 TITUS AVE</t>
  </si>
  <si>
    <t>KOONS, JILL, PNP</t>
  </si>
  <si>
    <t>E0378384</t>
  </si>
  <si>
    <t>KOONS JILL A</t>
  </si>
  <si>
    <t>(716) 623-8050</t>
  </si>
  <si>
    <t>JKOONS@KALEIDAHEALTH.ORG</t>
  </si>
  <si>
    <t>KOONS JILL</t>
  </si>
  <si>
    <t>SALIS, ROBERTUS, MD</t>
  </si>
  <si>
    <t>E0315543</t>
  </si>
  <si>
    <t>SALIS ROBERTUS J</t>
  </si>
  <si>
    <t>SALIS ROBERTUS DR.</t>
  </si>
  <si>
    <t>MCCREE, MAXINE, RN</t>
  </si>
  <si>
    <t>MAXINE.MCCREE@OMH.NY.GOV</t>
  </si>
  <si>
    <t>MCCREE MAXINE MISS</t>
  </si>
  <si>
    <t>GALLUCCI, STEFAN, LMSW</t>
  </si>
  <si>
    <t>GALLUCCI,  STEFAN, SR COUNSELOR LICENSED</t>
  </si>
  <si>
    <t>GALLUCCI STEFAN</t>
  </si>
  <si>
    <t>MARZULLO, SHANNON, ANP</t>
  </si>
  <si>
    <t>E0350159</t>
  </si>
  <si>
    <t>MARZULLO SHANNON DALE</t>
  </si>
  <si>
    <t>SMARZULLO@KALEIDAHEALTH.ORG</t>
  </si>
  <si>
    <t>MARZULLO SHANNON MRS.</t>
  </si>
  <si>
    <t>SALAMONE-BURNETT, MIRI,</t>
  </si>
  <si>
    <t>SALAMON-BURNETT, MIRI, LMSW</t>
  </si>
  <si>
    <t>MBURNETT@CATSWNY.ORG</t>
  </si>
  <si>
    <t>SALAMONE-BURNETT MIRI</t>
  </si>
  <si>
    <t>ISLAM, ABUL, MD</t>
  </si>
  <si>
    <t>E0119935</t>
  </si>
  <si>
    <t>ISLAM ABUL MOHAMMAD  MD</t>
  </si>
  <si>
    <t>(716) 883-8052</t>
  </si>
  <si>
    <t>AISLAM@KALEIDAHEALTH.ORG</t>
  </si>
  <si>
    <t>ISLAM ABUL</t>
  </si>
  <si>
    <t>KRAUSE, RICHARD, MD</t>
  </si>
  <si>
    <t>E0183285</t>
  </si>
  <si>
    <t>KRAUSE RICHARD S MD</t>
  </si>
  <si>
    <t>RKRAUSE@KALEIDAHEALTH.ORG</t>
  </si>
  <si>
    <t>KRAUSE RICHARD</t>
  </si>
  <si>
    <t>BRAUN, AMY, MD</t>
  </si>
  <si>
    <t>E0041100</t>
  </si>
  <si>
    <t>BRAUN AMY E MD</t>
  </si>
  <si>
    <t>ABRAUN@KALEIDAHEALTH.ORG</t>
  </si>
  <si>
    <t>BRAUN AMY DR.</t>
  </si>
  <si>
    <t>WARRINER, WALTER, NPP</t>
  </si>
  <si>
    <t>E0306579</t>
  </si>
  <si>
    <t>WARRINER WALTER H</t>
  </si>
  <si>
    <t>WARRINER WALTER MR.</t>
  </si>
  <si>
    <t>(716) 358-3636</t>
  </si>
  <si>
    <t>560 W 3RD ST</t>
  </si>
  <si>
    <t>GATEWOOD, ROBERT, MD</t>
  </si>
  <si>
    <t>E0233684</t>
  </si>
  <si>
    <t>GATEWOOD ROBERT P JR       MD</t>
  </si>
  <si>
    <t>RGATEWOOD@KALEIDAHEALTH.ORG</t>
  </si>
  <si>
    <t>GATEWOOD ROBERT</t>
  </si>
  <si>
    <t>BUFFALO CARDIO ASSOC</t>
  </si>
  <si>
    <t>ACKERMAN, CONSTANCE,</t>
  </si>
  <si>
    <t>E0126715</t>
  </si>
  <si>
    <t>ACKERMAN CONSTANCE DIANE CSW</t>
  </si>
  <si>
    <t>ACKERMAN, CONSTANCE, LCSW-R</t>
  </si>
  <si>
    <t>CONNIEA@@FSCR.MYGBIZ.COM</t>
  </si>
  <si>
    <t>ACKERMAN CONSTANCE</t>
  </si>
  <si>
    <t>ACKERMAN CONSTANCE DIANE LCSW</t>
  </si>
  <si>
    <t>2527 ROUTE 394</t>
  </si>
  <si>
    <t>STEAMBURG</t>
  </si>
  <si>
    <t>COLLURE, DON, MD</t>
  </si>
  <si>
    <t>E0236354</t>
  </si>
  <si>
    <t>COLLURE DON W D MD</t>
  </si>
  <si>
    <t>(719) 898-3000</t>
  </si>
  <si>
    <t>COLLURE DON</t>
  </si>
  <si>
    <t>HEIDELBERGER, EDWIN, MDPHD</t>
  </si>
  <si>
    <t>E0154103</t>
  </si>
  <si>
    <t>HEIDELBERGER EDWIN MD</t>
  </si>
  <si>
    <t>HEIDELBERGER EDWIN DR.</t>
  </si>
  <si>
    <t>15 COMMERCE DR</t>
  </si>
  <si>
    <t>MANNONE, ANTONINO, MD</t>
  </si>
  <si>
    <t>E0209541</t>
  </si>
  <si>
    <t>MANNONE ANTONINO           MD</t>
  </si>
  <si>
    <t>AMANNONE@KALEIDAHEALTH.ORG</t>
  </si>
  <si>
    <t>MANNONE ANTONINO DR.</t>
  </si>
  <si>
    <t>SWAIN, DEBORAH, PA</t>
  </si>
  <si>
    <t>E0089975</t>
  </si>
  <si>
    <t>SWAIN DEBORAH ROSE</t>
  </si>
  <si>
    <t>DSWAIN@KALEIDAHEALTH.ORG</t>
  </si>
  <si>
    <t>SWAIN DEBORAH</t>
  </si>
  <si>
    <t>MYERS, DAVID, MD</t>
  </si>
  <si>
    <t>E0232236</t>
  </si>
  <si>
    <t>MYERS DAVID E              MD</t>
  </si>
  <si>
    <t>(716) 887-4690</t>
  </si>
  <si>
    <t>DMYERS@KALEIDAHEALTH.ORG</t>
  </si>
  <si>
    <t>MYERS DAVID</t>
  </si>
  <si>
    <t>353 KENMORE AVE</t>
  </si>
  <si>
    <t>GMEREK, LORI, RPAC</t>
  </si>
  <si>
    <t>E0057245</t>
  </si>
  <si>
    <t>ANKEN LORI A</t>
  </si>
  <si>
    <t>GMEREK, LORI, PA</t>
  </si>
  <si>
    <t>LGMEREK@KALEIDAHEALTH.ORG</t>
  </si>
  <si>
    <t>GMEREK LORI</t>
  </si>
  <si>
    <t>GMEREK LORI ANN</t>
  </si>
  <si>
    <t>BREWER, JOHN, MD</t>
  </si>
  <si>
    <t>E0155486</t>
  </si>
  <si>
    <t>BREWER JOHN EDWARD MD</t>
  </si>
  <si>
    <t>(716) 859-4110</t>
  </si>
  <si>
    <t>BREWER JOHN</t>
  </si>
  <si>
    <t>RYMARCZYK, CHERYL, NURSEPRAC</t>
  </si>
  <si>
    <t>E0049668</t>
  </si>
  <si>
    <t>RYMARCZYK CHERYL L</t>
  </si>
  <si>
    <t>RYMARCZYK, CHERYL, FNP</t>
  </si>
  <si>
    <t>CRYMARCZYK@KALEIDAHEALTH.ORG</t>
  </si>
  <si>
    <t>RYMARCZYK CHERYL MRS.</t>
  </si>
  <si>
    <t>RIGAN, DAVID, MD</t>
  </si>
  <si>
    <t>E0193904</t>
  </si>
  <si>
    <t>RIGAN DAVID PAUL MD</t>
  </si>
  <si>
    <t>DRIGAN@KALEIDAHEALTH.ORG</t>
  </si>
  <si>
    <t>RIGAN DAVID</t>
  </si>
  <si>
    <t>DEVINE, DEBORA, NP</t>
  </si>
  <si>
    <t>E0312080</t>
  </si>
  <si>
    <t>DEVINE DEBORA ANN</t>
  </si>
  <si>
    <t>DEVINE, DEBORA, WNP</t>
  </si>
  <si>
    <t>(716) 743-9355</t>
  </si>
  <si>
    <t>DDEVINE@KALEIDAHEALTH.ORG</t>
  </si>
  <si>
    <t>DEVINE DEBORA MRS.</t>
  </si>
  <si>
    <t>PATINO, ERICA, NURSEPRAC</t>
  </si>
  <si>
    <t>E0065664</t>
  </si>
  <si>
    <t>PATINO ERICA ANN J</t>
  </si>
  <si>
    <t>PATINO, ERICA ANN, ANP</t>
  </si>
  <si>
    <t>EPATINO@KALEIDAHEALTH.ORG</t>
  </si>
  <si>
    <t>PATINO ERICA</t>
  </si>
  <si>
    <t>BUFFALO MED GRP</t>
  </si>
  <si>
    <t>BRAR, MANDEEP, MD</t>
  </si>
  <si>
    <t>E0168601</t>
  </si>
  <si>
    <t>BRAR MANDEEP K MD</t>
  </si>
  <si>
    <t>MBRAR@KALEIDAHEALTH.ORG</t>
  </si>
  <si>
    <t>BRAR MANDEEP DR.</t>
  </si>
  <si>
    <t>VASQUEZ, MELISSA, CRNA</t>
  </si>
  <si>
    <t>MVASQUEZ2@KALEIDAHEALTH.ORG</t>
  </si>
  <si>
    <t>VASQUEZ MELISSA</t>
  </si>
  <si>
    <t>219 BRYANT STREET, CGF ANESTHESIA ASSOCIATES PC</t>
  </si>
  <si>
    <t>KALRA, TEJINDER, MD</t>
  </si>
  <si>
    <t>E0139401</t>
  </si>
  <si>
    <t>KALRA TEJINDER MD</t>
  </si>
  <si>
    <t>(716) 892-9678</t>
  </si>
  <si>
    <t>TKALRA@KALEIDAHEALTH.ORG</t>
  </si>
  <si>
    <t>KALRA TEJINDER DR.</t>
  </si>
  <si>
    <t>HARTRICH, WILLIAM, MD</t>
  </si>
  <si>
    <t>E0200248</t>
  </si>
  <si>
    <t>HARTRICH WILLIAM M         MD</t>
  </si>
  <si>
    <t>(716) 634-5410</t>
  </si>
  <si>
    <t>WHARTRICH@KALEIDAHEALTH.ORG</t>
  </si>
  <si>
    <t>HARTRICH WILLIAM DR.</t>
  </si>
  <si>
    <t>FALLAVOLLITA, JAMES, MD</t>
  </si>
  <si>
    <t>E0175675</t>
  </si>
  <si>
    <t>FALLAVOLLITA JAMES  MD</t>
  </si>
  <si>
    <t>(716) 829-2667</t>
  </si>
  <si>
    <t>JFALLAVOLLITA@KALEIDAHEALTH.ORG</t>
  </si>
  <si>
    <t>FALLAVOLLITA JAMES</t>
  </si>
  <si>
    <t>CAPACCIO, JANA,</t>
  </si>
  <si>
    <t>CAPACCIO,  JANA, COORDINATOR - QA</t>
  </si>
  <si>
    <t>CAPACCIO JANA</t>
  </si>
  <si>
    <t>MCDONOUGH, THERESA, NURSEPRAC</t>
  </si>
  <si>
    <t>E0321943</t>
  </si>
  <si>
    <t>MCDONOUGH THERESA</t>
  </si>
  <si>
    <t>MCDONOUGH, THERESA, FNP</t>
  </si>
  <si>
    <t>TMCDONOUGH2@KALEIDAHEALTH.ORG</t>
  </si>
  <si>
    <t>MCDONOUGH THERESA MRS.</t>
  </si>
  <si>
    <t>MCDONOUGH THERESA ANNE</t>
  </si>
  <si>
    <t>KOHLI, NEETA, ANP</t>
  </si>
  <si>
    <t>E0426184</t>
  </si>
  <si>
    <t>KOHLI NEETA</t>
  </si>
  <si>
    <t>NKOHLI@KALEIDAHEALTH.ORG</t>
  </si>
  <si>
    <t>KOHLI NEETA MRS.</t>
  </si>
  <si>
    <t>CAMMARATA, MICHAEL,</t>
  </si>
  <si>
    <t>CAMMARATA, MICHAEL, MHC-P</t>
  </si>
  <si>
    <t>CAMMARATAM@SHSWNY.ORG</t>
  </si>
  <si>
    <t>CAMMARATA MICHAEL</t>
  </si>
  <si>
    <t>PALMA, ALESSANDRA, MD</t>
  </si>
  <si>
    <t>E0122901</t>
  </si>
  <si>
    <t>PALMA ALESSANDRA MULLE MD</t>
  </si>
  <si>
    <t>APALMA@KALEIDAHEALTH.ORG</t>
  </si>
  <si>
    <t>PALMA ALESSANDRA DR.</t>
  </si>
  <si>
    <t>SCHRECK, FRANK, MD</t>
  </si>
  <si>
    <t>E0224036</t>
  </si>
  <si>
    <t>SCHRECK FRANK THOMAS       MD</t>
  </si>
  <si>
    <t>FSCHRECK@KALEIDAHEALTH.ORG</t>
  </si>
  <si>
    <t>SCHRECK FRANK</t>
  </si>
  <si>
    <t>STE A</t>
  </si>
  <si>
    <t>SHETH, GAURANG, MD</t>
  </si>
  <si>
    <t>E0223476</t>
  </si>
  <si>
    <t>SHETH GAURANG S MD</t>
  </si>
  <si>
    <t>(716) 832-0618</t>
  </si>
  <si>
    <t>GSHETH@KALEIDAHEALTH.ORG</t>
  </si>
  <si>
    <t>SHETH GAURANG</t>
  </si>
  <si>
    <t>TENDER LOVING CARE HEALTH CARE SERVICES OF ERIE NIAGARA, LLC</t>
  </si>
  <si>
    <t>E0302600</t>
  </si>
  <si>
    <t>TLCHCS OF ERIE NIAGARA LLC</t>
  </si>
  <si>
    <t>JACOB WILKINS, RN, DIRECTOR OF OPERATIONS</t>
  </si>
  <si>
    <t>(225) 292-2031</t>
  </si>
  <si>
    <t>JACOB.WILKINS@AMEDISYS.COM</t>
  </si>
  <si>
    <t>1127 WEHRLE DR SUITE 50</t>
  </si>
  <si>
    <t>HEALY, WILLIAM, MD</t>
  </si>
  <si>
    <t>E0190806</t>
  </si>
  <si>
    <t>HEALY WILLIAM MICHAEL MD</t>
  </si>
  <si>
    <t>(716) 204-5933</t>
  </si>
  <si>
    <t>WHEALY@KALEIDAHEALTH.ORG</t>
  </si>
  <si>
    <t>HEALY WILLIAM MR.</t>
  </si>
  <si>
    <t>HEALY WILLIAM MICHAEL</t>
  </si>
  <si>
    <t>WEPPNER, DENNIS, MD</t>
  </si>
  <si>
    <t>E0171493</t>
  </si>
  <si>
    <t>WEPPNER DENNIS M MD</t>
  </si>
  <si>
    <t>DWEPPNER@KALEIDAHEALTH.ORG</t>
  </si>
  <si>
    <t>WEPPNER DENNIS</t>
  </si>
  <si>
    <t>WEPPNER DENNIS MICHAEL</t>
  </si>
  <si>
    <t>COLLINS, RICHARD, MD</t>
  </si>
  <si>
    <t>E0201044</t>
  </si>
  <si>
    <t>COLLINS RICHARD L          MD</t>
  </si>
  <si>
    <t>RCOLLINS3@KALEIDAHEALTH.ORG</t>
  </si>
  <si>
    <t>COLLINS RICHARD DR.</t>
  </si>
  <si>
    <t>120 GARDENVILLE PKWY W</t>
  </si>
  <si>
    <t>SHEA, KEVIN, MD</t>
  </si>
  <si>
    <t>E0103025</t>
  </si>
  <si>
    <t>SHEA KEVIN MD</t>
  </si>
  <si>
    <t>KSHEA@KALEIDAHEALTH.ORG</t>
  </si>
  <si>
    <t>SHEA KEVIN DR.</t>
  </si>
  <si>
    <t>KOZIELSKI, RAFAL, MD</t>
  </si>
  <si>
    <t>E0289220</t>
  </si>
  <si>
    <t>KOZIELSKI RAFAL</t>
  </si>
  <si>
    <t>RKOZIELSKI@KALEIDAHEALTH.ORG</t>
  </si>
  <si>
    <t>RIVERA, LISA, FNP</t>
  </si>
  <si>
    <t>LRIVERA2@KALEIDAHEALTH.ORG</t>
  </si>
  <si>
    <t>RIVERA LISA</t>
  </si>
  <si>
    <t>219 BRYANT ST, TANNER 9</t>
  </si>
  <si>
    <t>STANKO, WESLEY,</t>
  </si>
  <si>
    <t>E0354323</t>
  </si>
  <si>
    <t>STANKO WESLEY CAROL</t>
  </si>
  <si>
    <t>STANKO, WESLEY, LPN</t>
  </si>
  <si>
    <t>STANKOW@SHSWNY.ORG</t>
  </si>
  <si>
    <t>SHEFFIELD WESLEY</t>
  </si>
  <si>
    <t>SPRINGER, CHRISTOPHER, MD</t>
  </si>
  <si>
    <t>E0083449</t>
  </si>
  <si>
    <t>SPRINGER CHRISTOPHER R MD</t>
  </si>
  <si>
    <t>CSPRINGER@KALEIDAHEALTH.ORG</t>
  </si>
  <si>
    <t>SPRINGER CHRISTOPHER DR.</t>
  </si>
  <si>
    <t>SPRINGER CHRISTOPHER RONALD</t>
  </si>
  <si>
    <t>SALVAMOSER, KRISTEN, RPA</t>
  </si>
  <si>
    <t>E0057103</t>
  </si>
  <si>
    <t>NIENHAUS MARY K</t>
  </si>
  <si>
    <t>SALVAMOSER, KRISTEN, PA-C</t>
  </si>
  <si>
    <t>KSALVAMOSER@KALEIDAHEALTH.ORG</t>
  </si>
  <si>
    <t>SALVAMOSER KRISTEN MRS.</t>
  </si>
  <si>
    <t>SALVAMOSER KRISTEN MARY</t>
  </si>
  <si>
    <t>DYSTER, MELVIN, MD</t>
  </si>
  <si>
    <t>E0239359</t>
  </si>
  <si>
    <t>DYSTER MELVIN B            MD</t>
  </si>
  <si>
    <t>DYSTER MELVIN DR.</t>
  </si>
  <si>
    <t>DYSTER MELVIN B</t>
  </si>
  <si>
    <t>NICKOLOVA, MARIA, MD</t>
  </si>
  <si>
    <t>E0186223</t>
  </si>
  <si>
    <t>NICKOLOVA MARIA MD</t>
  </si>
  <si>
    <t>MNICKOLOVA@KALEIDAHEALTH.ORG</t>
  </si>
  <si>
    <t>NICKOLOVA MARIA</t>
  </si>
  <si>
    <t>MED CTR PSYCH ASSOC</t>
  </si>
  <si>
    <t>CUMELLA, JAMES, MD</t>
  </si>
  <si>
    <t>E0216429</t>
  </si>
  <si>
    <t>CUMELLA JAMES C MD</t>
  </si>
  <si>
    <t>(716) 633-5277</t>
  </si>
  <si>
    <t>JCUMELLA@KALEIDAHEALTH.ORG</t>
  </si>
  <si>
    <t>CUMELLA JAMES DR.</t>
  </si>
  <si>
    <t>CUMELLA JAMES CHARLES</t>
  </si>
  <si>
    <t>333 INTERNATIONAL DR STE B1</t>
  </si>
  <si>
    <t>GELIA, MAURICE, DPM</t>
  </si>
  <si>
    <t>E0188560</t>
  </si>
  <si>
    <t>GELIA MAURICE M MD</t>
  </si>
  <si>
    <t>(716) 743-2000</t>
  </si>
  <si>
    <t>MGELIA@KALEIDAHEALTH.ORG</t>
  </si>
  <si>
    <t>GELIA MAURICE</t>
  </si>
  <si>
    <t>1292 COLVIN BLVD</t>
  </si>
  <si>
    <t>HEARY, BLANKA, RPAC</t>
  </si>
  <si>
    <t>E0071587</t>
  </si>
  <si>
    <t>HEARY BLANKA RPA</t>
  </si>
  <si>
    <t>HEARY, BLANKA, PA</t>
  </si>
  <si>
    <t>BHEARY@KALEIDAHEALTH.ORG</t>
  </si>
  <si>
    <t>HEARY BLANKA</t>
  </si>
  <si>
    <t>LAFTAVI, MARK, MD</t>
  </si>
  <si>
    <t>E0083839</t>
  </si>
  <si>
    <t>LAFTAVI MARK REZA MD</t>
  </si>
  <si>
    <t>MLAFTAVI@KALEIDAHEALTH.ORG</t>
  </si>
  <si>
    <t>LAFTAVI MARK</t>
  </si>
  <si>
    <t>WIRTH, PAUL, MD</t>
  </si>
  <si>
    <t>E0151956</t>
  </si>
  <si>
    <t>WIRTH PAUL B MD</t>
  </si>
  <si>
    <t>PWIRTH@KALEIDAHEALTH.ORG</t>
  </si>
  <si>
    <t>WIRTH PAUL DR.</t>
  </si>
  <si>
    <t>BOGNER, THOMAS, MD</t>
  </si>
  <si>
    <t>E0158735</t>
  </si>
  <si>
    <t>BOGNER THOMAS BERNHARD MD</t>
  </si>
  <si>
    <t>(716) 564-1111</t>
  </si>
  <si>
    <t>BOGNER THOMAS DR.</t>
  </si>
  <si>
    <t>UNIV MEDICAL PRAC</t>
  </si>
  <si>
    <t>LYON, NANCY, PNP</t>
  </si>
  <si>
    <t>E0022478</t>
  </si>
  <si>
    <t>LYON NANCY RITH</t>
  </si>
  <si>
    <t>(716) 683-4782</t>
  </si>
  <si>
    <t>NLYON@KALEIDAHEALTH.ORG</t>
  </si>
  <si>
    <t>LYON NANCY MS.</t>
  </si>
  <si>
    <t>PIERCE, NATALIE, PA</t>
  </si>
  <si>
    <t>E0084718</t>
  </si>
  <si>
    <t>PIERCE NATALIE NICOLE PA</t>
  </si>
  <si>
    <t>PIERCE, NATALIE,</t>
  </si>
  <si>
    <t>PIERCE NATALIE MRS.</t>
  </si>
  <si>
    <t>WESTFIELD FAM PHYS</t>
  </si>
  <si>
    <t>BROCTON</t>
  </si>
  <si>
    <t>STRONG, BENJAMIN, MD</t>
  </si>
  <si>
    <t>E0009996</t>
  </si>
  <si>
    <t>STRONG BENJAMIN WAITE MD</t>
  </si>
  <si>
    <t>BSTRONG@KALEIDAHEALTH.ORG</t>
  </si>
  <si>
    <t>STRONG BENJAMIN DR.</t>
  </si>
  <si>
    <t>MELOTTI, MICHELLE, MD</t>
  </si>
  <si>
    <t>E0031701</t>
  </si>
  <si>
    <t>MELOTTI MICHELLE KAREN MD</t>
  </si>
  <si>
    <t>MMELOTTI@KALEIDAHEALTH.ORG</t>
  </si>
  <si>
    <t>MELOTTI MICHELLE DR.</t>
  </si>
  <si>
    <t>PATEL, ARUN, MD</t>
  </si>
  <si>
    <t>E0218563</t>
  </si>
  <si>
    <t>PATEL ARUN P</t>
  </si>
  <si>
    <t>PATEL ARUN</t>
  </si>
  <si>
    <t>PATEL ARUN PARMANAND</t>
  </si>
  <si>
    <t>449 BROAD ST</t>
  </si>
  <si>
    <t>COZZA, THOMAS, MD</t>
  </si>
  <si>
    <t>E0235324</t>
  </si>
  <si>
    <t>COZZA THOMAS F             MD</t>
  </si>
  <si>
    <t>TCOZZA@KALEIDAHEALTH.ORG</t>
  </si>
  <si>
    <t>COZZA THOMAS DR.</t>
  </si>
  <si>
    <t>COZZA THOMAS F</t>
  </si>
  <si>
    <t>PHADKE, KISHOR, MD</t>
  </si>
  <si>
    <t>E0145659</t>
  </si>
  <si>
    <t>PHADKE KISHOR V MD</t>
  </si>
  <si>
    <t>KPHADKE@KALEIDAHEALTH.ORG</t>
  </si>
  <si>
    <t>PHADKE KISHOR DR.</t>
  </si>
  <si>
    <t>BUFFALO CARDIO</t>
  </si>
  <si>
    <t>OCONNOR, TERENCE, MD</t>
  </si>
  <si>
    <t>E0171580</t>
  </si>
  <si>
    <t>OCONNOR TERENCE P MD</t>
  </si>
  <si>
    <t>O'CONNOR, TERENCE, MD</t>
  </si>
  <si>
    <t>TO'CONNOR@KALEIDAHEALTH.ORG</t>
  </si>
  <si>
    <t>OCONNOR TERENCE</t>
  </si>
  <si>
    <t>TOUFEXIS, GEORGE, MD</t>
  </si>
  <si>
    <t>E0229979</t>
  </si>
  <si>
    <t>TOUFEXIS GEORGE            MD</t>
  </si>
  <si>
    <t>GTOUFEXIS@KALEIDAHEALTH.ORG</t>
  </si>
  <si>
    <t>TOUFEXIS GEORGE</t>
  </si>
  <si>
    <t>99 TIMBERLANE DR</t>
  </si>
  <si>
    <t>HOJNACKI, DAVID, MD</t>
  </si>
  <si>
    <t>E0002763</t>
  </si>
  <si>
    <t>HOJNACKI DAVID</t>
  </si>
  <si>
    <t>(716) 859-7051</t>
  </si>
  <si>
    <t>DHOJNACKI@KALEIDAHEALTH.ORG</t>
  </si>
  <si>
    <t>HOJNACKI DAVID W MD</t>
  </si>
  <si>
    <t>PERRY, JESSLYN, MD</t>
  </si>
  <si>
    <t>E0095285</t>
  </si>
  <si>
    <t>PERRY JESSLYN LOUISE MD</t>
  </si>
  <si>
    <t>(716) 882-1200</t>
  </si>
  <si>
    <t>PERRY JESSLYN DR.</t>
  </si>
  <si>
    <t>WEN, HONG YU, MD</t>
  </si>
  <si>
    <t>E0072781</t>
  </si>
  <si>
    <t>WEN HONGYU</t>
  </si>
  <si>
    <t>WEN, HONGYU, MD</t>
  </si>
  <si>
    <t>HWEN@KALEIDAHEALTH.ORG</t>
  </si>
  <si>
    <t>WEN HONG YU</t>
  </si>
  <si>
    <t>WEN HONGYU MD</t>
  </si>
  <si>
    <t>RUGGIERO, KATHLEEN,</t>
  </si>
  <si>
    <t>E0022482</t>
  </si>
  <si>
    <t>RUGGIERO KATHLEEN A NP</t>
  </si>
  <si>
    <t>RUGGIERO, KATHLEEN, FNP</t>
  </si>
  <si>
    <t>KRUGGIERO@KALEIDAHEALTH.ORG</t>
  </si>
  <si>
    <t>RUGGIERO KATHLEEN</t>
  </si>
  <si>
    <t>BANIFATEMI, REZA, MD</t>
  </si>
  <si>
    <t>E0326436</t>
  </si>
  <si>
    <t>BANIFATEMI REZA</t>
  </si>
  <si>
    <t>RBANIFATEMI@KALEIDAHEALTH.ORG</t>
  </si>
  <si>
    <t>CASEY, MARTIN, MD</t>
  </si>
  <si>
    <t>E0164052</t>
  </si>
  <si>
    <t>CASEY MARTIN A  MD</t>
  </si>
  <si>
    <t>(716) 675-7693</t>
  </si>
  <si>
    <t>CASEY MARTIN</t>
  </si>
  <si>
    <t>151 ELMVIEW AVE</t>
  </si>
  <si>
    <t>MILETICH, ROBERT, MD</t>
  </si>
  <si>
    <t>E0146870</t>
  </si>
  <si>
    <t>MILETICH ROBERT S MD</t>
  </si>
  <si>
    <t>(716) 834-8194</t>
  </si>
  <si>
    <t>RMILETICH@KALEIDAHEALTH.ORG</t>
  </si>
  <si>
    <t>MILETICH ROBERT</t>
  </si>
  <si>
    <t>RYKERT-WOLF, MARY, MD</t>
  </si>
  <si>
    <t>E0095348</t>
  </si>
  <si>
    <t>RYKERT-WOLF MARY MD</t>
  </si>
  <si>
    <t>RYKERT-WOLF MARY</t>
  </si>
  <si>
    <t>SOUTHTOWNS MEDICAL PRACTICE</t>
  </si>
  <si>
    <t>RYKERT-WOLF MARY ANN</t>
  </si>
  <si>
    <t>LAKE SHORE FAM MED</t>
  </si>
  <si>
    <t>BAUM, PHILLIP, MD</t>
  </si>
  <si>
    <t>E0013842</t>
  </si>
  <si>
    <t>BAUM PHILLIP ADAM MD</t>
  </si>
  <si>
    <t>PBAUM@KALEIDAHEALTH.ORG</t>
  </si>
  <si>
    <t>BAUM PHILLIP</t>
  </si>
  <si>
    <t>HOURIHANE, JOHN, MD</t>
  </si>
  <si>
    <t>E0124731</t>
  </si>
  <si>
    <t>HOURIHANE JOHN MAURICE MD</t>
  </si>
  <si>
    <t>JHOURIHANE@KALEIDAHEALTH.ORG</t>
  </si>
  <si>
    <t>HOURIHANE JOHN</t>
  </si>
  <si>
    <t>BECKMAN, KEVIN, LMHC</t>
  </si>
  <si>
    <t>BECKMAN, KEVIN, CASAC-T</t>
  </si>
  <si>
    <t>BECKMANK@SHSWNY.ORG</t>
  </si>
  <si>
    <t>BECKMAN KEVIN</t>
  </si>
  <si>
    <t>MASTRANDREA, LUCY, MDPH</t>
  </si>
  <si>
    <t>E0039996</t>
  </si>
  <si>
    <t>MASTRANDREA LUCY DIANE MD</t>
  </si>
  <si>
    <t>MASTRANDREA, LUCY, MD, PHD</t>
  </si>
  <si>
    <t>LMASTRANDREA@KALEIDAHEALTH.ORG</t>
  </si>
  <si>
    <t>MASTRANDREA LUCY</t>
  </si>
  <si>
    <t>ROKITKA, DENISE, MD</t>
  </si>
  <si>
    <t>E0024368</t>
  </si>
  <si>
    <t>ROKITKA DENISE A MD</t>
  </si>
  <si>
    <t>DROKITKA@KALEIDAHEALTH.ORG</t>
  </si>
  <si>
    <t>ROKITKA DENISE</t>
  </si>
  <si>
    <t>MOSCATI, SUZANNE, RPAC</t>
  </si>
  <si>
    <t>E0088880</t>
  </si>
  <si>
    <t>MOSCATI SUZANNE</t>
  </si>
  <si>
    <t>MOSCATI, SUZANNE, PA</t>
  </si>
  <si>
    <t>(716) 852-6929</t>
  </si>
  <si>
    <t>SMOSCATI@KALEIDAHEALTH.ORG</t>
  </si>
  <si>
    <t>WAGNER, JUDITH, MACRC</t>
  </si>
  <si>
    <t>WAGNER,  JUDY , SR COUNSELOR LICENSED</t>
  </si>
  <si>
    <t>WAGNER JUDITH MRS.</t>
  </si>
  <si>
    <t>HONG, MICHAEL, MD</t>
  </si>
  <si>
    <t>E0154377</t>
  </si>
  <si>
    <t>HONG MICHAEL JOSEPH</t>
  </si>
  <si>
    <t>MHONG@KALEIDAHEALTH.ORG</t>
  </si>
  <si>
    <t>HONG MICHAEL</t>
  </si>
  <si>
    <t>PATEL, SONALEE, RPAC</t>
  </si>
  <si>
    <t>E0004125</t>
  </si>
  <si>
    <t>PATEL SONALEE RPA</t>
  </si>
  <si>
    <t>PATEL, SONALEE, PA</t>
  </si>
  <si>
    <t>SPATEL5@KALEIDAHEALTH.ORG</t>
  </si>
  <si>
    <t>PATEL SONALEE</t>
  </si>
  <si>
    <t>MAMILLY, LEENA, MD</t>
  </si>
  <si>
    <t>E0354218</t>
  </si>
  <si>
    <t>MAMILLY LEENA</t>
  </si>
  <si>
    <t>(716) 878-7488</t>
  </si>
  <si>
    <t>LMAMILLY@KALEIDAHEALTH.ORG</t>
  </si>
  <si>
    <t>WANAMAKER, CARRIE, DDS</t>
  </si>
  <si>
    <t>E0322402</t>
  </si>
  <si>
    <t>WANAMAKER CARRIE A</t>
  </si>
  <si>
    <t>(716) 572-4620</t>
  </si>
  <si>
    <t>CWANAMAKER@KALEIDAHEALTH.ORG</t>
  </si>
  <si>
    <t>WANAMAKER CARRIE DR.</t>
  </si>
  <si>
    <t>KENTNER, SHANNON, LMSW</t>
  </si>
  <si>
    <t>E0302402</t>
  </si>
  <si>
    <t>KENTNER SHANNON</t>
  </si>
  <si>
    <t>KENTNER,  SHANNON, SR COUNSELOR LICENSED</t>
  </si>
  <si>
    <t>KENTNER SHANNON RAE</t>
  </si>
  <si>
    <t>80 STATE HIGHWAY 310 STE 1</t>
  </si>
  <si>
    <t>SONG, JIN HWA, MD</t>
  </si>
  <si>
    <t>E0339426</t>
  </si>
  <si>
    <t>SONG JINHWA</t>
  </si>
  <si>
    <t>SONG JIN HWA MRS.</t>
  </si>
  <si>
    <t>NYSARC ERIE COUNTY</t>
  </si>
  <si>
    <t>E0312225</t>
  </si>
  <si>
    <t>ERIE COUNTY NYSARC INC</t>
  </si>
  <si>
    <t>(716) 833-8603</t>
  </si>
  <si>
    <t>WILD, JAMES, MD</t>
  </si>
  <si>
    <t>E0197004</t>
  </si>
  <si>
    <t>WILD JAMES E               MD</t>
  </si>
  <si>
    <t>WILD, JAMES,</t>
  </si>
  <si>
    <t>MMILLER@LAKEERIEHEALTH.ORG</t>
  </si>
  <si>
    <t>WILD JAMES DR.</t>
  </si>
  <si>
    <t>WILD JAMES E MD</t>
  </si>
  <si>
    <t>104 MEMORIAL DR</t>
  </si>
  <si>
    <t>VIVEKANANDAN, NALLASIVAM, MD</t>
  </si>
  <si>
    <t>E0125270</t>
  </si>
  <si>
    <t>VIVEKANANDAN NALLASIVAM MD</t>
  </si>
  <si>
    <t>NVIVEKANANDAN@KALEIDAHEALTH.ORG</t>
  </si>
  <si>
    <t>VIVEKANANDAN NALLASIVAM</t>
  </si>
  <si>
    <t>PATEL, DILIP, MD</t>
  </si>
  <si>
    <t>E0239344</t>
  </si>
  <si>
    <t>PATEL DILIPKUMAR J         MD</t>
  </si>
  <si>
    <t>(716) 837-1090</t>
  </si>
  <si>
    <t>DPATEL2@KALEIDAHEALTH.ORG</t>
  </si>
  <si>
    <t>PATEL DILIP DR.</t>
  </si>
  <si>
    <t>PATEL DILIPKUMAR J</t>
  </si>
  <si>
    <t>MAHER, ELIZABETH, MD</t>
  </si>
  <si>
    <t>E0189017</t>
  </si>
  <si>
    <t>MAHER ELIZABETH MD</t>
  </si>
  <si>
    <t>EMAHER@KALEIDAHEALTH.ORG</t>
  </si>
  <si>
    <t>MAHER ELIZABETH</t>
  </si>
  <si>
    <t>MAHER ELIZABETH L</t>
  </si>
  <si>
    <t>FLANAGAN, KEVIN, AVD</t>
  </si>
  <si>
    <t>E0090043</t>
  </si>
  <si>
    <t>LAKE SHORE AUDIOLOGY PC</t>
  </si>
  <si>
    <t>FLANAGAN KEVIN DR.</t>
  </si>
  <si>
    <t>(716) 934-2025</t>
  </si>
  <si>
    <t>290 CENTER RD</t>
  </si>
  <si>
    <t>TARFARE, NATHMAL, MD</t>
  </si>
  <si>
    <t>E0191918</t>
  </si>
  <si>
    <t>TARFARE NATHMAL SHRIGOVIND MD</t>
  </si>
  <si>
    <t>TARFARE NATHMAL</t>
  </si>
  <si>
    <t>(716) 627-4407</t>
  </si>
  <si>
    <t>LAKESHORE HOSP</t>
  </si>
  <si>
    <t>JSANTIAGO@ECMC.EDU</t>
  </si>
  <si>
    <t>L</t>
  </si>
  <si>
    <t>MYERS, BENNETT, MD</t>
  </si>
  <si>
    <t>E0061152</t>
  </si>
  <si>
    <t>MYERS BENNETT MD</t>
  </si>
  <si>
    <t>BMYERS@KALEIDAHEALTH.ORG</t>
  </si>
  <si>
    <t>MYERS BENNETT</t>
  </si>
  <si>
    <t>FROST, JEFFREY, MD</t>
  </si>
  <si>
    <t>E0165107</t>
  </si>
  <si>
    <t>FROST JEFFREY B MD</t>
  </si>
  <si>
    <t>JFROST@KALEIDAHEALTH.ORG</t>
  </si>
  <si>
    <t>FROST JEFFREY DR.</t>
  </si>
  <si>
    <t>FINEBERG, MARC, MD</t>
  </si>
  <si>
    <t>E0103898</t>
  </si>
  <si>
    <t>FINEBERG MARC STEVEN MD</t>
  </si>
  <si>
    <t>(716) 204-3257</t>
  </si>
  <si>
    <t>MFINEBERG@KALEIDAHEALTH.ORG</t>
  </si>
  <si>
    <t>FINEBERG MARC</t>
  </si>
  <si>
    <t>SCHULENBERG, GILBERT, DDS</t>
  </si>
  <si>
    <t>E0223680</t>
  </si>
  <si>
    <t>SCHULENBERG GILBERT H     DDS</t>
  </si>
  <si>
    <t>(716) 882-6333</t>
  </si>
  <si>
    <t>GSCHULENBERG@KALEIDAHEALTH.ORG</t>
  </si>
  <si>
    <t>SCHULENBERG GILBERT DR.</t>
  </si>
  <si>
    <t>117 LINWOOD AVE</t>
  </si>
  <si>
    <t>BROTHERS OF MERCY NURSING HOME COMPANY INC</t>
  </si>
  <si>
    <t>E0267870</t>
  </si>
  <si>
    <t>BROTHERS OF MERCY NURS &amp; REHA</t>
  </si>
  <si>
    <t>PETER EIMER</t>
  </si>
  <si>
    <t>(716) 759-6985</t>
  </si>
  <si>
    <t>PETER@BROTHERSOFMERCY.ORG</t>
  </si>
  <si>
    <t>10570 BERGTOLD RD</t>
  </si>
  <si>
    <t>ROHRBACHER, BERNHARD, MD</t>
  </si>
  <si>
    <t>E0191480</t>
  </si>
  <si>
    <t>ROHRBACHER BERNHARD MD</t>
  </si>
  <si>
    <t>BROHRBACHER@KALEIDAHEALTH.ORG</t>
  </si>
  <si>
    <t>ROHRBACHER BERNHARD</t>
  </si>
  <si>
    <t>ROHRBACHER BERNHARD JOHN</t>
  </si>
  <si>
    <t>DEPT OF ORTHOPAEDICS</t>
  </si>
  <si>
    <t>GIBBONS, KEVIN, MD</t>
  </si>
  <si>
    <t>E0156763</t>
  </si>
  <si>
    <t>GIBBONS KEVIN J MD</t>
  </si>
  <si>
    <t>KGIBBONS@KALEIDAHEALTH.ORG</t>
  </si>
  <si>
    <t>GIBBONS KEVIN DR.</t>
  </si>
  <si>
    <t>HENNON, MARK, MD</t>
  </si>
  <si>
    <t>E0307368</t>
  </si>
  <si>
    <t>HENNON MARK WILLIAM</t>
  </si>
  <si>
    <t>MHENNON@KALEIDAHEALTH.ORG</t>
  </si>
  <si>
    <t>HENNON MARK</t>
  </si>
  <si>
    <t>TENBROCK, ERIC, MD</t>
  </si>
  <si>
    <t>E0207995</t>
  </si>
  <si>
    <t>TEN BROCK ERIC             MD</t>
  </si>
  <si>
    <t>ETENBROCK@KALEIDAHEALTH.ORG</t>
  </si>
  <si>
    <t>TENBROCK ERIC</t>
  </si>
  <si>
    <t>GAMBACORTA, ALFONSE, DDS</t>
  </si>
  <si>
    <t>E0073545</t>
  </si>
  <si>
    <t>GAMBACORTA ALFONSE J DDS</t>
  </si>
  <si>
    <t>(716) 828-8308</t>
  </si>
  <si>
    <t>AGAMBACORT@ECMC.EDU</t>
  </si>
  <si>
    <t>GAMBACORTA ALFONSE</t>
  </si>
  <si>
    <t>PARK, SUN, MD</t>
  </si>
  <si>
    <t>E0320072</t>
  </si>
  <si>
    <t>PARK SUN</t>
  </si>
  <si>
    <t>PARK SUN OK</t>
  </si>
  <si>
    <t>1825 EASTCHESTER RD</t>
  </si>
  <si>
    <t>DIFRANCESCO, GREGORY, MD</t>
  </si>
  <si>
    <t>E0091281</t>
  </si>
  <si>
    <t>DIFRANCESCO GREGORY MD</t>
  </si>
  <si>
    <t>(716) 662-3876</t>
  </si>
  <si>
    <t>GDIFRANCESCO@KALEIDAHEALTH.ORG</t>
  </si>
  <si>
    <t>DIFRANCESCO GREGORY</t>
  </si>
  <si>
    <t>NARBY, LORRAINE, NP</t>
  </si>
  <si>
    <t>E0005718</t>
  </si>
  <si>
    <t>NARBY LORRAINE</t>
  </si>
  <si>
    <t>NARBY, LORRAINE, ANP</t>
  </si>
  <si>
    <t>LNARBY@KALEIDAHEALTH.ORG</t>
  </si>
  <si>
    <t>NARBY LORRAINE MS.</t>
  </si>
  <si>
    <t>NARBY LORRAINE CHARLOTTE</t>
  </si>
  <si>
    <t>E0010277</t>
  </si>
  <si>
    <t>CATTARAUGUS REHAB CENTER INC</t>
  </si>
  <si>
    <t>338 N 15TH ST</t>
  </si>
  <si>
    <t>MORASCO, SHAWNA, LCSWR</t>
  </si>
  <si>
    <t>E0358518</t>
  </si>
  <si>
    <t>OBRIEN SHAWNA MARIE</t>
  </si>
  <si>
    <t>O'BRIEN,  CATHERINE , SR COUNSELOR LICENSED</t>
  </si>
  <si>
    <t>(315) 366-2327</t>
  </si>
  <si>
    <t>MORASCO SHAWNA</t>
  </si>
  <si>
    <t>O'BRIEN SHAWNA MARIE</t>
  </si>
  <si>
    <t>138 N COURT ST</t>
  </si>
  <si>
    <t>WAMPSVILLE</t>
  </si>
  <si>
    <t>AJTAI, BELA, MDPHD</t>
  </si>
  <si>
    <t>E0001796</t>
  </si>
  <si>
    <t>BELA AJTAI</t>
  </si>
  <si>
    <t>AJTAI, BELA, MD</t>
  </si>
  <si>
    <t>(716) 885-1243</t>
  </si>
  <si>
    <t>BAJTAI@KALEIDAHEALTH.ORG</t>
  </si>
  <si>
    <t>AJTAI BELA DR.</t>
  </si>
  <si>
    <t>AJTAI BELA MD</t>
  </si>
  <si>
    <t>PUCCI, DAVID, MACCC</t>
  </si>
  <si>
    <t>E0065488</t>
  </si>
  <si>
    <t>PUCCI DAVID A</t>
  </si>
  <si>
    <t>(716) 839-2476</t>
  </si>
  <si>
    <t>PUCCI DAVID MR.</t>
  </si>
  <si>
    <t>SCOTT, ALICIA, NP</t>
  </si>
  <si>
    <t>E0298057</t>
  </si>
  <si>
    <t>SCOTT ALICIA LATRESE</t>
  </si>
  <si>
    <t>SCOTT ALICIA</t>
  </si>
  <si>
    <t>KOLB, CHANNA, MD</t>
  </si>
  <si>
    <t>E0339155</t>
  </si>
  <si>
    <t>KOLB CHANNA</t>
  </si>
  <si>
    <t>CKOLB@KALEIDAHEALTH.ORG</t>
  </si>
  <si>
    <t>KOLB CHANNA DR.</t>
  </si>
  <si>
    <t>300 ESSJAY RD</t>
  </si>
  <si>
    <t>PAOLUCCI, PATRICE, DO</t>
  </si>
  <si>
    <t>E0351269</t>
  </si>
  <si>
    <t>PAOLUCCI PATRICE RENEE</t>
  </si>
  <si>
    <t>(716) 860-0679</t>
  </si>
  <si>
    <t>PAOLUCCI PATRICE DR.</t>
  </si>
  <si>
    <t>AHMAD, RAHEEL, DO</t>
  </si>
  <si>
    <t>E0337274</t>
  </si>
  <si>
    <t>AHMAD RAHEEL</t>
  </si>
  <si>
    <t>(716) 568-3514</t>
  </si>
  <si>
    <t>RAHMAD@KALEIDAHEALTH.ORG</t>
  </si>
  <si>
    <t>SALAZAR MORENO, WAYRA, MD</t>
  </si>
  <si>
    <t>E0373251</t>
  </si>
  <si>
    <t>SALAZAR MORENO WAYRA YSI</t>
  </si>
  <si>
    <t>SALAZAR-MORENO, WAYRA,</t>
  </si>
  <si>
    <t>SALAZAR MORENO WAYRA</t>
  </si>
  <si>
    <t>LEW, PAUL, LMSW</t>
  </si>
  <si>
    <t>(716) 805-1440</t>
  </si>
  <si>
    <t>LEW PAUL MR.</t>
  </si>
  <si>
    <t>ABEBE, MEKDESS, MD</t>
  </si>
  <si>
    <t>E0335488</t>
  </si>
  <si>
    <t>ABEBE MEKDESS</t>
  </si>
  <si>
    <t>MABEBE@KALEIDAHEALTH.ORG</t>
  </si>
  <si>
    <t>ABEBE MEKDESS DR.</t>
  </si>
  <si>
    <t>220 RED TAIL LN STE 2</t>
  </si>
  <si>
    <t>SISTI, CARY, NP</t>
  </si>
  <si>
    <t>E0332130</t>
  </si>
  <si>
    <t>SISTI CARY DENISE</t>
  </si>
  <si>
    <t>SISTI, CARY, ANP</t>
  </si>
  <si>
    <t>(716) 989-2081</t>
  </si>
  <si>
    <t>CSISTI@KALEIDAHEALTH.ORG</t>
  </si>
  <si>
    <t>SISTI CARY MS.</t>
  </si>
  <si>
    <t>ROSWELL PARK CANCER INSTITUTE, ELM &amp; CARLTON STREET</t>
  </si>
  <si>
    <t>PERRY, KATHERINE, NP</t>
  </si>
  <si>
    <t>E0097765</t>
  </si>
  <si>
    <t>COMINSKY KATHERINE DWIGHT</t>
  </si>
  <si>
    <t>PERRY, KATHERINE, NNP</t>
  </si>
  <si>
    <t>KPERRY1@KALEIDAHEALTH.ORG</t>
  </si>
  <si>
    <t>PERRY KATHERINE</t>
  </si>
  <si>
    <t>PERRY KATHERINE DWIGHT</t>
  </si>
  <si>
    <t>WANG, RAPHAEL, MD</t>
  </si>
  <si>
    <t>E0183528</t>
  </si>
  <si>
    <t>WANG RAPHAEL PIU-SI MD</t>
  </si>
  <si>
    <t>RWANG@KALEIDAHEALTH.ORG</t>
  </si>
  <si>
    <t>WANG RAPHAEL DR.</t>
  </si>
  <si>
    <t>SOUTHARD, ERIC, MD</t>
  </si>
  <si>
    <t>E0164444</t>
  </si>
  <si>
    <t>SOUTHARD ERIC R  MD</t>
  </si>
  <si>
    <t>ESOUTHARD@KALEIDAHEALTH.ORG</t>
  </si>
  <si>
    <t>SOUTHARD ERIC</t>
  </si>
  <si>
    <t>SOUTHARD ERIC RICHARD</t>
  </si>
  <si>
    <t>BADGLEY, ROGER, RPAC</t>
  </si>
  <si>
    <t>E0065815</t>
  </si>
  <si>
    <t>BADGLEY ROGER F</t>
  </si>
  <si>
    <t>BADGLEY, ROGER, PA</t>
  </si>
  <si>
    <t>RBADGLEY@KALEIDAHEALTH.ORG</t>
  </si>
  <si>
    <t>BADGLEY ROGER</t>
  </si>
  <si>
    <t>BADGLEY ROGER FRANK RPA</t>
  </si>
  <si>
    <t>DERR, ROBERT, MD</t>
  </si>
  <si>
    <t>E0123989</t>
  </si>
  <si>
    <t>DERR ROBERT MICHAEL MD</t>
  </si>
  <si>
    <t>DERR , ROBERT     , MD</t>
  </si>
  <si>
    <t>RDERR@UPA.CHOB.EDU</t>
  </si>
  <si>
    <t>DERR ROBERT</t>
  </si>
  <si>
    <t>OGILVY, CHRISTOPHER, MD</t>
  </si>
  <si>
    <t>E0017598</t>
  </si>
  <si>
    <t>OGILVY CHRISTOPHER S MD</t>
  </si>
  <si>
    <t>(617) 632-7246</t>
  </si>
  <si>
    <t>COGILVY@KALEIDAHEALTH.ORG</t>
  </si>
  <si>
    <t>OGILVY CHRISTOPHER DR.</t>
  </si>
  <si>
    <t>MAGGIOLI, ALBERT, MD</t>
  </si>
  <si>
    <t>E0235313</t>
  </si>
  <si>
    <t>MAGGIOLI ALBERT J          MD</t>
  </si>
  <si>
    <t>MAGGIOLI ALBERT DR.</t>
  </si>
  <si>
    <t>MAGGIOLI ALBERT J</t>
  </si>
  <si>
    <t>NISWANDER, PHILIP, MD</t>
  </si>
  <si>
    <t>E0223088</t>
  </si>
  <si>
    <t>NISWANDER PHILIP R         MD</t>
  </si>
  <si>
    <t>(716) 634-4441</t>
  </si>
  <si>
    <t>PNISWANDER@KALEIDAHEALTH.ORG</t>
  </si>
  <si>
    <t>NISWANDER PHILIP</t>
  </si>
  <si>
    <t>40 N UNION RD</t>
  </si>
  <si>
    <t>REICHERT, ANDREW, MD</t>
  </si>
  <si>
    <t>E0161298</t>
  </si>
  <si>
    <t>REICHERT ANDREW R MD</t>
  </si>
  <si>
    <t>AREICHERT@KALEIDAHEALTH.ORG</t>
  </si>
  <si>
    <t>REICHERT ANDREW</t>
  </si>
  <si>
    <t>REICHERT ANDREW ROBERT</t>
  </si>
  <si>
    <t>DIEHL, COURTENAY, MD</t>
  </si>
  <si>
    <t>E0295768</t>
  </si>
  <si>
    <t>DIEHL COURTENAY LARYSSA</t>
  </si>
  <si>
    <t>DIEHL COURTENAY</t>
  </si>
  <si>
    <t>DIEHL COURTENAY LARYSSA MD</t>
  </si>
  <si>
    <t>HASSETT, JAMES, MD</t>
  </si>
  <si>
    <t>E0237587</t>
  </si>
  <si>
    <t>HASSETT JAMES MARTIN JR    MD</t>
  </si>
  <si>
    <t>JHASSETT@KALEIDAHEALTH.ORG</t>
  </si>
  <si>
    <t>HASSETT JAMES DR.</t>
  </si>
  <si>
    <t>HASSETT JAMES MARTIN JR</t>
  </si>
  <si>
    <t>YI, WON SAM, MD</t>
  </si>
  <si>
    <t>E0022448</t>
  </si>
  <si>
    <t>YI WON S MD</t>
  </si>
  <si>
    <t>(716) 871-0181</t>
  </si>
  <si>
    <t>WYI@KALEIDAHEALTH.ORG</t>
  </si>
  <si>
    <t>YI WON SAM</t>
  </si>
  <si>
    <t>MASON, SUSAN,</t>
  </si>
  <si>
    <t>MASON, SUSAN, RNFA</t>
  </si>
  <si>
    <t>SMASON@KALEIDAHEALTH.ORG</t>
  </si>
  <si>
    <t>MASON SUSAN</t>
  </si>
  <si>
    <t>CHOCKALINGAM, SELVAKUMAR, MD</t>
  </si>
  <si>
    <t>E0163424</t>
  </si>
  <si>
    <t>CHOCKALINGAM SELVAKUMAR MD</t>
  </si>
  <si>
    <t>(585) 342-7090</t>
  </si>
  <si>
    <t>SCHOCKALINGAM@KALEIDAHEALTH.ORG</t>
  </si>
  <si>
    <t>CHOCKALINGAM SELVAKUMAR DR.</t>
  </si>
  <si>
    <t>CHOCKALINGAM SELVAKUMAR</t>
  </si>
  <si>
    <t>156 WEST AVE STE 102</t>
  </si>
  <si>
    <t>TENNEY EMILY DR.</t>
  </si>
  <si>
    <t>E0026744</t>
  </si>
  <si>
    <t>TENNEY EMILY F MD</t>
  </si>
  <si>
    <t>FRASER BRANCHE EMILY DR.</t>
  </si>
  <si>
    <t>KOHLI, ROMESH, MD</t>
  </si>
  <si>
    <t>E0251526</t>
  </si>
  <si>
    <t>KOHLI ROMESH K             MD</t>
  </si>
  <si>
    <t>RKOHLI@KALEIDAHEALTH.ORG</t>
  </si>
  <si>
    <t>KOHLI ROMESH DR.</t>
  </si>
  <si>
    <t>GREENFIELD, SAUL, MD</t>
  </si>
  <si>
    <t>E0216689</t>
  </si>
  <si>
    <t>GREENFIELD SAUL PHILIP     MD</t>
  </si>
  <si>
    <t>SGREENFIELD@KALEIDAHEALTH.ORG</t>
  </si>
  <si>
    <t>GREENFIELD SAUL</t>
  </si>
  <si>
    <t>MURPHY, JOSEPH, MD</t>
  </si>
  <si>
    <t>E0090282</t>
  </si>
  <si>
    <t>MURPHY JOSEPH A MD</t>
  </si>
  <si>
    <t>JMURPHY@KALEIDAHEALTH.ORG</t>
  </si>
  <si>
    <t>MURPHY JOSEPH</t>
  </si>
  <si>
    <t>MURPHY JOSEPH ANTHONY</t>
  </si>
  <si>
    <t>STE 815</t>
  </si>
  <si>
    <t>WOLF, LAUREN, FNP</t>
  </si>
  <si>
    <t>E0387362</t>
  </si>
  <si>
    <t>WOLF LAUREN ASHLEY</t>
  </si>
  <si>
    <t>L.WOLF@NWBCHCC.ORG</t>
  </si>
  <si>
    <t>WOLF LAUREN</t>
  </si>
  <si>
    <t>PROSSER, JAMES,</t>
  </si>
  <si>
    <t>PROSSER,  JAMES, COUNSELOR III - H</t>
  </si>
  <si>
    <t>PROSSER JAMES</t>
  </si>
  <si>
    <t>BITIKOFER, KRISTIN, PAC</t>
  </si>
  <si>
    <t>E0289904</t>
  </si>
  <si>
    <t>BITIKOFER KRISTIN MARIE PA</t>
  </si>
  <si>
    <t>BITIKOFER, KRISTIN, PA</t>
  </si>
  <si>
    <t>KBITIKOFER@KALEIDAHEALTH.ORG</t>
  </si>
  <si>
    <t>BITIKOFER KRISTIN</t>
  </si>
  <si>
    <t>BITIKOFER KRISTIN MARIE</t>
  </si>
  <si>
    <t>BEG, MIRZA, MD</t>
  </si>
  <si>
    <t>E0236987</t>
  </si>
  <si>
    <t>BEG MIRZA MUZAFFER ALI MD</t>
  </si>
  <si>
    <t>BEG MIRZA</t>
  </si>
  <si>
    <t>BEG MIRZA MUZAFFER ALI</t>
  </si>
  <si>
    <t>294 EAST AVE</t>
  </si>
  <si>
    <t>SILLART, DOUGLAS, MD</t>
  </si>
  <si>
    <t>E0149251</t>
  </si>
  <si>
    <t>SILLART DOUGLAS R MD</t>
  </si>
  <si>
    <t>DSILLART@KALEIDAHEALTH.ORG</t>
  </si>
  <si>
    <t>SILLART DOUGLAS DR.</t>
  </si>
  <si>
    <t>SURDI-CENTER</t>
  </si>
  <si>
    <t>SAHAF, ASHRAF, MD</t>
  </si>
  <si>
    <t>E0236390</t>
  </si>
  <si>
    <t>SAHAF ASHRAF M</t>
  </si>
  <si>
    <t>(716) 778-7994</t>
  </si>
  <si>
    <t>SAHAF ASHRAF</t>
  </si>
  <si>
    <t>2897 LOCKPORT OLCOTT RD</t>
  </si>
  <si>
    <t>SINGH, AMARJIT, MD</t>
  </si>
  <si>
    <t>E0234863</t>
  </si>
  <si>
    <t>SINGH AMARJIT MD</t>
  </si>
  <si>
    <t>ASINGH2@KALEIDAHEALTH.ORG</t>
  </si>
  <si>
    <t>SINGH AMARJIT DR.</t>
  </si>
  <si>
    <t>AQUINO, NICHOLAS, MD</t>
  </si>
  <si>
    <t>E0200251</t>
  </si>
  <si>
    <t>AQUINO NICHOLAS J          MD</t>
  </si>
  <si>
    <t>NAQUINO@KALEIDAHEALTH.ORG</t>
  </si>
  <si>
    <t>AQUINO NICHOLAS DR.</t>
  </si>
  <si>
    <t>AQUINO NICHOLAS JAMES</t>
  </si>
  <si>
    <t>ELUARD, ALAIN, MD</t>
  </si>
  <si>
    <t>E0233885</t>
  </si>
  <si>
    <t>ELUARD ALAIN MD</t>
  </si>
  <si>
    <t>(716) 875-4500</t>
  </si>
  <si>
    <t>AELUARD@KALEIDAHEALTH.ORG</t>
  </si>
  <si>
    <t>ELUARD ALAIN DR.</t>
  </si>
  <si>
    <t>2949 ELMWOOD AVE</t>
  </si>
  <si>
    <t>BEZBATCHENKO, MARK, MD</t>
  </si>
  <si>
    <t>E0211046</t>
  </si>
  <si>
    <t>BEZBATCHENKO MARK          MD</t>
  </si>
  <si>
    <t>MBEZBATCHENKO@KALEIDAHEALTH.ORG</t>
  </si>
  <si>
    <t>BEZBATCHENKO MARK DR.</t>
  </si>
  <si>
    <t>BEZBATCHENKO MARK DAVID</t>
  </si>
  <si>
    <t>LANCASTER DEPEW PEDS</t>
  </si>
  <si>
    <t>CARLSON, DAVID, MD</t>
  </si>
  <si>
    <t>E0133914</t>
  </si>
  <si>
    <t>CARLSON DAVID E</t>
  </si>
  <si>
    <t>DCARLSON@KALEIDAHEALTH.ORG</t>
  </si>
  <si>
    <t>CARLSON DAVID</t>
  </si>
  <si>
    <t>FRITTON-CLOSE, LORELEI,</t>
  </si>
  <si>
    <t>FRITTON, LORI, CASAC</t>
  </si>
  <si>
    <t>FRITTONL@SHSWNY.ORG</t>
  </si>
  <si>
    <t>FRITTON-CLOSE LORELEI</t>
  </si>
  <si>
    <t>SINGH, BALJINDER, MD</t>
  </si>
  <si>
    <t>E0297367</t>
  </si>
  <si>
    <t>SINGH BALJINDER</t>
  </si>
  <si>
    <t>BALJINDER SING</t>
  </si>
  <si>
    <t>(716) 909-6718</t>
  </si>
  <si>
    <t>DRBALJINDER@YAHOO.COM</t>
  </si>
  <si>
    <t>SINGH BALJINDER DR.</t>
  </si>
  <si>
    <t>53 ELIZABETH DR</t>
  </si>
  <si>
    <t>DENHAESE, RYAN, MD</t>
  </si>
  <si>
    <t>E0012964</t>
  </si>
  <si>
    <t>DENHAESE RYAN PETER MD</t>
  </si>
  <si>
    <t>(716) 634-3500</t>
  </si>
  <si>
    <t>RDENHAESE@KALEIDAHEALTH.ORG</t>
  </si>
  <si>
    <t>DENHAESE RYAN</t>
  </si>
  <si>
    <t>ALKHOURI, RAZAN, MBBS</t>
  </si>
  <si>
    <t>E0342095</t>
  </si>
  <si>
    <t>ALKHOURI RAZAN H</t>
  </si>
  <si>
    <t>ALKHOURI,  RAZAN, MD</t>
  </si>
  <si>
    <t>(716) 472-9400</t>
  </si>
  <si>
    <t>RALKHOURI@UPA.CHOB.EDU</t>
  </si>
  <si>
    <t>ALKHOURI RAZAN DR.</t>
  </si>
  <si>
    <t>STEVANOVIC, KRISTIN,</t>
  </si>
  <si>
    <t>STEVANOVIC, KRISTIN, BSW</t>
  </si>
  <si>
    <t>STEVANOVIC KRISTIN</t>
  </si>
  <si>
    <t>3131 SHERIDAN DR</t>
  </si>
  <si>
    <t>PEOPLE INC.</t>
  </si>
  <si>
    <t>MUSTAFA, BILAL, MD</t>
  </si>
  <si>
    <t>E0383339</t>
  </si>
  <si>
    <t>MUSTAFA BILAL</t>
  </si>
  <si>
    <t>BMUSTAFA@KALEIDAHEALTH.ORG</t>
  </si>
  <si>
    <t>SULLIVAN, PATRICIA, CRNA</t>
  </si>
  <si>
    <t>PSULLIVAN2@KALEIDAHEALTH.ORG</t>
  </si>
  <si>
    <t>SULLIVAN PATRICIA</t>
  </si>
  <si>
    <t>CHIARAVALLE, MICHAEL,</t>
  </si>
  <si>
    <t>CHIARAVALLE, MICHAEL, LMHCP</t>
  </si>
  <si>
    <t>CHIARAVALLE MICHAEL MR.</t>
  </si>
  <si>
    <t>JANOSICK, SAMANTHA,</t>
  </si>
  <si>
    <t>E0435213</t>
  </si>
  <si>
    <t>JANOSICK SAMANTHA</t>
  </si>
  <si>
    <t>JANOSICK, SAMANTHA, SENIOR COUNSELOR - HV</t>
  </si>
  <si>
    <t>JANOSICK SAMANTHA MARIE</t>
  </si>
  <si>
    <t>489 HERTEL AVE</t>
  </si>
  <si>
    <t>KLOS, SAMANTHA,</t>
  </si>
  <si>
    <t>KLOS,  SAMANTHA, COUNSELOR III</t>
  </si>
  <si>
    <t>KLOS SAMANTHA</t>
  </si>
  <si>
    <t>KREBS, MARY, FNP</t>
  </si>
  <si>
    <t>E0427262</t>
  </si>
  <si>
    <t>GAYNOR MARY KATHERINE</t>
  </si>
  <si>
    <t>(716) 859-2401</t>
  </si>
  <si>
    <t>MKREBS@KALEIDAHEALTH.ORG</t>
  </si>
  <si>
    <t>GAYNOR MARY</t>
  </si>
  <si>
    <t>100 HIGH ST # C3-413</t>
  </si>
  <si>
    <t>HANDA, DEEPALI, MBBS</t>
  </si>
  <si>
    <t>E0347422</t>
  </si>
  <si>
    <t>HANDA DEEPALI</t>
  </si>
  <si>
    <t>HANDA , DEEPALI, MD</t>
  </si>
  <si>
    <t>(516) 946-3750</t>
  </si>
  <si>
    <t>DHANDA@UPA.CHOB.EDU</t>
  </si>
  <si>
    <t>HANDA DEEPALI DR.</t>
  </si>
  <si>
    <t>BURROUGHS, AMY-JO, PAC</t>
  </si>
  <si>
    <t>E0037548</t>
  </si>
  <si>
    <t>BURROUGHS-SMITH AMY-JO L RPA</t>
  </si>
  <si>
    <t>BURROUGHS AMY-JO MS.</t>
  </si>
  <si>
    <t>BURROUGHS AMY-JO L RPA</t>
  </si>
  <si>
    <t>BHAYANA, RANJAN, MD</t>
  </si>
  <si>
    <t>E0158032</t>
  </si>
  <si>
    <t>BHAYANA RANJAN MD</t>
  </si>
  <si>
    <t>RBHAYANA@KALEIDAHEALTH.ORG</t>
  </si>
  <si>
    <t>BHAYANA RANJAN DR.</t>
  </si>
  <si>
    <t>ABSOLUT CENTER FOR NURSING AND REHABILITATION AT EDEN, LLC</t>
  </si>
  <si>
    <t>E0193990</t>
  </si>
  <si>
    <t>ABSOLUT CTR  NRS &amp; REH AT EDEN</t>
  </si>
  <si>
    <t>MATTHEW J. HRICZKO, LNHA</t>
  </si>
  <si>
    <t>MHRICZKO@ABSOLUTCARE.COM</t>
  </si>
  <si>
    <t>2806 GEORGE ST</t>
  </si>
  <si>
    <t>EDEN</t>
  </si>
  <si>
    <t>KHAN, IRFAN, MD</t>
  </si>
  <si>
    <t>E0017013</t>
  </si>
  <si>
    <t>KHAN IRFAN ALI MD</t>
  </si>
  <si>
    <t>IKHAN@KALEIDAHEALTH.ORG</t>
  </si>
  <si>
    <t>KHAN IRFAN</t>
  </si>
  <si>
    <t>PHILLIANS, LISA, RPA</t>
  </si>
  <si>
    <t>E0016277</t>
  </si>
  <si>
    <t>PHILLIANS LISA A RPA</t>
  </si>
  <si>
    <t>PHILLIANS LISA</t>
  </si>
  <si>
    <t>HIGHGATE MEDICAL GROUP, PC</t>
  </si>
  <si>
    <t>E0151593</t>
  </si>
  <si>
    <t>HIGHGATE MEDICAL GROUP PC</t>
  </si>
  <si>
    <t>DAVID PAWLOWSKI, MD</t>
  </si>
  <si>
    <t>DPAWLOWSKI@HIGHGATEMEDICAL.COM</t>
  </si>
  <si>
    <t>338 HARRIS HILL RD</t>
  </si>
  <si>
    <t>CHIA, KIMBO, MDF</t>
  </si>
  <si>
    <t>E0141707</t>
  </si>
  <si>
    <t>CHIA KIMBO BASIBANG MD</t>
  </si>
  <si>
    <t>CHIA, KIMBO, MD</t>
  </si>
  <si>
    <t>(716) 332-0678</t>
  </si>
  <si>
    <t>KCHIA@KALEIDAHEALTH.ORG</t>
  </si>
  <si>
    <t>CHIA KIMBO</t>
  </si>
  <si>
    <t>CHIA KIMBO BASIBANG</t>
  </si>
  <si>
    <t>564 NIAGARA ST FL 1</t>
  </si>
  <si>
    <t>BYE, MICHAEL,</t>
  </si>
  <si>
    <t>E0209080</t>
  </si>
  <si>
    <t>BYE MICHAEL R              MD</t>
  </si>
  <si>
    <t>BYE , MICHAEL , MD</t>
  </si>
  <si>
    <t>(201) 225-9094</t>
  </si>
  <si>
    <t>MBYE@UPA.CHOB.EDU</t>
  </si>
  <si>
    <t>BYE MICHAEL DR.</t>
  </si>
  <si>
    <t>DIV OF PED BHS 1-101</t>
  </si>
  <si>
    <t>LEO, RAPHAEL, MD</t>
  </si>
  <si>
    <t>E0139536</t>
  </si>
  <si>
    <t>LEO RAPHAEL JEROME MD</t>
  </si>
  <si>
    <t>RLEO@KALEIDAHEALTH.ORG</t>
  </si>
  <si>
    <t>LEO RAPHAEL</t>
  </si>
  <si>
    <t>LEO RAPHAEL JEROME</t>
  </si>
  <si>
    <t>CAMPAGNA, FRANKLYN, MD</t>
  </si>
  <si>
    <t>E0238333</t>
  </si>
  <si>
    <t>CAMPAGNA FRANKLYN N        MD</t>
  </si>
  <si>
    <t>FCAMPAGNA@KALEIDAHEALTH.ORG</t>
  </si>
  <si>
    <t>CAMPAGNA FRANKLYN</t>
  </si>
  <si>
    <t>CAMPAGNA FRANKLYN NELSON</t>
  </si>
  <si>
    <t>TALAL, ANDREW, MD</t>
  </si>
  <si>
    <t>E0086592</t>
  </si>
  <si>
    <t>TALAL ANDREW HENRY MD</t>
  </si>
  <si>
    <t>(646) 962-4800</t>
  </si>
  <si>
    <t>ATALAL@KALEIDAHEALTH.ORG</t>
  </si>
  <si>
    <t>TALAL ANDREW</t>
  </si>
  <si>
    <t>TALAL ANDREW HENRY</t>
  </si>
  <si>
    <t>520 E 70TH ST STE J314</t>
  </si>
  <si>
    <t>CHANG, JOAN, DO</t>
  </si>
  <si>
    <t>E0294336</t>
  </si>
  <si>
    <t>CHANG JOAN C</t>
  </si>
  <si>
    <t>CHANG, JOAN , DO</t>
  </si>
  <si>
    <t>(716) 887-4021</t>
  </si>
  <si>
    <t>JCHANG@PALLIATIVECARE.ORG</t>
  </si>
  <si>
    <t>CHANG JOAN</t>
  </si>
  <si>
    <t>CHANG JOAN C DO</t>
  </si>
  <si>
    <t>200 7TH ST</t>
  </si>
  <si>
    <t>MICHAEL, LORI, MD</t>
  </si>
  <si>
    <t>E0084754</t>
  </si>
  <si>
    <t>MICHAEL LORI A MD</t>
  </si>
  <si>
    <t>LMICHAEL@KALEIDAHEALTH.ORG</t>
  </si>
  <si>
    <t>MICHAEL LORI</t>
  </si>
  <si>
    <t>MARKER, DAVID, CRNA</t>
  </si>
  <si>
    <t>(716) 439-0699</t>
  </si>
  <si>
    <t>DMARKER@KALEIDAHEALTH.ORG</t>
  </si>
  <si>
    <t>MARKER DAVID</t>
  </si>
  <si>
    <t>17 LANSING ST</t>
  </si>
  <si>
    <t>AUBURN</t>
  </si>
  <si>
    <t>NOTARO, JULIE, CASAC</t>
  </si>
  <si>
    <t>NOTAROJ@SHSWNY.ORG</t>
  </si>
  <si>
    <t>NOTARO JULIE</t>
  </si>
  <si>
    <t>MOXHAM, SUZANNE, LCSW</t>
  </si>
  <si>
    <t>E0358284</t>
  </si>
  <si>
    <t>MOXHAM SUZANNE</t>
  </si>
  <si>
    <t>MOXHAM,  SUZANNE, SR COUNSELOR LICENSED</t>
  </si>
  <si>
    <t>6495 TRANSIT RD STE 800</t>
  </si>
  <si>
    <t>MCGHEE, MARY, BA</t>
  </si>
  <si>
    <t>MCGHEE, MARY,</t>
  </si>
  <si>
    <t>MCGHEE MARY MS.</t>
  </si>
  <si>
    <t>PATERSON, JOYCE, MD</t>
  </si>
  <si>
    <t>E0116969</t>
  </si>
  <si>
    <t>PATERSON M.D. J.</t>
  </si>
  <si>
    <t>JPATERSON@KALEIDAHEALTH.ORG</t>
  </si>
  <si>
    <t>PATERSON JOYCE</t>
  </si>
  <si>
    <t>REDICK, ROBERT, OTR</t>
  </si>
  <si>
    <t>E0343312</t>
  </si>
  <si>
    <t>REDICK ROBERT G</t>
  </si>
  <si>
    <t>REDICKR@SHSWNY.ORG</t>
  </si>
  <si>
    <t>REDICK ROBERT</t>
  </si>
  <si>
    <t>MILLING, DAVID, MD</t>
  </si>
  <si>
    <t>E0132689</t>
  </si>
  <si>
    <t>MILLING DAVID ANDREW MD</t>
  </si>
  <si>
    <t>MILLING DAVID</t>
  </si>
  <si>
    <t>MILLING DAVID ANDREW</t>
  </si>
  <si>
    <t>ZANG, MICHAEL, MD</t>
  </si>
  <si>
    <t>E0311037</t>
  </si>
  <si>
    <t>ZANG MICHAEL CLARK</t>
  </si>
  <si>
    <t>(585) 922-4050</t>
  </si>
  <si>
    <t>MZANG@KALEIDAHEALTH.ORG</t>
  </si>
  <si>
    <t>ZANG MICHAEL DR.</t>
  </si>
  <si>
    <t>1425 PORTLAND AVE</t>
  </si>
  <si>
    <t>LOREE, THOM, MD</t>
  </si>
  <si>
    <t>E0181322</t>
  </si>
  <si>
    <t>LOREE THOM ROBERT MD</t>
  </si>
  <si>
    <t>LOREE, THOM, MD, FACS</t>
  </si>
  <si>
    <t>TLOREE@KALEIDAHEALTH.ORG</t>
  </si>
  <si>
    <t>LOREE THOM</t>
  </si>
  <si>
    <t>MOHLER, JAMES, MD</t>
  </si>
  <si>
    <t>E0060587</t>
  </si>
  <si>
    <t>MOHLER JAMES LLOYD MD</t>
  </si>
  <si>
    <t>JMOHLER@KALEIDAHEALTH.ORG</t>
  </si>
  <si>
    <t>MOHLER JAMES</t>
  </si>
  <si>
    <t>HAMLIN, DEBORAH, CNP</t>
  </si>
  <si>
    <t>E0065479</t>
  </si>
  <si>
    <t>HAMLIN DEBORAH J</t>
  </si>
  <si>
    <t>HAMLIN, DEBORAH, ANP</t>
  </si>
  <si>
    <t>DHAMLIN@KALEIDAHEALTH.ORG</t>
  </si>
  <si>
    <t>HAMLIN DEBORAH MRS.</t>
  </si>
  <si>
    <t>CHEVLI, K, MD</t>
  </si>
  <si>
    <t>E0151760</t>
  </si>
  <si>
    <t>CHEVLI K KENT MD</t>
  </si>
  <si>
    <t>CHEVLI, K. KENT, MD</t>
  </si>
  <si>
    <t>KCHEVLI@KALEIDAHEALTH.ORG</t>
  </si>
  <si>
    <t>CHEVLI K DR.</t>
  </si>
  <si>
    <t>CHEVLI K KENT</t>
  </si>
  <si>
    <t>EDDIB, ABEER, MD</t>
  </si>
  <si>
    <t>E0062440</t>
  </si>
  <si>
    <t>EDDIB ABEER MD</t>
  </si>
  <si>
    <t>AEDDIB@KALEIDAHEALTH.ORG</t>
  </si>
  <si>
    <t>EDDIB ABEER DR.</t>
  </si>
  <si>
    <t>EDDIB ABEER</t>
  </si>
  <si>
    <t>UNIV GYN/OB INC</t>
  </si>
  <si>
    <t>ANAIN, JOSEPH, DPM</t>
  </si>
  <si>
    <t>E0174562</t>
  </si>
  <si>
    <t>ANAIN JOSEPH MARCEL JR DPM</t>
  </si>
  <si>
    <t>(716) 838-2693</t>
  </si>
  <si>
    <t>ANAIN JOSEPH</t>
  </si>
  <si>
    <t>ANAIN JOSEPH MARCEL JR</t>
  </si>
  <si>
    <t>2121 MAIN ST</t>
  </si>
  <si>
    <t>WARNER, ANDREW, MD</t>
  </si>
  <si>
    <t>E0111524</t>
  </si>
  <si>
    <t>WARNER ANDREW W MD</t>
  </si>
  <si>
    <t>WARNER ANDREW DR.</t>
  </si>
  <si>
    <t>ASSOC PHYS OF WNY</t>
  </si>
  <si>
    <t>CHASKES, MICHAEL, MD</t>
  </si>
  <si>
    <t>E0185396</t>
  </si>
  <si>
    <t>CHASKES MICHAEL J MD</t>
  </si>
  <si>
    <t>MCHASKES@KALEIDAHEALTH.ORG</t>
  </si>
  <si>
    <t>CHASKES MICHAEL DR.</t>
  </si>
  <si>
    <t>ARANI, DJAVAD, MD</t>
  </si>
  <si>
    <t>E0231923</t>
  </si>
  <si>
    <t>ARANI DJAVAD T PC          MD</t>
  </si>
  <si>
    <t>(716) 636-0189</t>
  </si>
  <si>
    <t>DARANI@KALEIDAHEALTH.ORG</t>
  </si>
  <si>
    <t>ARANI DJAVAD DR.</t>
  </si>
  <si>
    <t>18 LIMESTONE DR</t>
  </si>
  <si>
    <t>BONEBERG, RICHARD, CRNA</t>
  </si>
  <si>
    <t>RBONEBERG@KALEIDAHEALTH.ORG</t>
  </si>
  <si>
    <t>BONEBERG RICHARD</t>
  </si>
  <si>
    <t>219 BRYANT ST., CGF ANESTHESIA ASSOCIATES PC</t>
  </si>
  <si>
    <t>LASHBROOK, LORIE, MD</t>
  </si>
  <si>
    <t>E0041553</t>
  </si>
  <si>
    <t>LASHBROOK LORIE ANN MD</t>
  </si>
  <si>
    <t>LASHBROOK, LORIE,</t>
  </si>
  <si>
    <t>LASHBROOK LORIE DR.</t>
  </si>
  <si>
    <t>138 EAST MAIN STREET</t>
  </si>
  <si>
    <t>MANKA-BLACK, MICHELE, MD</t>
  </si>
  <si>
    <t>E0117608</t>
  </si>
  <si>
    <t>MANKA-BLACK MICHELE MD</t>
  </si>
  <si>
    <t>MMANKABLACK@KALEIDAHEALTH.ORG</t>
  </si>
  <si>
    <t>MANKA-BLACK MICHELE DR.</t>
  </si>
  <si>
    <t>TONAWANDA PEDS</t>
  </si>
  <si>
    <t>SCHENK, THOMAS,</t>
  </si>
  <si>
    <t>E0083898</t>
  </si>
  <si>
    <t>SCHENK THOMAS EDGAR MD</t>
  </si>
  <si>
    <t>SCHENK, THOMAS, MD</t>
  </si>
  <si>
    <t>TSCHENK2@KALEIDAHEALTH.ORG</t>
  </si>
  <si>
    <t>SCHENK THOMAS DR.</t>
  </si>
  <si>
    <t>SCHENK THOMAS EDGAR</t>
  </si>
  <si>
    <t>DELAWARE PEDIATRIC AS</t>
  </si>
  <si>
    <t>BECK, FREDERICK, MD</t>
  </si>
  <si>
    <t>E0239877</t>
  </si>
  <si>
    <t>BECK FREDERICK K           MD</t>
  </si>
  <si>
    <t>(716) 204-9711</t>
  </si>
  <si>
    <t>FBECK@KALEIDAHEALTH.ORG</t>
  </si>
  <si>
    <t>BECK FREDERICK</t>
  </si>
  <si>
    <t>17 TROY VIEW LN</t>
  </si>
  <si>
    <t>CHANG, HAN, MD</t>
  </si>
  <si>
    <t>E0239398</t>
  </si>
  <si>
    <t>CHANG HAN KYO              MD</t>
  </si>
  <si>
    <t>(716) 692-6569</t>
  </si>
  <si>
    <t>HCHANG@KALEIDAHEALTH.ORG</t>
  </si>
  <si>
    <t>CHANG HAN</t>
  </si>
  <si>
    <t>CHANG HAN KYO</t>
  </si>
  <si>
    <t>HART, VIRGINIA, NURSEPRAC</t>
  </si>
  <si>
    <t>E0112729</t>
  </si>
  <si>
    <t>HART VIRGINIA MARY</t>
  </si>
  <si>
    <t>HART, VIRGINIA, ANP</t>
  </si>
  <si>
    <t>VHART@KALEIDAHEALTH.ORG</t>
  </si>
  <si>
    <t>HART VIRGINIA</t>
  </si>
  <si>
    <t>KNORZ, DAVID, MD</t>
  </si>
  <si>
    <t>E0079109</t>
  </si>
  <si>
    <t>KNORZ DAVID WILLIAM MD</t>
  </si>
  <si>
    <t>DKNORZ@KALEIDAHEALTH.ORG</t>
  </si>
  <si>
    <t>KNORZ DAVID DR.</t>
  </si>
  <si>
    <t>KALIEDA HLTH MF HOSP</t>
  </si>
  <si>
    <t>DEAN, ERIC, RPAC</t>
  </si>
  <si>
    <t>E0057204</t>
  </si>
  <si>
    <t>DEAN ERIC E RPA</t>
  </si>
  <si>
    <t>DEAN, ERIC, PA</t>
  </si>
  <si>
    <t>(716) 433-2973</t>
  </si>
  <si>
    <t>EDEAN@KALEIDAHEALTH.ORG</t>
  </si>
  <si>
    <t>DEAN ERIC MR.</t>
  </si>
  <si>
    <t>BUFFALO SPINE SURGER</t>
  </si>
  <si>
    <t>SPERRY, HOWARD, MD</t>
  </si>
  <si>
    <t>E0229170</t>
  </si>
  <si>
    <t>SPERRY HOWARD E</t>
  </si>
  <si>
    <t>HOWARD SPERRY</t>
  </si>
  <si>
    <t>(716) 898-4899</t>
  </si>
  <si>
    <t>HSPERRY@ECMC.EDU</t>
  </si>
  <si>
    <t>SPERRY HOWARD</t>
  </si>
  <si>
    <t>COVEY, ANDREW, MD</t>
  </si>
  <si>
    <t>E0033209</t>
  </si>
  <si>
    <t>COVEY ANDREW JASON MD</t>
  </si>
  <si>
    <t>ACOVEY@KALEIDAHEALTH.ORG</t>
  </si>
  <si>
    <t>COVEY ANDREW DR.</t>
  </si>
  <si>
    <t>ALEXANDER LAURIE</t>
  </si>
  <si>
    <t>E0065466</t>
  </si>
  <si>
    <t>ALEXANDER LAURIE T</t>
  </si>
  <si>
    <t>ALEXANDER LAURIE TOMANI</t>
  </si>
  <si>
    <t>BARON-STONE, JUDITH, MD</t>
  </si>
  <si>
    <t>E0210788</t>
  </si>
  <si>
    <t>BARON STONE JUDITH L       MD</t>
  </si>
  <si>
    <t>JBARONSTONE@KALEIDAHEALTH.ORG</t>
  </si>
  <si>
    <t>BARON-STONE JUDITH DR.</t>
  </si>
  <si>
    <t>COWAN, THOMAS, MD</t>
  </si>
  <si>
    <t>E0180464</t>
  </si>
  <si>
    <t>COWAN THOMAS B   MD</t>
  </si>
  <si>
    <t>TCOWAN@KALEIDAHEALTH.ORG</t>
  </si>
  <si>
    <t>COWAN THOMAS</t>
  </si>
  <si>
    <t>PHILLIPS, EMILIA, MD</t>
  </si>
  <si>
    <t>E0111525</t>
  </si>
  <si>
    <t>PHILLIPS EMILIA</t>
  </si>
  <si>
    <t>(716) 834-5517</t>
  </si>
  <si>
    <t>EPHILLIPS@KALEIDAHEALTH.ORG</t>
  </si>
  <si>
    <t>RABICE, MICHAEL, MD</t>
  </si>
  <si>
    <t>E0128345</t>
  </si>
  <si>
    <t>RABICE MICHAEL D MD</t>
  </si>
  <si>
    <t>MRABICE@KALEIDAHEALTH.ORG</t>
  </si>
  <si>
    <t>RABICE MICHAEL DR.</t>
  </si>
  <si>
    <t>DOUGHERTY, DAVID, DO</t>
  </si>
  <si>
    <t>E0149685</t>
  </si>
  <si>
    <t>DOUGHERTY DAVID R DO</t>
  </si>
  <si>
    <t>DDOUGHERTY@KALEIDAHEALTH.ORG</t>
  </si>
  <si>
    <t>DOUGHERTY DAVID DR.</t>
  </si>
  <si>
    <t>STOKOE, GAIL, MD</t>
  </si>
  <si>
    <t>E0090894</t>
  </si>
  <si>
    <t>STOKOE GAIL ELIZABETH MD</t>
  </si>
  <si>
    <t>GSTOKOE@KALEIDAHEALTH.ORG</t>
  </si>
  <si>
    <t>STOKOE GAIL DR.</t>
  </si>
  <si>
    <t>2273 CLINTON AVE S</t>
  </si>
  <si>
    <t>GUTSIN, STEVEN, DPM</t>
  </si>
  <si>
    <t>E0146270</t>
  </si>
  <si>
    <t>GUTSIN STEVEN BRUCE</t>
  </si>
  <si>
    <t>(716) 646-6006</t>
  </si>
  <si>
    <t>SGUTSIN@KALEIDAHEALTH.ORG</t>
  </si>
  <si>
    <t>GUTSIN STEVEN DR.</t>
  </si>
  <si>
    <t>41 BENDER DR</t>
  </si>
  <si>
    <t>MCLEAN, TERRENCE, DDS</t>
  </si>
  <si>
    <t>E0196675</t>
  </si>
  <si>
    <t>MCLEAN TERRENCE R         DDS</t>
  </si>
  <si>
    <t>TMCLEAN@ECMC.EDU</t>
  </si>
  <si>
    <t>MCLEAN TERRENCE</t>
  </si>
  <si>
    <t>ROMANOWSKI, ROSLYN, MD</t>
  </si>
  <si>
    <t>E0151512</t>
  </si>
  <si>
    <t>ROMANOWSKI ROSLYN R MD</t>
  </si>
  <si>
    <t>RROMANOWSKI@KALEIDAHEALTH.ORG</t>
  </si>
  <si>
    <t>ROMANOWSKI ROSLYN</t>
  </si>
  <si>
    <t>CENTURY MED STE 100</t>
  </si>
  <si>
    <t>ZIZZI, JOSEPH, MD</t>
  </si>
  <si>
    <t>E0175045</t>
  </si>
  <si>
    <t>ZIZZI JOSEPH ANTHONY JR MD</t>
  </si>
  <si>
    <t>ZIZZI JOSEPH DR.</t>
  </si>
  <si>
    <t>RITTER, CHRISTOPHER, MD</t>
  </si>
  <si>
    <t>E0043748</t>
  </si>
  <si>
    <t>RITTER CHRISTOPHER MD</t>
  </si>
  <si>
    <t>CRITTER@KALEIDAHEALTH.ORG</t>
  </si>
  <si>
    <t>RITTER CHRISTOPHER</t>
  </si>
  <si>
    <t>PATEL, SANGITA, MD</t>
  </si>
  <si>
    <t>E0296686</t>
  </si>
  <si>
    <t>PATEL SANGITA PANKAJKUMAR</t>
  </si>
  <si>
    <t>PATEL, SANGITA, MD PHD</t>
  </si>
  <si>
    <t>(716) 881-7900</t>
  </si>
  <si>
    <t>SPATEL6@KALEIDAHEALTH.ORG</t>
  </si>
  <si>
    <t>PATEL SANGITA</t>
  </si>
  <si>
    <t>LIN, LIN, MD</t>
  </si>
  <si>
    <t>E0031704</t>
  </si>
  <si>
    <t>LIN LIN MD</t>
  </si>
  <si>
    <t>LLIN@KALEIDAHEALTH.ORG</t>
  </si>
  <si>
    <t>LIN LIN</t>
  </si>
  <si>
    <t>6255 SHERIDAN DR</t>
  </si>
  <si>
    <t>MONTGOMERY, PAUL, MD</t>
  </si>
  <si>
    <t>E0220050</t>
  </si>
  <si>
    <t>MONTGOMERY PAUL            MD</t>
  </si>
  <si>
    <t>PMONTGOMERY@KALEIDAHEALTH.ORG</t>
  </si>
  <si>
    <t>MONTGOMERY PAUL</t>
  </si>
  <si>
    <t>FRECH, MICHELE, DO</t>
  </si>
  <si>
    <t>E0125312</t>
  </si>
  <si>
    <t>FRECH MICHELE HOLLY MD</t>
  </si>
  <si>
    <t>M.FRECH@NWBCHCC.ORG</t>
  </si>
  <si>
    <t>FRECH MICHELE</t>
  </si>
  <si>
    <t>GRISANTI, JOSEPH, MD</t>
  </si>
  <si>
    <t>E0168317</t>
  </si>
  <si>
    <t>GRISANTI JOSEPH MD</t>
  </si>
  <si>
    <t>JGRISANTI@KALEIDAHEALTH.ORG</t>
  </si>
  <si>
    <t>GRISANTI JOSEPH DR.</t>
  </si>
  <si>
    <t>3065 SOUTHWESTERN BLVD</t>
  </si>
  <si>
    <t>BERNAT, JOSEPH, DDS</t>
  </si>
  <si>
    <t>E0237989</t>
  </si>
  <si>
    <t>BERNAT JOSEPH E DDS</t>
  </si>
  <si>
    <t>JBERNAT2@KALEIDAHEALTH.ORG</t>
  </si>
  <si>
    <t>BERNAT JOSEPH DR.</t>
  </si>
  <si>
    <t>BROWN, LAWLER, AS</t>
  </si>
  <si>
    <t>BROWN,  JARNITA, ADMIN ASSIST - HHS</t>
  </si>
  <si>
    <t>BROWN LAWLER</t>
  </si>
  <si>
    <t>FREDERICK, CARLA, MD</t>
  </si>
  <si>
    <t>E0316372</t>
  </si>
  <si>
    <t>FREDERICK CARLA A</t>
  </si>
  <si>
    <t>CFREDERICK@KALEIDAHEALTH.ORG</t>
  </si>
  <si>
    <t>FREDERICK CARLA DR.</t>
  </si>
  <si>
    <t>WILKINS, DIANA, MD</t>
  </si>
  <si>
    <t>E0012271</t>
  </si>
  <si>
    <t>WILKINS DIANA GARBER  MD</t>
  </si>
  <si>
    <t>(716) 835-9800</t>
  </si>
  <si>
    <t>DWILKINS@KALEIDAHEALTH.ORG</t>
  </si>
  <si>
    <t>WILKINS DIANA</t>
  </si>
  <si>
    <t>PATTI, JOHN, MD</t>
  </si>
  <si>
    <t>E0092223</t>
  </si>
  <si>
    <t>PATTI JOHN P JR MD</t>
  </si>
  <si>
    <t>JPATTI@KALEIDAHEALTH.ORG</t>
  </si>
  <si>
    <t>PATTI JOHN DR.</t>
  </si>
  <si>
    <t>URETA, LAURA, MD</t>
  </si>
  <si>
    <t>E0164448</t>
  </si>
  <si>
    <t>URETA LAURA MD</t>
  </si>
  <si>
    <t>LURETA@KALEIDAHEALTH.ORG</t>
  </si>
  <si>
    <t>URETA LAURA DR.</t>
  </si>
  <si>
    <t>AVINO, LORIANNE, DO</t>
  </si>
  <si>
    <t>E0013953</t>
  </si>
  <si>
    <t>PEREIRA LORIANNE MD</t>
  </si>
  <si>
    <t>(716) 667-2064</t>
  </si>
  <si>
    <t>LAVINO@KALEIDAHEALTH.ORG</t>
  </si>
  <si>
    <t>AVINO LORIANNE</t>
  </si>
  <si>
    <t>AVINO LORIANNE E  MD</t>
  </si>
  <si>
    <t>NABI, SAYEED, MD</t>
  </si>
  <si>
    <t>E0238493</t>
  </si>
  <si>
    <t>NABI SAYEED                MD</t>
  </si>
  <si>
    <t>SNABI@KALEIDAHEALTH.ORG</t>
  </si>
  <si>
    <t>NABI SAYEED</t>
  </si>
  <si>
    <t>POPAT, SAURIN, MD</t>
  </si>
  <si>
    <t>E0092986</t>
  </si>
  <si>
    <t>POPAT SAURIN RAJNIKANT MD</t>
  </si>
  <si>
    <t>POPAT, SAURIN, MD, MBA</t>
  </si>
  <si>
    <t>SPOPAT@KALEIDAHEALTH.ORG</t>
  </si>
  <si>
    <t>POPAT SAURIN DR.</t>
  </si>
  <si>
    <t>STE 200</t>
  </si>
  <si>
    <t>CHATRATH, KAPIL, MD</t>
  </si>
  <si>
    <t>E0142296</t>
  </si>
  <si>
    <t>CHATRATH KAPIL MD</t>
  </si>
  <si>
    <t>KCHATRATH@KALEIDAHEALTH.ORG</t>
  </si>
  <si>
    <t>CHATRATH KAPIL DR.</t>
  </si>
  <si>
    <t>COYNE, JOHN, MD</t>
  </si>
  <si>
    <t>E0191077</t>
  </si>
  <si>
    <t>COYNE JOHN FRANCIS MD</t>
  </si>
  <si>
    <t>JCOYNE@KALEIDAHEALTH.ORG</t>
  </si>
  <si>
    <t>COYNE JOHN</t>
  </si>
  <si>
    <t>LI, VEETAI, MD</t>
  </si>
  <si>
    <t>E0155963</t>
  </si>
  <si>
    <t>LI VEETAI  MD</t>
  </si>
  <si>
    <t>VLI@KALEIDAHEALTH.ORG</t>
  </si>
  <si>
    <t>LI VEETAI DR.</t>
  </si>
  <si>
    <t>BISSON, LESLIE, MD</t>
  </si>
  <si>
    <t>E0124814</t>
  </si>
  <si>
    <t>BISSON LESLIE J MD</t>
  </si>
  <si>
    <t>LBISSON@KALEIDAHEALTH.ORG</t>
  </si>
  <si>
    <t>BISSON LESLIE</t>
  </si>
  <si>
    <t>CHOE, HONG, MD</t>
  </si>
  <si>
    <t>E0124235</t>
  </si>
  <si>
    <t>CHOE HONG RAK</t>
  </si>
  <si>
    <t>CHOE HONG MR.</t>
  </si>
  <si>
    <t>LEVIN, TERRY, MD</t>
  </si>
  <si>
    <t>E0180043</t>
  </si>
  <si>
    <t>LEVIN TERRY L  MD</t>
  </si>
  <si>
    <t>(718) 920-4865</t>
  </si>
  <si>
    <t>TLEVIN@KALEIDAHEALTH.ORG</t>
  </si>
  <si>
    <t>LEVIN TERRY</t>
  </si>
  <si>
    <t>LEVIN TERRY LARICE</t>
  </si>
  <si>
    <t>622 W 168TH ST</t>
  </si>
  <si>
    <t>JAJKOWSKI, MARK, MD</t>
  </si>
  <si>
    <t>E0058643</t>
  </si>
  <si>
    <t>JAJKOWSKI MARK R MD</t>
  </si>
  <si>
    <t>(716) 332-3505</t>
  </si>
  <si>
    <t>MJAJKOWSKI@KALEIDAHEALTH.ORG</t>
  </si>
  <si>
    <t>JAJKOWSKI MARK DR.</t>
  </si>
  <si>
    <t>2809 WEHRLE DR STE 13</t>
  </si>
  <si>
    <t>GOULD, MARGARET, NP</t>
  </si>
  <si>
    <t>E0040368</t>
  </si>
  <si>
    <t>GOULD MARGARET A</t>
  </si>
  <si>
    <t>GOULD, MARGARET, ANP</t>
  </si>
  <si>
    <t>MGOULD@KALEIDAHEALTH.ORG</t>
  </si>
  <si>
    <t>GOULD MARGARET</t>
  </si>
  <si>
    <t>SULLIVAN NASCA, MAUREEN, DDS</t>
  </si>
  <si>
    <t>E0104000</t>
  </si>
  <si>
    <t>NASCA MAUREEN SULLIVAN</t>
  </si>
  <si>
    <t>SULLIVAN, MAUREEN, DDS</t>
  </si>
  <si>
    <t>MASULLIVAN@ECMC.EDU</t>
  </si>
  <si>
    <t>SULLIVAN NASCA MAUREEN</t>
  </si>
  <si>
    <t>RPCI CLINICAL PRACT</t>
  </si>
  <si>
    <t>ALI, BASHARAT, MD</t>
  </si>
  <si>
    <t>E0098964</t>
  </si>
  <si>
    <t>ALI BASHARAT MD</t>
  </si>
  <si>
    <t>BALI@KALEIDAHEALTH.ORG</t>
  </si>
  <si>
    <t>ALI BASHARAT</t>
  </si>
  <si>
    <t>CRONIN, LINDA, NP</t>
  </si>
  <si>
    <t>E0065505</t>
  </si>
  <si>
    <t>CRONIN LINDA</t>
  </si>
  <si>
    <t>CRONIN, LINDA, WNP</t>
  </si>
  <si>
    <t>LCRONIN@KALEIDAHEALTH.ORG</t>
  </si>
  <si>
    <t>WILLIAMSVILL</t>
  </si>
  <si>
    <t>GOTHGEN, NIELS, MD</t>
  </si>
  <si>
    <t>E0008321</t>
  </si>
  <si>
    <t>GOTHGEN NIELS ULRICH MD</t>
  </si>
  <si>
    <t>GOTHGEN NIELS DR.</t>
  </si>
  <si>
    <t>EXIGENCE HOSPITALIST MEDICAL SERVICES OF LEWISTON, PLLC</t>
  </si>
  <si>
    <t>E0012375</t>
  </si>
  <si>
    <t>EXIGENCE HOSPITALIST MED SVC LEWIST</t>
  </si>
  <si>
    <t>DANAKAS, GEORGE, MD</t>
  </si>
  <si>
    <t>E0194772</t>
  </si>
  <si>
    <t>DANAKAS GEORGE             MD</t>
  </si>
  <si>
    <t>GDANAKAS@KALEIDAHEALTH.ORG</t>
  </si>
  <si>
    <t>DANAKAS GEORGE</t>
  </si>
  <si>
    <t>HERBERGER, CINDY, NP</t>
  </si>
  <si>
    <t>E0049646</t>
  </si>
  <si>
    <t>HERBERGER CINDY M</t>
  </si>
  <si>
    <t>HERBERGER CINDY</t>
  </si>
  <si>
    <t>HAMILL, CHRISTOPHER, MD</t>
  </si>
  <si>
    <t>E0141846</t>
  </si>
  <si>
    <t>HAMILL CHRISTOPHER L MD</t>
  </si>
  <si>
    <t>(716) 878-7722</t>
  </si>
  <si>
    <t>CHAMILL@KALEIDAHEALTH.ORG</t>
  </si>
  <si>
    <t>HAMILL CHRISTOPHER</t>
  </si>
  <si>
    <t>235 NORTH ST</t>
  </si>
  <si>
    <t>PECHENIK, BORIS, MD</t>
  </si>
  <si>
    <t>E0122354</t>
  </si>
  <si>
    <t>PECHENIK BORIS MD</t>
  </si>
  <si>
    <t>BPECHENIK@KALEIDAHEALTH.ORG</t>
  </si>
  <si>
    <t>PECHENIK BORIS</t>
  </si>
  <si>
    <t>JUNG, HOON, MD</t>
  </si>
  <si>
    <t>E0022635</t>
  </si>
  <si>
    <t>JUNG HOON</t>
  </si>
  <si>
    <t>HJUNG@KALEIDAHEALTH.ORG</t>
  </si>
  <si>
    <t>JUNG HOON CHANG</t>
  </si>
  <si>
    <t>MAZURCZAK, MATTHEW, RPAC</t>
  </si>
  <si>
    <t>E0038254</t>
  </si>
  <si>
    <t>MAZURCZAK MATTHEW J RPA</t>
  </si>
  <si>
    <t>MAZURCZAK, MATTHEW, PA</t>
  </si>
  <si>
    <t>MMAZURCZAK@KALEIDAHEALTH.ORG</t>
  </si>
  <si>
    <t>MAZURCZAK MATTHEW</t>
  </si>
  <si>
    <t>MAZURCZAK MATTHEW JOSEPH</t>
  </si>
  <si>
    <t>D'SOUZA, CAROLINE, MD</t>
  </si>
  <si>
    <t>E0337583</t>
  </si>
  <si>
    <t>DSOUZA CAROLINE ANN</t>
  </si>
  <si>
    <t>(716) 639-7970</t>
  </si>
  <si>
    <t>CD'SOUZA@KALEIDAHEALTH.ORG</t>
  </si>
  <si>
    <t>D'SOUZA CAROLINE</t>
  </si>
  <si>
    <t>8750 TRANSIT RD STE 205</t>
  </si>
  <si>
    <t>FOOTE, THOMAS, OPHTHALMIC</t>
  </si>
  <si>
    <t>E0285379</t>
  </si>
  <si>
    <t>THOMAS C FOOTE</t>
  </si>
  <si>
    <t>FOOTE, THOMAS, OPTICIAN</t>
  </si>
  <si>
    <t>(585) 752-3838</t>
  </si>
  <si>
    <t>TOM@TCFOOTE.COM</t>
  </si>
  <si>
    <t>FOOTE THOMAS MR.</t>
  </si>
  <si>
    <t>FOOTE THOMAS C</t>
  </si>
  <si>
    <t>95 OLD ORCHARD DR</t>
  </si>
  <si>
    <t>FAZILI, SHARIFA, MD</t>
  </si>
  <si>
    <t>E0227890</t>
  </si>
  <si>
    <t>FAZILI SHARIFA             MD</t>
  </si>
  <si>
    <t>SFAZILI@KALEIDAHEALTH.ORG</t>
  </si>
  <si>
    <t>FAZILI SHARIFA DR.</t>
  </si>
  <si>
    <t>URBAN FAMILY PRACTICE PC</t>
  </si>
  <si>
    <t>E0372018</t>
  </si>
  <si>
    <t>DR. RAUL VAZQUEZ, MD</t>
  </si>
  <si>
    <t>(716) 882-0366</t>
  </si>
  <si>
    <t>RAUL.VAZQUEZ@GBUAHN.ORG</t>
  </si>
  <si>
    <t>564 NIAGARA ST</t>
  </si>
  <si>
    <t>SEIB, BEVERLY, ANP</t>
  </si>
  <si>
    <t>E0032626</t>
  </si>
  <si>
    <t>SEIB BEVERLY A</t>
  </si>
  <si>
    <t>BSEIB@KALEIDAHEALTH.ORG</t>
  </si>
  <si>
    <t>SEIB BEVERLY</t>
  </si>
  <si>
    <t>DESAI, PARAG, MD</t>
  </si>
  <si>
    <t>E0311831</t>
  </si>
  <si>
    <t>DESAI PARAG</t>
  </si>
  <si>
    <t>CONNOLLY, SARA, MD</t>
  </si>
  <si>
    <t>E0014143</t>
  </si>
  <si>
    <t>CONNOLLY SARA MD</t>
  </si>
  <si>
    <t>(716) 228-2485</t>
  </si>
  <si>
    <t>SCONNOLLY@KALEIDAHEALTH.ORG</t>
  </si>
  <si>
    <t>CONNOLLY SARA</t>
  </si>
  <si>
    <t>FOTI-CRAWFORD, KATHRYN, NP</t>
  </si>
  <si>
    <t>E0005931</t>
  </si>
  <si>
    <t>FOTI-CRAWFORD KATHRYN MARIE</t>
  </si>
  <si>
    <t>FOTI-CRAWFORD, KATHRYN, ANP</t>
  </si>
  <si>
    <t>(716) 683-0964</t>
  </si>
  <si>
    <t>KFOTI-CRAWFORD@KALEIDAHEALTH.ORG</t>
  </si>
  <si>
    <t>FOTI-CRAWFORD KATHRYN</t>
  </si>
  <si>
    <t>RAJESWARY, JYOTSNA, MD</t>
  </si>
  <si>
    <t>E0038832</t>
  </si>
  <si>
    <t>RAJESWARY JYOTSNA</t>
  </si>
  <si>
    <t>(716) 712-0851</t>
  </si>
  <si>
    <t>DRJYOTSNA@HOTMAIL.COM</t>
  </si>
  <si>
    <t>JOSLYN, DAVID, PA</t>
  </si>
  <si>
    <t>E0120761</t>
  </si>
  <si>
    <t>JOSLYN DAVID HAROLD</t>
  </si>
  <si>
    <t>DJOSLYN@KALEIDAHEALTH.ORG</t>
  </si>
  <si>
    <t>JOSLYN DAVID MR.</t>
  </si>
  <si>
    <t>JOSLYN DAVID HAROLD RPA</t>
  </si>
  <si>
    <t>ORLICK, ARTHUR, MD</t>
  </si>
  <si>
    <t>E0238264</t>
  </si>
  <si>
    <t>ORLICK ARTHUR EDWARD MD</t>
  </si>
  <si>
    <t>(716) 859-2605</t>
  </si>
  <si>
    <t>AORLICK2@KALEIDAHEALTH.ORG</t>
  </si>
  <si>
    <t>ORLICK ARTHUR</t>
  </si>
  <si>
    <t>DY, GRACE, MD</t>
  </si>
  <si>
    <t>E0001880</t>
  </si>
  <si>
    <t>DY GRACE</t>
  </si>
  <si>
    <t>GDY@KALEIDAHEALTH.ORG</t>
  </si>
  <si>
    <t>DY GRACE KHO MD</t>
  </si>
  <si>
    <t>ELM &amp; CARLTON STREETS</t>
  </si>
  <si>
    <t>DERKATZ, DANUTA, MD</t>
  </si>
  <si>
    <t>E0145802</t>
  </si>
  <si>
    <t>DERKATZ DANUTA TERESA MD</t>
  </si>
  <si>
    <t>(716) 298-0460</t>
  </si>
  <si>
    <t>DERKATZ DANUTA DR.</t>
  </si>
  <si>
    <t>BAKER, TRUDY, MD</t>
  </si>
  <si>
    <t>E0216316</t>
  </si>
  <si>
    <t>BAKER TRUDY R              MD</t>
  </si>
  <si>
    <t>TBAKER3@KALEIDAHEALTH.ORG</t>
  </si>
  <si>
    <t>BAKER TRUDY DR.</t>
  </si>
  <si>
    <t>RPCI CLIN PRAC PLAN</t>
  </si>
  <si>
    <t>SHAFFREY, JULIE, MD</t>
  </si>
  <si>
    <t>E0034772</t>
  </si>
  <si>
    <t>SHAFFREY JULIE KATHLEEN MD</t>
  </si>
  <si>
    <t>JSHAFFREY@KALEIDAHEALTH.ORG</t>
  </si>
  <si>
    <t>SHAFFREY JULIE DR.</t>
  </si>
  <si>
    <t>Wyoming County Community Health System-Behavioral Health</t>
  </si>
  <si>
    <t>CANAVAN, JAMES, MD</t>
  </si>
  <si>
    <t>E0239399</t>
  </si>
  <si>
    <t>CANAVAN J WILLIAM          MD</t>
  </si>
  <si>
    <t>(716) 592-2832</t>
  </si>
  <si>
    <t>JCANAVAN@KALEIDAHEALTH.ORG</t>
  </si>
  <si>
    <t>CANAVAN JAMES</t>
  </si>
  <si>
    <t>CANAVAN WILLIAM J</t>
  </si>
  <si>
    <t>DUPONT, PAUL, MD</t>
  </si>
  <si>
    <t>E0295734</t>
  </si>
  <si>
    <t>DUPONT PAUL G MD</t>
  </si>
  <si>
    <t>PDUPONT@KALEIDAHEALTH.ORG</t>
  </si>
  <si>
    <t>DUPONT PAUL DR.</t>
  </si>
  <si>
    <t>585 SCHENECTADY AVE</t>
  </si>
  <si>
    <t>KEATING, DANIEL, DPM</t>
  </si>
  <si>
    <t>E0198957</t>
  </si>
  <si>
    <t>KEATING DANIEL B</t>
  </si>
  <si>
    <t>(716) 838-2983</t>
  </si>
  <si>
    <t>DKEATING@KALEIDAHEALTH.ORG</t>
  </si>
  <si>
    <t>KEATING DANIEL</t>
  </si>
  <si>
    <t>VENUTO, ROCCO, MD</t>
  </si>
  <si>
    <t>E0238437</t>
  </si>
  <si>
    <t>VENUTO ROCCO C             MD</t>
  </si>
  <si>
    <t>RVENUTO@KALEIDAHEALTH.ORG</t>
  </si>
  <si>
    <t>VENUTO ROCCO</t>
  </si>
  <si>
    <t>VENUTO ROCCO C</t>
  </si>
  <si>
    <t>KHAN, NASIR, MD</t>
  </si>
  <si>
    <t>E0129899</t>
  </si>
  <si>
    <t>KHAN NASIR MAHMOOD MD</t>
  </si>
  <si>
    <t>KHAN NASIR</t>
  </si>
  <si>
    <t>ACADEMIC MED SVS</t>
  </si>
  <si>
    <t>MAGNO, REBECCA, MD</t>
  </si>
  <si>
    <t>E0296121</t>
  </si>
  <si>
    <t>MAGNO REBECCA</t>
  </si>
  <si>
    <t>RMAGNO@KALEIDAHEALTH.ORG</t>
  </si>
  <si>
    <t>MAGNO REBECCA DR.</t>
  </si>
  <si>
    <t>11700 GARRISON FOREST RD</t>
  </si>
  <si>
    <t>OWINGS MILLS</t>
  </si>
  <si>
    <t>PILI, ROBERTO, MD</t>
  </si>
  <si>
    <t>E0291343</t>
  </si>
  <si>
    <t>PILI ROBERTO MD</t>
  </si>
  <si>
    <t>RPILI@KALEIDAHEALTH.ORG</t>
  </si>
  <si>
    <t>PILI ROBERTO</t>
  </si>
  <si>
    <t>RABADI, NASHAT, MD</t>
  </si>
  <si>
    <t>E0152055</t>
  </si>
  <si>
    <t>RABADI NASHAT H MD</t>
  </si>
  <si>
    <t>NRABADI@KALEIDAHEALTH.ORG</t>
  </si>
  <si>
    <t>RABADI NASHAT DR.</t>
  </si>
  <si>
    <t>EASTERN NIAGARA OB/GYN PC</t>
  </si>
  <si>
    <t>E0024129</t>
  </si>
  <si>
    <t>EASTERN NIAGARA OBSTETRICS &amp; GYN</t>
  </si>
  <si>
    <t>EASTERN NIAGARA OB/GYN, PC</t>
  </si>
  <si>
    <t>175 WALNUT ST STE 7</t>
  </si>
  <si>
    <t>SIELSKI, LESTER, MD</t>
  </si>
  <si>
    <t>E0236818</t>
  </si>
  <si>
    <t>SIELSKI LESTER S   MD</t>
  </si>
  <si>
    <t>(716) 835-2984</t>
  </si>
  <si>
    <t>LSIELSKI@KALEIDAHEALTH.ORG</t>
  </si>
  <si>
    <t>SIELSKI LESTER DR.</t>
  </si>
  <si>
    <t>4239 MAPLE ROAD</t>
  </si>
  <si>
    <t>NAGALLA, RAJESWARA, MD</t>
  </si>
  <si>
    <t>E0148465</t>
  </si>
  <si>
    <t>NAGALLA RAJESWARA RAO MD</t>
  </si>
  <si>
    <t>(716) 437-0277</t>
  </si>
  <si>
    <t>NAGALLA RAJESWARA</t>
  </si>
  <si>
    <t>147 WASHBURN ST</t>
  </si>
  <si>
    <t>ZAMBRON, MARK, MD</t>
  </si>
  <si>
    <t>E0092195</t>
  </si>
  <si>
    <t>ZAMBRON MARK RICHARD MD</t>
  </si>
  <si>
    <t>MZAMBRON@KALEIDAHEALTH.ORG</t>
  </si>
  <si>
    <t>ZAMBRON MARK DR.</t>
  </si>
  <si>
    <t>JEHLE, DIETRICH, MD</t>
  </si>
  <si>
    <t>E0175897</t>
  </si>
  <si>
    <t>JEHLE DIETRICH V MD</t>
  </si>
  <si>
    <t>DJEHLE@KALEIDAHEALTH.ORG</t>
  </si>
  <si>
    <t>JEHLE DIETRICH</t>
  </si>
  <si>
    <t>AMBOR-HUTZ, MICHELE, NP</t>
  </si>
  <si>
    <t>E0065550</t>
  </si>
  <si>
    <t>AMBOR-HUTZ MICHELE</t>
  </si>
  <si>
    <t>AMBOR-HUTZ, MICHELE, WNP</t>
  </si>
  <si>
    <t>(716) 992-9362</t>
  </si>
  <si>
    <t>MAMBOR@KALEIDAHEALTH.ORG</t>
  </si>
  <si>
    <t>AMBOR-HUTZ MICHELE MRS.</t>
  </si>
  <si>
    <t>BENEDICT, RALPH, PHD</t>
  </si>
  <si>
    <t>E0164586</t>
  </si>
  <si>
    <t>BENEDICT RALPH HOLMES B  PHD</t>
  </si>
  <si>
    <t>RBENEDICT@KALEIDAHEALTH.ORG</t>
  </si>
  <si>
    <t>BENEDICT RALPH</t>
  </si>
  <si>
    <t>BENEDICT RALPH HOLMES BORING</t>
  </si>
  <si>
    <t>LYNCH, LISA, NPP</t>
  </si>
  <si>
    <t>E0065709</t>
  </si>
  <si>
    <t>LYNCH LISA A</t>
  </si>
  <si>
    <t>LYNCH, LISA, NP</t>
  </si>
  <si>
    <t>LYNCH LISA</t>
  </si>
  <si>
    <t>LYNCH LISA ANN</t>
  </si>
  <si>
    <t>TURAIF, NAJAT, MD</t>
  </si>
  <si>
    <t>E0081483</t>
  </si>
  <si>
    <t>TURAIF NAJAT ABDULAZIZ</t>
  </si>
  <si>
    <t>TURAIF, NAJAT, MBBS</t>
  </si>
  <si>
    <t>(716) 573-4896</t>
  </si>
  <si>
    <t>NTURAIF@KALEIDAHEALTH.ORG</t>
  </si>
  <si>
    <t>TURAIF NAJAT</t>
  </si>
  <si>
    <t>HOFFMAN, DAVID, MD</t>
  </si>
  <si>
    <t>E0251530</t>
  </si>
  <si>
    <t>HOFFMAN DAVID E            MD</t>
  </si>
  <si>
    <t>DHOFFMAN@KALEIDAHEALTH.ORG</t>
  </si>
  <si>
    <t>HOFFMAN DAVID DR.</t>
  </si>
  <si>
    <t>TESTA, LISA, NP</t>
  </si>
  <si>
    <t>E0096004</t>
  </si>
  <si>
    <t>TESTA LISA M</t>
  </si>
  <si>
    <t>TESTA, LISA, NNP</t>
  </si>
  <si>
    <t>LTESTA@KALEIDAHEALTH.ORG</t>
  </si>
  <si>
    <t>TESTA LISA</t>
  </si>
  <si>
    <t>COLE, LINDA, RPAC</t>
  </si>
  <si>
    <t>E0171670</t>
  </si>
  <si>
    <t>COLE LINDA E</t>
  </si>
  <si>
    <t>(585) 492-4010</t>
  </si>
  <si>
    <t>COLE LINDA MRS.</t>
  </si>
  <si>
    <t>KITCHEN, TIMOTHY, MD</t>
  </si>
  <si>
    <t>E0161254</t>
  </si>
  <si>
    <t>KITCHEN TIMOTHY M MD</t>
  </si>
  <si>
    <t>KITCHEN, TIMOTHY,</t>
  </si>
  <si>
    <t>KITCHEN TIMOTHY DR.</t>
  </si>
  <si>
    <t>KITCHEN TIMOTHY M</t>
  </si>
  <si>
    <t>CHUDY, MAX, MD</t>
  </si>
  <si>
    <t>E0190576</t>
  </si>
  <si>
    <t>CHUDY MAX R III</t>
  </si>
  <si>
    <t>MCHUDY@KALEIDAHEALTH.ORG</t>
  </si>
  <si>
    <t>CHUDY MAX</t>
  </si>
  <si>
    <t>ANAIN, PAUL, MD</t>
  </si>
  <si>
    <t>E0101864</t>
  </si>
  <si>
    <t>ANAIN PAUL MICHAEL MD</t>
  </si>
  <si>
    <t>(716) 837-2400</t>
  </si>
  <si>
    <t>PANAIN@KALEIDAHEALTH.ORG</t>
  </si>
  <si>
    <t>ANAIN PAUL</t>
  </si>
  <si>
    <t>CONWAY, DONNA, NP</t>
  </si>
  <si>
    <t>E0050308</t>
  </si>
  <si>
    <t>CONWAY DONNA J RIZZO</t>
  </si>
  <si>
    <t>CONWAY, DONNA, ANP</t>
  </si>
  <si>
    <t>DCONWAY@KALEIDAHEALTH.ORG</t>
  </si>
  <si>
    <t>CONWAY DONNA</t>
  </si>
  <si>
    <t>LAURIA, GERALD, MD</t>
  </si>
  <si>
    <t>E0215272</t>
  </si>
  <si>
    <t>LAURIA GERALD A            MD</t>
  </si>
  <si>
    <t>GLAURIA@KALEIDAHEALTH.ORG</t>
  </si>
  <si>
    <t>LAURIA GERALD DR.</t>
  </si>
  <si>
    <t>3675 SOUTHWESTERN BD</t>
  </si>
  <si>
    <t>CASTIGLIA, GREGORY, MD</t>
  </si>
  <si>
    <t>E0106594</t>
  </si>
  <si>
    <t>CASTIGLIA GREGORY J MD</t>
  </si>
  <si>
    <t>GCASTIGLIA@KALEIDAHEALTH.ORG</t>
  </si>
  <si>
    <t>CASTIGLIA GREGORY</t>
  </si>
  <si>
    <t>SISTERS CHARITY HOSP</t>
  </si>
  <si>
    <t>NAMASSIVAYA, NALINI, MD</t>
  </si>
  <si>
    <t>E0091339</t>
  </si>
  <si>
    <t>NAMASSIVAYA NALINI J MD</t>
  </si>
  <si>
    <t>NNAMASSIVAYA@KALEIDAHEALTH.ORG</t>
  </si>
  <si>
    <t>NAMASSIVAYA NALINI</t>
  </si>
  <si>
    <t>BUCCI, RUDOLF, FNP</t>
  </si>
  <si>
    <t>E0043740</t>
  </si>
  <si>
    <t>BUCCI RUDOLF D</t>
  </si>
  <si>
    <t>(716) 656-0565</t>
  </si>
  <si>
    <t>RBUCCI@KALEIDAHEALTH.ORG</t>
  </si>
  <si>
    <t>BUCCI RUDOLF</t>
  </si>
  <si>
    <t>FRITSCHI, PAUL, CRNA</t>
  </si>
  <si>
    <t>PFRITSCHI@KALEIDAHEALTH.ORG</t>
  </si>
  <si>
    <t>FRITSCHI PAUL</t>
  </si>
  <si>
    <t>CUDA, RITA, LMHC</t>
  </si>
  <si>
    <t>RCUDA@CATSWNY.ORG</t>
  </si>
  <si>
    <t>CUDA RITA MRS.</t>
  </si>
  <si>
    <t>MELTON, MICHELLE, BSWMBA</t>
  </si>
  <si>
    <t>MELTON,  MICHELLE, SUPERVISING SENIOR COUNSELOR</t>
  </si>
  <si>
    <t>MELTON MICHELLE MS.</t>
  </si>
  <si>
    <t>HOM, JENNIE, MD</t>
  </si>
  <si>
    <t>E0179331</t>
  </si>
  <si>
    <t>HOM JENNIE MD</t>
  </si>
  <si>
    <t>JHOM@KALEIDAHEALTH.ORG</t>
  </si>
  <si>
    <t>HOM JENNIE</t>
  </si>
  <si>
    <t>ILOZUE, FRANCES, MD</t>
  </si>
  <si>
    <t>E0012369</t>
  </si>
  <si>
    <t>RAPHA FAMILY MEDICINE PC</t>
  </si>
  <si>
    <t>FRANCIS ILOZUE</t>
  </si>
  <si>
    <t>(716) 200-4122</t>
  </si>
  <si>
    <t>FRANCES_EBELE@HOTMAIL.COM</t>
  </si>
  <si>
    <t>ILOZUE FRANCES DR.</t>
  </si>
  <si>
    <t>ILOZUE FRANCES EBELECHUKWU</t>
  </si>
  <si>
    <t>2200 MAIN ST</t>
  </si>
  <si>
    <t>NORRIS, KATRINA, MHC</t>
  </si>
  <si>
    <t>NORRISK@SHSWNY.ORG</t>
  </si>
  <si>
    <t>NORRIS KATRINA</t>
  </si>
  <si>
    <t>WILLIAMS, CHRISTINE, LCSWR</t>
  </si>
  <si>
    <t>E0396124</t>
  </si>
  <si>
    <t>WILLIAMS CHRISTINE M</t>
  </si>
  <si>
    <t>WILLIAMS, CHRISTINE, LCSW</t>
  </si>
  <si>
    <t>(716) 828-9700</t>
  </si>
  <si>
    <t>WILLIAMSC@SHSWNY.ORG</t>
  </si>
  <si>
    <t>WILLIAMS CHRISTINE MISS</t>
  </si>
  <si>
    <t>1280 MAIN ST FL 1</t>
  </si>
  <si>
    <t>E0353000</t>
  </si>
  <si>
    <t>CATTARAUGUS REHABILITATION CENTER I</t>
  </si>
  <si>
    <t>WILSON, KIMBERLEY, NP</t>
  </si>
  <si>
    <t>E0306999</t>
  </si>
  <si>
    <t>WILSON KIMBERLY ALEXANDRIA</t>
  </si>
  <si>
    <t>WILSON, KIMBERLEY, ANP</t>
  </si>
  <si>
    <t>(716) 289-5608</t>
  </si>
  <si>
    <t>KWILSON4@KALEIDAHEALTH.ORG</t>
  </si>
  <si>
    <t>WILSON KIMBERLEY MS.</t>
  </si>
  <si>
    <t>GREATER BUFFALO UNITED IPA</t>
  </si>
  <si>
    <t>E0338409</t>
  </si>
  <si>
    <t>MOMBA CHIA</t>
  </si>
  <si>
    <t>MOMBA.CHIA@GBUAHN.ORG</t>
  </si>
  <si>
    <t>557 NIAGARA ST</t>
  </si>
  <si>
    <t>E0328567</t>
  </si>
  <si>
    <t>ORLANDO, MATTHEW,</t>
  </si>
  <si>
    <t>ORLANDO,  MATTHEW, SR COUNSELOR LICENSED</t>
  </si>
  <si>
    <t>ORLANDO MATTHEW</t>
  </si>
  <si>
    <t>MIDDLEBROOKS, QUILETTE,</t>
  </si>
  <si>
    <t>MIDDLEBROOKS, QUILETTE, COUNSELOR III - HV</t>
  </si>
  <si>
    <t>MIDDLEBROOKS QUILETTE</t>
  </si>
  <si>
    <t>PARKER, MARIA, MSW</t>
  </si>
  <si>
    <t>PARKER, MARIA, LMSW</t>
  </si>
  <si>
    <t>PARKER MARIA</t>
  </si>
  <si>
    <t>O'CONNOR, TRACEY, MD</t>
  </si>
  <si>
    <t>E0068515</t>
  </si>
  <si>
    <t>OCONNOR TRACEY</t>
  </si>
  <si>
    <t>TO'CONNOR2@KALEIDAHEALTH.ORG</t>
  </si>
  <si>
    <t>O'CONNOR TRACEY</t>
  </si>
  <si>
    <t>OCONNOR TRACEY MD</t>
  </si>
  <si>
    <t>LIVECCHI MARK</t>
  </si>
  <si>
    <t>E0110822</t>
  </si>
  <si>
    <t>LIVECCHI MARK A MD</t>
  </si>
  <si>
    <t>PHYSICAL MEDICINE AND REHAB</t>
  </si>
  <si>
    <t>DEJNEKA, BOHDAN, MD</t>
  </si>
  <si>
    <t>E0187148</t>
  </si>
  <si>
    <t>DEJNEKA BOHDAN MD</t>
  </si>
  <si>
    <t>BDEJNEKA@KALEIDAHEALTH.ORG</t>
  </si>
  <si>
    <t>DEJNEKA BOHDAN DR.</t>
  </si>
  <si>
    <t>KUETTEL, MICHAEL, MD</t>
  </si>
  <si>
    <t>E0100932</t>
  </si>
  <si>
    <t>KUETTEL MICHAEL</t>
  </si>
  <si>
    <t>KUETTEL, MICHAEL, MD PHD</t>
  </si>
  <si>
    <t>MKUETTEL2@KALEIDAHEALTH.ORG</t>
  </si>
  <si>
    <t>LAFOUNTAIN, RICHARD, MD</t>
  </si>
  <si>
    <t>E0225344</t>
  </si>
  <si>
    <t>LAFOUNTAIN RICHARD         MD</t>
  </si>
  <si>
    <t>LAFOUNTAIN RICHARD DR.</t>
  </si>
  <si>
    <t>DILAMARTER THOMAS</t>
  </si>
  <si>
    <t>E0132593</t>
  </si>
  <si>
    <t>DILAMARTER JR. THOMAS I</t>
  </si>
  <si>
    <t>SCIRTO, KIRK, MD</t>
  </si>
  <si>
    <t>E0326116</t>
  </si>
  <si>
    <t>SCIRTO KIRK ANTHONY</t>
  </si>
  <si>
    <t>KIRK SCIRTO, , MD</t>
  </si>
  <si>
    <t>SCIRTO KIRK DR.</t>
  </si>
  <si>
    <t>LUKAN, JAMES, MD</t>
  </si>
  <si>
    <t>E0043761</t>
  </si>
  <si>
    <t>LUKAN JAMES K</t>
  </si>
  <si>
    <t>LUKAN JAMES DR.</t>
  </si>
  <si>
    <t>CLONTZ, KRISTA, ANP</t>
  </si>
  <si>
    <t>E0290768</t>
  </si>
  <si>
    <t>CLONTZ KRISTA MOLISON</t>
  </si>
  <si>
    <t>KCLONTZ@KALEIDAHEALTH.ORG</t>
  </si>
  <si>
    <t>CLONTZ KRISTA MRS.</t>
  </si>
  <si>
    <t>SHATKIN, SAMUEL, MD</t>
  </si>
  <si>
    <t>E0187403</t>
  </si>
  <si>
    <t>SHATKIN SAMUEL JR MD</t>
  </si>
  <si>
    <t>(716) 839-1700</t>
  </si>
  <si>
    <t>SSHATKIN@KALEIDAHEALTH.ORG</t>
  </si>
  <si>
    <t>SHATKIN SAMUEL DR.</t>
  </si>
  <si>
    <t>2500 KENSINGTON AVE</t>
  </si>
  <si>
    <t>LAURIA, PHILIP, MD</t>
  </si>
  <si>
    <t>E0159290</t>
  </si>
  <si>
    <t>LAURIA PHILIP G MD</t>
  </si>
  <si>
    <t>LAURIA PHILIP DR.</t>
  </si>
  <si>
    <t>LAURIA PHILIP GERARD</t>
  </si>
  <si>
    <t>Cattaraugus County Health Department</t>
  </si>
  <si>
    <t>Susan A. Andrews</t>
  </si>
  <si>
    <t>(716) 701-3438</t>
  </si>
  <si>
    <t>saandreWS@CattCO.Org</t>
  </si>
  <si>
    <t>BENNETT, GREGORY, MD</t>
  </si>
  <si>
    <t>E0192387</t>
  </si>
  <si>
    <t>BENNETT GREGORY JOHN MD</t>
  </si>
  <si>
    <t>(716) 932-7170</t>
  </si>
  <si>
    <t>GBENNETT2@KALEIDAHEALTH.ORG</t>
  </si>
  <si>
    <t>BENNETT GREGORY DR.</t>
  </si>
  <si>
    <t>BENNETT GREGORY JOHN</t>
  </si>
  <si>
    <t>POWALSKI, ROBERT, MD</t>
  </si>
  <si>
    <t>E0197862</t>
  </si>
  <si>
    <t>POWALSKI ROBERT JOHN JR    MD</t>
  </si>
  <si>
    <t>RPOWALSKI@KALEIDAHEALTH.ORG</t>
  </si>
  <si>
    <t>POWALSKI ROBERT</t>
  </si>
  <si>
    <t>989 KENMORE AVE</t>
  </si>
  <si>
    <t>ADAMS, CRISTINE, MD</t>
  </si>
  <si>
    <t>E0033208</t>
  </si>
  <si>
    <t>ADAMS CRISTINE MARIE MD</t>
  </si>
  <si>
    <t>(716) 883-9528</t>
  </si>
  <si>
    <t>CADAMS2@KALEIDAHEALTH.ORG</t>
  </si>
  <si>
    <t>ADAMS CRISTINE DR.</t>
  </si>
  <si>
    <t>KRUEGER, KRISTIN, PA</t>
  </si>
  <si>
    <t>E0017992</t>
  </si>
  <si>
    <t>MURCHISON KRISTIN D RPA</t>
  </si>
  <si>
    <t>KKRUEGER@KALEIDAHEALTH.ORG</t>
  </si>
  <si>
    <t>MURCHISON KRISTIN MRS.</t>
  </si>
  <si>
    <t>GOSY, EUGENE,</t>
  </si>
  <si>
    <t>E0168323</t>
  </si>
  <si>
    <t>GOSY EUGENE J  MD</t>
  </si>
  <si>
    <t>GOSY, EUGENE, MD</t>
  </si>
  <si>
    <t>EGOSY@KALEIDAHEALTH.ORG</t>
  </si>
  <si>
    <t>GOSY EUGENE DR.</t>
  </si>
  <si>
    <t>GOSY EUGENE JENO</t>
  </si>
  <si>
    <t>MILLARD FILLMORE GAT</t>
  </si>
  <si>
    <t>BRYNILDSEN, MICHAEL, PA</t>
  </si>
  <si>
    <t>E0317639</t>
  </si>
  <si>
    <t>BRYNILDSEN MICHAEL R</t>
  </si>
  <si>
    <t>MBRYNILDSEN@KALEIDAHEALTH.ORG</t>
  </si>
  <si>
    <t>BRYNILDSEN MICHAEL</t>
  </si>
  <si>
    <t>TURNER, WILLIAM, CRNA</t>
  </si>
  <si>
    <t>WTURNER@KALEIDAHEALTH.ORG</t>
  </si>
  <si>
    <t>TURNER WILLIAM</t>
  </si>
  <si>
    <t>GRISANTE, EMILY, RPAC</t>
  </si>
  <si>
    <t>E0354111</t>
  </si>
  <si>
    <t>GRISANTE EMILY A</t>
  </si>
  <si>
    <t>GRISANTE, EMILY, PA-C</t>
  </si>
  <si>
    <t>EGRISANTE@KALEIDAHEALTH.ORG</t>
  </si>
  <si>
    <t>GRISANTE EMILY</t>
  </si>
  <si>
    <t>FRIEDAN, EMILY, MD</t>
  </si>
  <si>
    <t>E0194605</t>
  </si>
  <si>
    <t>FRIEDAN EMILY SARAH        MD</t>
  </si>
  <si>
    <t>EFRIEDAN@KALEIDAHEALTH.ORG</t>
  </si>
  <si>
    <t>FRIEDAN EMILY DR.</t>
  </si>
  <si>
    <t>FRIEDAN EMILY SARAH</t>
  </si>
  <si>
    <t>MAIN PEDIATRICS</t>
  </si>
  <si>
    <t>NELSON, GARY, DO</t>
  </si>
  <si>
    <t>E0192402</t>
  </si>
  <si>
    <t>NELSON GARY ROBERT MD</t>
  </si>
  <si>
    <t>NELSON GARY DR.</t>
  </si>
  <si>
    <t>NELSON GARY ROBERT</t>
  </si>
  <si>
    <t>DOUGLAS, DONALD, MD</t>
  </si>
  <si>
    <t>E0195177</t>
  </si>
  <si>
    <t>DOUGLAS DONALD P MD PC</t>
  </si>
  <si>
    <t>DDOUGLAS2@KALEIDAHEALTH.ORG</t>
  </si>
  <si>
    <t>DOUGLAS DONALD</t>
  </si>
  <si>
    <t>MEADOWLANDS</t>
  </si>
  <si>
    <t>HUA, SHUMAN, MD</t>
  </si>
  <si>
    <t>E0050797</t>
  </si>
  <si>
    <t>HUA SHUMAN  MD</t>
  </si>
  <si>
    <t>SHUA@KALEIDAHEALTH.ORG</t>
  </si>
  <si>
    <t>HUA SHUMAN DR.</t>
  </si>
  <si>
    <t>MERCY HSP</t>
  </si>
  <si>
    <t>RAIKEN, DEBORAH, MD</t>
  </si>
  <si>
    <t>E0223277</t>
  </si>
  <si>
    <t>RAIKEN DEBORAH FAYE        MD</t>
  </si>
  <si>
    <t>DRAIKEN@KALEIDAHEALTH.ORG</t>
  </si>
  <si>
    <t>RAIKEN DEBORAH</t>
  </si>
  <si>
    <t>RAIKEN DEBORAH FAYE MD</t>
  </si>
  <si>
    <t>TODORO, CARMEN, MD</t>
  </si>
  <si>
    <t>E0181016</t>
  </si>
  <si>
    <t>TODORO CARMEN M MD</t>
  </si>
  <si>
    <t>CTODORO@KALEIDAHEALTH.ORG</t>
  </si>
  <si>
    <t>TODORO CARMEN DR.</t>
  </si>
  <si>
    <t>GULATI, ASHVANI, MD</t>
  </si>
  <si>
    <t>E0175709</t>
  </si>
  <si>
    <t>GULATI ASHVANI K  M D P C</t>
  </si>
  <si>
    <t>(716) 874-2455</t>
  </si>
  <si>
    <t>AGULATI@KALEIDAHEALTH.ORG</t>
  </si>
  <si>
    <t>GULATI ASHVANI DR.</t>
  </si>
  <si>
    <t>BUFFALO EYE CENTER</t>
  </si>
  <si>
    <t>WILLIS, DANIEL, MD</t>
  </si>
  <si>
    <t>E0192150</t>
  </si>
  <si>
    <t>WILLIS DANIEL J MD</t>
  </si>
  <si>
    <t>DANIEL.WILLIS@OMH.NY.GOV</t>
  </si>
  <si>
    <t>WILLIS DANIEL</t>
  </si>
  <si>
    <t>SHEA, COLLEEN,</t>
  </si>
  <si>
    <t>SHEA, COLLEEN, RN - HV</t>
  </si>
  <si>
    <t>SHEA COLLEEN</t>
  </si>
  <si>
    <t>KENDRA, CHELSEA,</t>
  </si>
  <si>
    <t>E0384261</t>
  </si>
  <si>
    <t>KENDRA CHELSEA ROSE</t>
  </si>
  <si>
    <t>KENDRA,  CHELSEA, NURSE PRACTITIONER - PSYCH</t>
  </si>
  <si>
    <t>KENDRA CHELSEA</t>
  </si>
  <si>
    <t>CALDEMEYER, KAREN, MD</t>
  </si>
  <si>
    <t>E0298426</t>
  </si>
  <si>
    <t>CALDEMEYER KAR</t>
  </si>
  <si>
    <t>KCALDEMEYER@KALEIDAHEALTH.ORG</t>
  </si>
  <si>
    <t>CALDEMEYER KAREN</t>
  </si>
  <si>
    <t>68 HARRIS BUSHVILLE</t>
  </si>
  <si>
    <t>VERHEYN, LISA, LMSW</t>
  </si>
  <si>
    <t>VERHEYN LISA MISS</t>
  </si>
  <si>
    <t>Cattaraugus County Department of Aging/NY Connects</t>
  </si>
  <si>
    <t>Cathy Mackay</t>
  </si>
  <si>
    <t>(716) 373-8032</t>
  </si>
  <si>
    <t>cmmackay@cattco.org</t>
  </si>
  <si>
    <t>CATTARAUGUS COUNTY DEPARTMENT OF THE AGING</t>
  </si>
  <si>
    <t>1 LEO MOSS DR, SUITE 7610</t>
  </si>
  <si>
    <t>STANISZEWSKI, TERESA, NP</t>
  </si>
  <si>
    <t>E0068223</t>
  </si>
  <si>
    <t>STANISZEWSKI THERESA L</t>
  </si>
  <si>
    <t>STANISZEWSKI, TERESA, ANP</t>
  </si>
  <si>
    <t>TSTANISZEWSKI@KALEIDAHEALTH.ORG</t>
  </si>
  <si>
    <t>STANISZEWSKI TERESA</t>
  </si>
  <si>
    <t>REMINGTON, KELLY, RPAC</t>
  </si>
  <si>
    <t>E0065623</t>
  </si>
  <si>
    <t>REMINGTON KELLY S RPA</t>
  </si>
  <si>
    <t>REMINGTON , KELLY  , PA</t>
  </si>
  <si>
    <t>KREMINGTON@UPA.CHOB.EDU</t>
  </si>
  <si>
    <t>REMINGTON KELLY</t>
  </si>
  <si>
    <t>WANDASS, JOSEPH, MD</t>
  </si>
  <si>
    <t>E0072784</t>
  </si>
  <si>
    <t>WANDASS JOSEPH H III MD</t>
  </si>
  <si>
    <t>WANDASS JOSEPH DR.</t>
  </si>
  <si>
    <t>BUTLER, BRYAN,</t>
  </si>
  <si>
    <t>E0094282</t>
  </si>
  <si>
    <t>BUTLER BRYAN NELSON MD</t>
  </si>
  <si>
    <t>BUTLER, BRYAN, MD</t>
  </si>
  <si>
    <t>BBUTLER2@KALEIDAHEALTH.ORG</t>
  </si>
  <si>
    <t>BUTLER BRYAN DR.</t>
  </si>
  <si>
    <t>HURD, JAMES, PAC</t>
  </si>
  <si>
    <t>E0037552</t>
  </si>
  <si>
    <t>HURD JAMES A RPA</t>
  </si>
  <si>
    <t>HURD, JAMES, PA-C</t>
  </si>
  <si>
    <t>(800) 456-4629</t>
  </si>
  <si>
    <t>JHURD@KALEIDAHEALTH.ORG</t>
  </si>
  <si>
    <t>HURD JAMES</t>
  </si>
  <si>
    <t>KARAMANOUKIAN, HRATCH, MD</t>
  </si>
  <si>
    <t>E0105549</t>
  </si>
  <si>
    <t>KARAMANOUKIAN HRATCH L MD</t>
  </si>
  <si>
    <t>(716) 839-3638</t>
  </si>
  <si>
    <t>HKARAMANOUKIAN@KALEIDAHEALTH.ORG</t>
  </si>
  <si>
    <t>KARAMANOUKIAN HRATCH DR.</t>
  </si>
  <si>
    <t>KARAMANOUKIAN HRATCH LEON MD</t>
  </si>
  <si>
    <t>BERGSLAND &amp; SALERNO</t>
  </si>
  <si>
    <t>GUTOWSKI, JULIA, LMHCCASA</t>
  </si>
  <si>
    <t>GUTOWSKI, JULIA, CASAC</t>
  </si>
  <si>
    <t>GUTOWSKIJ@SHSWNY.ORG</t>
  </si>
  <si>
    <t>GUTOWSKI JULIA</t>
  </si>
  <si>
    <t>SPERRAZZA, CHARLES, MD</t>
  </si>
  <si>
    <t>E0025429</t>
  </si>
  <si>
    <t>SPERRAZZA CHARLES VINCENT MD</t>
  </si>
  <si>
    <t>(716) 741-8224</t>
  </si>
  <si>
    <t>CSPERRAZZA@KALEIDAHEALTH.ORG</t>
  </si>
  <si>
    <t>SPERRAZZA CHARLES DR.</t>
  </si>
  <si>
    <t>CICCHETTI, MICHAEL, MD</t>
  </si>
  <si>
    <t>E0294069</t>
  </si>
  <si>
    <t>CICCHETTI MICHAEL SCOTT</t>
  </si>
  <si>
    <t>MCICCHETTI@KALEIDAHEALTH.ORG</t>
  </si>
  <si>
    <t>CICCHETTI MICHAEL</t>
  </si>
  <si>
    <t>CICCHETTI MICHAEL S MD</t>
  </si>
  <si>
    <t>200 STERLING DR</t>
  </si>
  <si>
    <t>PYZIKIEWICZ, LAURA, RPAC</t>
  </si>
  <si>
    <t>E0312789</t>
  </si>
  <si>
    <t>PYZIKIEWICZ LAURA ANN</t>
  </si>
  <si>
    <t>PYZIKIEWICZ, LAURA, PA</t>
  </si>
  <si>
    <t>LPYZIKIEWICZ@KALEIDAHEALTH.ORG</t>
  </si>
  <si>
    <t>KELLY LAURA MRS.</t>
  </si>
  <si>
    <t>CASSEL, KERRY, MD</t>
  </si>
  <si>
    <t>E0294456</t>
  </si>
  <si>
    <t>CASSEL KERRY P</t>
  </si>
  <si>
    <t>KCASSEL@KALEIDAHEALTH.ORG</t>
  </si>
  <si>
    <t>HLUBIK KERRY DR.</t>
  </si>
  <si>
    <t>HLUBIK KERRY P</t>
  </si>
  <si>
    <t>KRYSZAK, AMY,</t>
  </si>
  <si>
    <t>E0394770</t>
  </si>
  <si>
    <t>KRYSZAK AMY MICHELLE</t>
  </si>
  <si>
    <t>KRYSZAK, AMY, LMSW</t>
  </si>
  <si>
    <t>KRYSZAK AMY</t>
  </si>
  <si>
    <t>KOUMOUNDOUROS, JAMIE, PA</t>
  </si>
  <si>
    <t>E0318615</t>
  </si>
  <si>
    <t>KOUMOUNDOUROS JAMIE LYNN</t>
  </si>
  <si>
    <t>JKOUMOUNDOUROS@KALEIDAHEALTH.ORG</t>
  </si>
  <si>
    <t>KOUMOUNDOUROS JAMIE MS.</t>
  </si>
  <si>
    <t>45 READE PL</t>
  </si>
  <si>
    <t>POUGHKEEPSIE</t>
  </si>
  <si>
    <t>KOTT, STEPHANIE, PA</t>
  </si>
  <si>
    <t>SKOTT@KALEIDAHEALTH.ORG</t>
  </si>
  <si>
    <t>KAMINSKA STEPHANIE</t>
  </si>
  <si>
    <t>CASTELLANA, MELISSA, LMSW</t>
  </si>
  <si>
    <t>KEITZ, MELISSA MARIE, LMSW</t>
  </si>
  <si>
    <t>MKEITZ@CATSWNY.ORG</t>
  </si>
  <si>
    <t>CASTELLANA MELISSA MS.</t>
  </si>
  <si>
    <t>LYON, BRYN, LMSW</t>
  </si>
  <si>
    <t>(716) 278-1941</t>
  </si>
  <si>
    <t>BRYN.LYON@NIAGARACOUNTY.COM</t>
  </si>
  <si>
    <t>LYON BRYN MS.</t>
  </si>
  <si>
    <t>1001 11TH ST, TROTT ACCESS BUILDING</t>
  </si>
  <si>
    <t>LIU-CHEN, XINYUE, MD</t>
  </si>
  <si>
    <t>E0015621</t>
  </si>
  <si>
    <t>LIU-CHEN XINYUE MD</t>
  </si>
  <si>
    <t>XLIUCHEN@KALEIDAHEALTH.ORG</t>
  </si>
  <si>
    <t>LIU-CHEN XINYUE</t>
  </si>
  <si>
    <t>PLUNKETT, ROBERT, MD</t>
  </si>
  <si>
    <t>E0179499</t>
  </si>
  <si>
    <t>PLUNKETT ROBERT J JR MD</t>
  </si>
  <si>
    <t>(716) 218-1020</t>
  </si>
  <si>
    <t>RPLUNKETT2@KALEIDAHEALTH.ORG</t>
  </si>
  <si>
    <t>PLUNKETT ROBERT</t>
  </si>
  <si>
    <t>WILKINS, HOLLY, FNPBC</t>
  </si>
  <si>
    <t>E0383376</t>
  </si>
  <si>
    <t>WILKINS HOLLY</t>
  </si>
  <si>
    <t>WILKINS, HOLLY, FNP</t>
  </si>
  <si>
    <t>(716) 859-4255</t>
  </si>
  <si>
    <t>HWILKINS@KALEIDAHEALTH.ORG</t>
  </si>
  <si>
    <t>WILKINS HOLLY JO</t>
  </si>
  <si>
    <t>DEEBLE, DEBRA,</t>
  </si>
  <si>
    <t>DEEBLE,  DEBRA, SR COUNSELOR LICENSED</t>
  </si>
  <si>
    <t>DEEBLE DEBRA</t>
  </si>
  <si>
    <t>DANDONA, PARESH, MD</t>
  </si>
  <si>
    <t>E0136582</t>
  </si>
  <si>
    <t>DANDONA PARESH MD</t>
  </si>
  <si>
    <t>DANDONA, PARESH, MBBS</t>
  </si>
  <si>
    <t>PDANDONA@KALEIDAHEALTH.ORG</t>
  </si>
  <si>
    <t>DANDONA PARESH DR.</t>
  </si>
  <si>
    <t>JOBES, ANN MARIE, MD</t>
  </si>
  <si>
    <t>E0040614</t>
  </si>
  <si>
    <t>JOBES ANN MARIE MD</t>
  </si>
  <si>
    <t>AJOBES@KALEIDAHEALTH.ORG</t>
  </si>
  <si>
    <t>JOBES ANN MARIE DR.</t>
  </si>
  <si>
    <t>NYARKO, STANLEY, MD</t>
  </si>
  <si>
    <t>E0326832</t>
  </si>
  <si>
    <t>NYARDO STANLEY</t>
  </si>
  <si>
    <t>SNYARKO@KALEIDAHEALTH.ORG</t>
  </si>
  <si>
    <t>NYARKO STANLEY DR.</t>
  </si>
  <si>
    <t>FRANKIEWICH, KATHRYN, NP</t>
  </si>
  <si>
    <t>E0001874</t>
  </si>
  <si>
    <t>FRANKIEWICH KATHRYN</t>
  </si>
  <si>
    <t>FRANKIEWICH, KATHRYN, PNP</t>
  </si>
  <si>
    <t>(716) 878-1260</t>
  </si>
  <si>
    <t>KFRANKIEWICH@KALEIDAHEALTH.ORG</t>
  </si>
  <si>
    <t>FRANKIEWICH KATHRYN L</t>
  </si>
  <si>
    <t>BINGEMAN, DAWN, MD</t>
  </si>
  <si>
    <t>E0065528</t>
  </si>
  <si>
    <t>BINGEMAN DAWN MARIE MD</t>
  </si>
  <si>
    <t>DBINGEMAN@KALEIDAHEALTH.ORG</t>
  </si>
  <si>
    <t>BINGEMAN DAWN</t>
  </si>
  <si>
    <t>BUFFALO ER ASSOC</t>
  </si>
  <si>
    <t>NAKHLA, HASSAN, MD</t>
  </si>
  <si>
    <t>E0240444</t>
  </si>
  <si>
    <t>HOBAICA CHARLES B DPM</t>
  </si>
  <si>
    <t>HNAKHLA@KALEIDAHEALTH.ORG</t>
  </si>
  <si>
    <t>NAKHLA HASSAN</t>
  </si>
  <si>
    <t>1606 GENESEE ST</t>
  </si>
  <si>
    <t>UTICA</t>
  </si>
  <si>
    <t>SINDONI, FRANK, MD</t>
  </si>
  <si>
    <t>E0125541</t>
  </si>
  <si>
    <t>SINDONI FRANK THOMAS MD</t>
  </si>
  <si>
    <t>SINDONI, FRANK, DDS MD</t>
  </si>
  <si>
    <t>(716) 632-5557</t>
  </si>
  <si>
    <t>FSINDONI@KALEIDAHEALTH.ORG</t>
  </si>
  <si>
    <t>SINDONI FRANK DR.</t>
  </si>
  <si>
    <t>SINDONI FRANK THOMAS DDS</t>
  </si>
  <si>
    <t>6490 MAIN ST</t>
  </si>
  <si>
    <t>HAAR, MICHAEL, MD</t>
  </si>
  <si>
    <t>E0184923</t>
  </si>
  <si>
    <t>HAAR MICHAEL SAMUEL MD</t>
  </si>
  <si>
    <t>MHAAR@KALEIDAHEALTH.ORG</t>
  </si>
  <si>
    <t>HAAR MICHAEL DR.</t>
  </si>
  <si>
    <t>AIKAWA, TARO, MD</t>
  </si>
  <si>
    <t>E0318178</t>
  </si>
  <si>
    <t>AIKAWA TARO</t>
  </si>
  <si>
    <t>TAIKAWA@KALEIDAHEALTH.ORG</t>
  </si>
  <si>
    <t>AIKAWA TARO DR.</t>
  </si>
  <si>
    <t>MCGUIRE, ROSEMARIE, NP</t>
  </si>
  <si>
    <t>MCGUIRE, ROSEMARIE, ANP</t>
  </si>
  <si>
    <t>(716) 887-4147</t>
  </si>
  <si>
    <t>RMCGUIRE@KALEIDAHEALTH.ORG</t>
  </si>
  <si>
    <t>MCGUIRE ROSEMARIE</t>
  </si>
  <si>
    <t>TORRE, JOSEPH, MD</t>
  </si>
  <si>
    <t>E0162782</t>
  </si>
  <si>
    <t>TORRE JOSEPH JOHN MD</t>
  </si>
  <si>
    <t>JTORRE@KALEIDAHEALTH.ORG</t>
  </si>
  <si>
    <t>TORRE JOSEPH DR.</t>
  </si>
  <si>
    <t>GOODLOE, SAMUEL, DDSMD</t>
  </si>
  <si>
    <t>E0079334</t>
  </si>
  <si>
    <t>GOODLOE SAMUEL III   DDS</t>
  </si>
  <si>
    <t>GOODLOE, SAMUEL, DDS MD</t>
  </si>
  <si>
    <t>(716) 626-0001</t>
  </si>
  <si>
    <t>SGOODLOE2@KALEIDAHEALTH.ORG</t>
  </si>
  <si>
    <t>GOODLOE SAMUEL DR.</t>
  </si>
  <si>
    <t>GOODLOE SAMUEL III</t>
  </si>
  <si>
    <t>1321 MILLERSPORT HWY STE 201</t>
  </si>
  <si>
    <t>DEAN, DAVID, MD</t>
  </si>
  <si>
    <t>E0240204</t>
  </si>
  <si>
    <t>DEAN DAVID CAMPBELL        MD</t>
  </si>
  <si>
    <t>(716) 836-0571</t>
  </si>
  <si>
    <t>DDEAN@KALEIDAHEALTH.ORG</t>
  </si>
  <si>
    <t>DEAN DAVID DR.</t>
  </si>
  <si>
    <t>CURL, G, MD</t>
  </si>
  <si>
    <t>E0188592</t>
  </si>
  <si>
    <t>CURL G RICHARD MD</t>
  </si>
  <si>
    <t>CURL, G. , MD</t>
  </si>
  <si>
    <t>(716) 859-3301</t>
  </si>
  <si>
    <t>GCURL@KALEIDAHEALTH.ORG</t>
  </si>
  <si>
    <t>CURL G DR.</t>
  </si>
  <si>
    <t>BUCHLIS, JOHN, MD</t>
  </si>
  <si>
    <t>E0124810</t>
  </si>
  <si>
    <t>BUCHLIS JOHN G MD</t>
  </si>
  <si>
    <t>BUCHLIS , JOHN    , MD</t>
  </si>
  <si>
    <t>JBUCHLIS@UPA.CHOB.EDU</t>
  </si>
  <si>
    <t>BUCHLIS JOHN</t>
  </si>
  <si>
    <t>CASTELLANI, DANIEL, MD</t>
  </si>
  <si>
    <t>E0210533</t>
  </si>
  <si>
    <t>CASTELLANI DANIEL ARMAND MD P</t>
  </si>
  <si>
    <t>(716) 626-2647</t>
  </si>
  <si>
    <t>DCASTELLANI@KALEIDAHEALTH.ORG</t>
  </si>
  <si>
    <t>CASTELLANI DANIEL DR.</t>
  </si>
  <si>
    <t>3125 MAIN ST</t>
  </si>
  <si>
    <t>MCDONELL, MARY, MD</t>
  </si>
  <si>
    <t>E0179804</t>
  </si>
  <si>
    <t>MCDONELL MARY JO MD</t>
  </si>
  <si>
    <t>MCDONELL MARY DR.</t>
  </si>
  <si>
    <t>PAWLOWSKI, JILL, MD</t>
  </si>
  <si>
    <t>E0020970</t>
  </si>
  <si>
    <t>PAWLOWSKI JILL M MD</t>
  </si>
  <si>
    <t>JPAWLOWSKI3@KALEIDAHEALTH.ORG</t>
  </si>
  <si>
    <t>PAWLOWSKI JILL</t>
  </si>
  <si>
    <t>127 NORTH STREET ER DEPT</t>
  </si>
  <si>
    <t>MOUHTOURI DIMOPOULOS, POLYXENI, MD</t>
  </si>
  <si>
    <t>E0010275</t>
  </si>
  <si>
    <t>DIMOPOULOS POLYXENI MD</t>
  </si>
  <si>
    <t>DIMOPOULOS, POLYXENI, MD</t>
  </si>
  <si>
    <t>(305) 585-5160</t>
  </si>
  <si>
    <t>PDIMOPOULOS@KALEIDAHEALTH.ORG</t>
  </si>
  <si>
    <t>MOUHTOURI DIMOPOULOS POLYXENI</t>
  </si>
  <si>
    <t>300 WEST AVE</t>
  </si>
  <si>
    <t>JUSTICIA-LINDE, FAYE, MD</t>
  </si>
  <si>
    <t>E0295917</t>
  </si>
  <si>
    <t>JUSTICIA-LINDE FAYE ELIZABETH</t>
  </si>
  <si>
    <t>FJUSTICIA-LINDE@KALEIDAHEALTH.ORG</t>
  </si>
  <si>
    <t>JUSTICIA-LINDE FAYE DR.</t>
  </si>
  <si>
    <t>KALINKA, LISA, NP</t>
  </si>
  <si>
    <t>E0013942</t>
  </si>
  <si>
    <t>PENNISTEN LISA MARIE</t>
  </si>
  <si>
    <t>KALINKA LISA</t>
  </si>
  <si>
    <t>KALINKA LISA MARIE</t>
  </si>
  <si>
    <t>180 PARK CLUB LN</t>
  </si>
  <si>
    <t>BINIS, KAREN, NP</t>
  </si>
  <si>
    <t>E0439108</t>
  </si>
  <si>
    <t>BINIS KAREN HAY</t>
  </si>
  <si>
    <t>BINIS, KAREN KAY</t>
  </si>
  <si>
    <t>BINIS KAREN</t>
  </si>
  <si>
    <t>NADLER, DENNIS, MD</t>
  </si>
  <si>
    <t>E0070962</t>
  </si>
  <si>
    <t>NADLER DENNIS MD</t>
  </si>
  <si>
    <t>NADLER , DENNIS    , MD</t>
  </si>
  <si>
    <t>DNADLER@UPA.CHOB.EDU</t>
  </si>
  <si>
    <t>NADLER DENNIS</t>
  </si>
  <si>
    <t>WYOMING COUNTY EARLY INTERVENTION</t>
  </si>
  <si>
    <t>E0263582</t>
  </si>
  <si>
    <t>WYOMING COUNTY DEPT H H A</t>
  </si>
  <si>
    <t>5362 MUNGERS MILL RD</t>
  </si>
  <si>
    <t>SILVER SPRINGS</t>
  </si>
  <si>
    <t>PIERINO, MARK, PAC</t>
  </si>
  <si>
    <t>E0065798</t>
  </si>
  <si>
    <t>PIERINO MARK P</t>
  </si>
  <si>
    <t>PIERINO, MARK, PA</t>
  </si>
  <si>
    <t>MPIERINO@KALEIDAHEALTH.ORG</t>
  </si>
  <si>
    <t>PIERINO MARK</t>
  </si>
  <si>
    <t>PERESE, KERIME, NURSEPRAC</t>
  </si>
  <si>
    <t>E0049574</t>
  </si>
  <si>
    <t>PERESE KERIME L</t>
  </si>
  <si>
    <t>PERESE, KERIME, NP</t>
  </si>
  <si>
    <t>KERRY.PERESE@FAMILYCHOICENY.COM</t>
  </si>
  <si>
    <t>PERESE KERIME MS.</t>
  </si>
  <si>
    <t>SAIKALI, NICOLAS, MD</t>
  </si>
  <si>
    <t>E0296647</t>
  </si>
  <si>
    <t>SAIKALI NICOLAS P</t>
  </si>
  <si>
    <t>NSAIKALI@KALEIDAHEALTH.ORG</t>
  </si>
  <si>
    <t>SAIKALI NICOLAS</t>
  </si>
  <si>
    <t>SCHMIDT, LAURIE, ANP</t>
  </si>
  <si>
    <t>E0285991</t>
  </si>
  <si>
    <t>SCHMIDT LAURIE</t>
  </si>
  <si>
    <t>(716) 859-3020</t>
  </si>
  <si>
    <t>LSCHMIDT2@KALEIDAHEALTH.ORG</t>
  </si>
  <si>
    <t>SCHMIDT LAURIE A</t>
  </si>
  <si>
    <t>STAHL BALABAN, CELESTE, DO</t>
  </si>
  <si>
    <t>E0322889</t>
  </si>
  <si>
    <t>STAHL BALABAN CELESTE</t>
  </si>
  <si>
    <t>21 N MAIN ST</t>
  </si>
  <si>
    <t>ROSWELL PARK CANCER INSTITUTE DEPT OF, ELM &amp; CARLTON STREETS</t>
  </si>
  <si>
    <t>DANIEL-SANDERS, ANDREA, NP</t>
  </si>
  <si>
    <t>E0043733</t>
  </si>
  <si>
    <t>DANIEL-SANDERS ANDREA NP</t>
  </si>
  <si>
    <t>DANIEL-SANDERS, ANDREA, ANP</t>
  </si>
  <si>
    <t>ADANIEL-SANDERS@KALEIDAHEALTH.ORG</t>
  </si>
  <si>
    <t>DANIEL-SANDERS ANDREA</t>
  </si>
  <si>
    <t>GRAND, WALTER, MD</t>
  </si>
  <si>
    <t>E0169600</t>
  </si>
  <si>
    <t>GRAND WALTER MD</t>
  </si>
  <si>
    <t>WGRAND@KALEIDAHEALTH.ORG</t>
  </si>
  <si>
    <t>GRAND WALTER DR.</t>
  </si>
  <si>
    <t>STE 305</t>
  </si>
  <si>
    <t>LEGARRETA, EDWARD, MD</t>
  </si>
  <si>
    <t>E0237266</t>
  </si>
  <si>
    <t>LEGARRETA EDWARD A         MD</t>
  </si>
  <si>
    <t>(716) 633-2203</t>
  </si>
  <si>
    <t>LEGARRETA EDWARD DR.</t>
  </si>
  <si>
    <t>LEGARRETA EDWARD A</t>
  </si>
  <si>
    <t>1301 N FOREST RD</t>
  </si>
  <si>
    <t>STOECKL, ANDREW, MD</t>
  </si>
  <si>
    <t>E0043744</t>
  </si>
  <si>
    <t>STOECKL ANDREW</t>
  </si>
  <si>
    <t>ASTOECKL@KALEIDAHEALTH.ORG</t>
  </si>
  <si>
    <t>STOECKL ANDREW C</t>
  </si>
  <si>
    <t>GORMAN, TIMOTHY, MD</t>
  </si>
  <si>
    <t>E0196617</t>
  </si>
  <si>
    <t>GORMAN TIMOTHY ALAN        MD</t>
  </si>
  <si>
    <t>GORMAN, TIMOTHY,</t>
  </si>
  <si>
    <t>GORMAN TIMOTHY DR.</t>
  </si>
  <si>
    <t>GORMAN TIMOTHY ALAN</t>
  </si>
  <si>
    <t>WESTFIELD FAMILY PHY</t>
  </si>
  <si>
    <t>ASPIRE OF WNY HCBS 8</t>
  </si>
  <si>
    <t>E0082751</t>
  </si>
  <si>
    <t>7 COMMUNITY DR # VVR8067</t>
  </si>
  <si>
    <t>NIAGARA COUNTY ARC HCBS 5</t>
  </si>
  <si>
    <t>E0080198</t>
  </si>
  <si>
    <t>VVD1870</t>
  </si>
  <si>
    <t>CATTARAUGUS CO NYSARC SPT</t>
  </si>
  <si>
    <t>E0075494</t>
  </si>
  <si>
    <t>CATTARAUGUS CO NYSARC SPV</t>
  </si>
  <si>
    <t>E0075493</t>
  </si>
  <si>
    <t>ERIE COUNTY ARC SPT</t>
  </si>
  <si>
    <t>E0075440</t>
  </si>
  <si>
    <t>ERIE COUNTY ARC SPV</t>
  </si>
  <si>
    <t>E0075439</t>
  </si>
  <si>
    <t>PEOPLE INC - HCBS IRA 9 SPV</t>
  </si>
  <si>
    <t>E0075247</t>
  </si>
  <si>
    <t>RIVERSHORE INC  SPV</t>
  </si>
  <si>
    <t>E0075210</t>
  </si>
  <si>
    <t>SUBURBAN ADULT SERVICES SPV</t>
  </si>
  <si>
    <t>E0075111</t>
  </si>
  <si>
    <t>COMMUNITY SERVICES FOR THE DEVELOPMENTALLY DISABLED</t>
  </si>
  <si>
    <t>E0074748</t>
  </si>
  <si>
    <t>COMM SVCS F/T DEV DISABIL SPV</t>
  </si>
  <si>
    <t>RUTKOWSKI, THADDEUS, MD</t>
  </si>
  <si>
    <t>E0222345</t>
  </si>
  <si>
    <t>RUTKOWSKI THADDEUS C       MD</t>
  </si>
  <si>
    <t>TRUTKOWSKI@KALEIDAHEALTH.ORG</t>
  </si>
  <si>
    <t>RUTKOWSKI THADDEUS</t>
  </si>
  <si>
    <t>BUFFALO GENERAL HSP</t>
  </si>
  <si>
    <t>MRS. TERESA M. BAKER MSN</t>
  </si>
  <si>
    <t>(716) 957-4854</t>
  </si>
  <si>
    <t>TMBAKER4@BUFFALO.EDU</t>
  </si>
  <si>
    <t>ANTALEK, MATTHEW, DO</t>
  </si>
  <si>
    <t>E0190680</t>
  </si>
  <si>
    <t>ANTALEK MATTHEW MD</t>
  </si>
  <si>
    <t>ANTALEK, MATTHEW , DO</t>
  </si>
  <si>
    <t>MANTALEK@ROADRUNNER.COM</t>
  </si>
  <si>
    <t>ANTALEK MATTHEW DR.</t>
  </si>
  <si>
    <t>E0201826</t>
  </si>
  <si>
    <t>CHAUTAUQUA ARC RSRC-BLDG B</t>
  </si>
  <si>
    <t>BLDG B ICF</t>
  </si>
  <si>
    <t>GRANT, JEAN, CASAC</t>
  </si>
  <si>
    <t>GRANT, JEAN, MS, CASAC</t>
  </si>
  <si>
    <t>GRANT JEAN MS.</t>
  </si>
  <si>
    <t>ZULKHARNAIN, UNKNOWN, MD</t>
  </si>
  <si>
    <t>E0138591</t>
  </si>
  <si>
    <t>ZULKHARNAIN</t>
  </si>
  <si>
    <t>ZULKHARNAIN, DOCTOR, MD</t>
  </si>
  <si>
    <t>DZULKHARNAIN@KALEIDAHEALTH.ORG</t>
  </si>
  <si>
    <t>ZULKHARNAIN UNKNOWN DR.</t>
  </si>
  <si>
    <t>NYSARC, INC., CATTARAUGUS COUNTY CHAPTER</t>
  </si>
  <si>
    <t>E0225225</t>
  </si>
  <si>
    <t>REHABILITATION CTR CATT DAYTR</t>
  </si>
  <si>
    <t>HOFFMAN, AARON, MD</t>
  </si>
  <si>
    <t>E0012184</t>
  </si>
  <si>
    <t>HOFFMAN AARON BENJAMIN  MD</t>
  </si>
  <si>
    <t>AHOFFMAN@KALEIDAHEALTH.ORG</t>
  </si>
  <si>
    <t>HOFFMAN AARON</t>
  </si>
  <si>
    <t>HOFFMAN AARON BENJAMIN</t>
  </si>
  <si>
    <t>STROLLO, NINA, MD</t>
  </si>
  <si>
    <t>E0309973</t>
  </si>
  <si>
    <t>NINA MARIE STROLLO</t>
  </si>
  <si>
    <t>NSTROLLO@KALEIDAHEALTH.ORG</t>
  </si>
  <si>
    <t>STROLLO NINA DR.</t>
  </si>
  <si>
    <t>STROLLO NINA MARIE</t>
  </si>
  <si>
    <t>215 SUMMIT ST</t>
  </si>
  <si>
    <t>PARK, ETERN, MDDD</t>
  </si>
  <si>
    <t>E0352609</t>
  </si>
  <si>
    <t>PARK ETERN</t>
  </si>
  <si>
    <t>PARK, ETERN, MD, DDS</t>
  </si>
  <si>
    <t>EPARK@KALEIDAHEALTH.ORG</t>
  </si>
  <si>
    <t>PARK ETERN SHINWOO</t>
  </si>
  <si>
    <t>3435 MAIN ST</t>
  </si>
  <si>
    <t>SCHWARZ, COLLEEN, PAC</t>
  </si>
  <si>
    <t>E0364497</t>
  </si>
  <si>
    <t>SCHWARZ COLLEEN MICHELLE</t>
  </si>
  <si>
    <t>SCHWARZ, COLLEEN,</t>
  </si>
  <si>
    <t>LEMANKIEWICZ COLLEEN</t>
  </si>
  <si>
    <t>LEMANKIEWICZ COLLEEN MICHELLE</t>
  </si>
  <si>
    <t>NASRIN, DEIXY, CRNA</t>
  </si>
  <si>
    <t>DNASRIN@KALEIDAHEALTH.ORG</t>
  </si>
  <si>
    <t>NASRIN DEIXY</t>
  </si>
  <si>
    <t>SANTANA, KAREN,</t>
  </si>
  <si>
    <t>SANTANA,  KAREN, MSW</t>
  </si>
  <si>
    <t>KSANTANA@CATSWNY.ORG</t>
  </si>
  <si>
    <t>SANTANA KAREN MISS</t>
  </si>
  <si>
    <t>254 FRANKLIN ST</t>
  </si>
  <si>
    <t>LANIGHAN, KEVIN, MD</t>
  </si>
  <si>
    <t>E0135033</t>
  </si>
  <si>
    <t>LANIGHAN KEVIN W MD</t>
  </si>
  <si>
    <t>KLANIGHAN@KALEIDAHEALTH.ORG</t>
  </si>
  <si>
    <t>LANIGHAN KEVIN</t>
  </si>
  <si>
    <t>EHRLICH, ANNE, MD</t>
  </si>
  <si>
    <t>E0135630</t>
  </si>
  <si>
    <t>EHRLICH ANNE D MD</t>
  </si>
  <si>
    <t>AEHRLICH@KALEIDAHEALTH.ORG</t>
  </si>
  <si>
    <t>EHRLICH ANNE</t>
  </si>
  <si>
    <t>YATES, CHARLES, MD</t>
  </si>
  <si>
    <t>E0100933</t>
  </si>
  <si>
    <t>YATES CHARLES WILLIAM</t>
  </si>
  <si>
    <t>CYATES@IPC-HUB.COM</t>
  </si>
  <si>
    <t>YATES CHARLES</t>
  </si>
  <si>
    <t>747 HOPKINS RD</t>
  </si>
  <si>
    <t>RICOTTONE, ANTHONY, MD</t>
  </si>
  <si>
    <t>E0126762</t>
  </si>
  <si>
    <t>RICOTTONE ANTHONY R MD</t>
  </si>
  <si>
    <t>ARICOTTONE@KALEIDAHEALTH.ORG</t>
  </si>
  <si>
    <t>RICOTTONE ANTHONY DR.</t>
  </si>
  <si>
    <t>KAPROVE, ROBERT, MD</t>
  </si>
  <si>
    <t>E0230776</t>
  </si>
  <si>
    <t>KAPROVE ROBERT E           MD</t>
  </si>
  <si>
    <t>RKAPROVE@KALEIDAHEALTH.ORG</t>
  </si>
  <si>
    <t>KAPROVE ROBERT</t>
  </si>
  <si>
    <t>CALLANAN, VINCENT, MD</t>
  </si>
  <si>
    <t>E0050516</t>
  </si>
  <si>
    <t>CALLANAN VINCENT PATRICK MD</t>
  </si>
  <si>
    <t>(716) 878-7368</t>
  </si>
  <si>
    <t>VCALLANAN@KALEIDAHEALTH.ORG</t>
  </si>
  <si>
    <t>CALLANAN VINCENT</t>
  </si>
  <si>
    <t>3401 N BROAD ST</t>
  </si>
  <si>
    <t>HARRIS, LINDA, MD</t>
  </si>
  <si>
    <t>E0141691</t>
  </si>
  <si>
    <t>HARRIS LINDA M MD</t>
  </si>
  <si>
    <t>LHARRIS@KALEIDAHEALTH.ORG</t>
  </si>
  <si>
    <t>HARRIS LINDA DR.</t>
  </si>
  <si>
    <t>OESTERLE, SUSAN, RNMSNFNP</t>
  </si>
  <si>
    <t>E0097846</t>
  </si>
  <si>
    <t>OESTERLE SUSAN ANN</t>
  </si>
  <si>
    <t>(716) 893-1010</t>
  </si>
  <si>
    <t>OESTERLE SUSAN MRS.</t>
  </si>
  <si>
    <t>PATEL, NIKHIL, MD</t>
  </si>
  <si>
    <t>E0078587</t>
  </si>
  <si>
    <t>PATEL NIKHIL C MD</t>
  </si>
  <si>
    <t>(585) 275-1376</t>
  </si>
  <si>
    <t>NPATEL@KALEIDAHEALTH.ORG</t>
  </si>
  <si>
    <t>PATEL NIKHIL DR.</t>
  </si>
  <si>
    <t>MASTRANDREA, JEROME, RPAC</t>
  </si>
  <si>
    <t>MASTRANDREA, JEROME, PA</t>
  </si>
  <si>
    <t>(716) 839-0632</t>
  </si>
  <si>
    <t>JMASTRANDREA@KALEIDAHEALTH.ORG</t>
  </si>
  <si>
    <t>MASTRANDREA JEROME</t>
  </si>
  <si>
    <t>4510 MAIN ST</t>
  </si>
  <si>
    <t>HARTNETT, CHRISTOPHER, LCSWR</t>
  </si>
  <si>
    <t>E0015638</t>
  </si>
  <si>
    <t>HARTNETT CHRISTOPHER JOSEPH</t>
  </si>
  <si>
    <t>HARNETT, CHRIS, LCSWR</t>
  </si>
  <si>
    <t>JOSEPH, BRIAN, MD</t>
  </si>
  <si>
    <t>E0226135</t>
  </si>
  <si>
    <t>JOSEPH BRIAN S             MD</t>
  </si>
  <si>
    <t>(716) 633-5997</t>
  </si>
  <si>
    <t>BRIAN.JOSPEH@NIAGARACOUNTY.COM</t>
  </si>
  <si>
    <t>JOSEPH BRIAN DR.</t>
  </si>
  <si>
    <t>JOSEPH BRIAN MD</t>
  </si>
  <si>
    <t>5820 MAIN ST</t>
  </si>
  <si>
    <t>JAMMAL, ROGER, MD</t>
  </si>
  <si>
    <t>E0206801</t>
  </si>
  <si>
    <t>JAMMAL ROGER GEORGE        MD</t>
  </si>
  <si>
    <t>(716) 433-1791</t>
  </si>
  <si>
    <t>RJAMMAL@KALEIDAHEALTH.ORG</t>
  </si>
  <si>
    <t>JAMMAL ROGER DR.</t>
  </si>
  <si>
    <t>20 HERITAGE CT</t>
  </si>
  <si>
    <t>WOLFE, GIL, MD</t>
  </si>
  <si>
    <t>E0332082</t>
  </si>
  <si>
    <t>WOLFE GIL I</t>
  </si>
  <si>
    <t>(214) 645-8800</t>
  </si>
  <si>
    <t>GWOLFE@KALEIDAHEALTH.ORG</t>
  </si>
  <si>
    <t>WOLFE GIL</t>
  </si>
  <si>
    <t>SAVOY, NANCY, NP</t>
  </si>
  <si>
    <t>E0065595</t>
  </si>
  <si>
    <t>SAVOY NANCY A</t>
  </si>
  <si>
    <t>SAVOY NANCY</t>
  </si>
  <si>
    <t>SAVOY NANCY ANNE</t>
  </si>
  <si>
    <t>ALIOTTA, PHILIP, MD</t>
  </si>
  <si>
    <t>E0196813</t>
  </si>
  <si>
    <t>ALIOTTA PHILIP JOSEPH      MD</t>
  </si>
  <si>
    <t>PALIOTTA@KALEIDAHEALTH.ORG</t>
  </si>
  <si>
    <t>ALIOTTA PHILIP MR.</t>
  </si>
  <si>
    <t>ALIOTTA PHILIP JOSEPH</t>
  </si>
  <si>
    <t>JOBES, GREGORY, MD</t>
  </si>
  <si>
    <t>E0043750</t>
  </si>
  <si>
    <t>JOBES GREGORY ALAN MD</t>
  </si>
  <si>
    <t>GJOBES@KALEIDAHEALTH.ORG</t>
  </si>
  <si>
    <t>JOBES GREGORY DR.</t>
  </si>
  <si>
    <t>SARAVANAN, ROHITH, MD</t>
  </si>
  <si>
    <t>E0338189</t>
  </si>
  <si>
    <t>SARAVANAN ROHITH</t>
  </si>
  <si>
    <t>ROHITH SARAVANAN, , MD</t>
  </si>
  <si>
    <t>SARAVANAN ROHITH DR.</t>
  </si>
  <si>
    <t>WADHAWAN, SACHIN, MD</t>
  </si>
  <si>
    <t>E0350436</t>
  </si>
  <si>
    <t>WADHAWAN SACHIN</t>
  </si>
  <si>
    <t>SWADHAWAN@KALEIDAHEALTH.ORG</t>
  </si>
  <si>
    <t>PARADISO, MARY, MANCC</t>
  </si>
  <si>
    <t>PARADISO,  MARY , PROGRAM DIRECTOR</t>
  </si>
  <si>
    <t>PARADISO MARY</t>
  </si>
  <si>
    <t>PAGE, BRIAN, MD</t>
  </si>
  <si>
    <t>E0293407</t>
  </si>
  <si>
    <t>PAGE BRIAN JOHN MD</t>
  </si>
  <si>
    <t>(716) 929-4662</t>
  </si>
  <si>
    <t>BPAGE2@KALEIDAHEALTH.ORG</t>
  </si>
  <si>
    <t>PAGE BRIAN</t>
  </si>
  <si>
    <t>FAROOQ, OSMAN,</t>
  </si>
  <si>
    <t>E0342890</t>
  </si>
  <si>
    <t>FAROOQ OSMAN</t>
  </si>
  <si>
    <t>FAROOQ, OSMAN, MD</t>
  </si>
  <si>
    <t>OFAROOQ@KALEIDAHEALTH.ORG</t>
  </si>
  <si>
    <t>FAROOQ OSMAN DR.</t>
  </si>
  <si>
    <t>DOTZLER, HEATHER, MA</t>
  </si>
  <si>
    <t>DOTZLER,  MELISSA , SR COUNSELOR QHP</t>
  </si>
  <si>
    <t>(716) 228-3464</t>
  </si>
  <si>
    <t>DOTZLER HEATHER</t>
  </si>
  <si>
    <t>FRANCKOWIAK, MELISSA, MD</t>
  </si>
  <si>
    <t>E0009807</t>
  </si>
  <si>
    <t>FRANCKOWIAK MELISSA MARIE MD</t>
  </si>
  <si>
    <t>MFRANCKOWIAK@KALEIDAHEALTH.ORG</t>
  </si>
  <si>
    <t>FRANCKOWIAK MELISSA DR.</t>
  </si>
  <si>
    <t>HERITAGE CHRISTIAN SERVICES INC</t>
  </si>
  <si>
    <t>E0103989</t>
  </si>
  <si>
    <t>CAH HERITAGE CHRISTIAN SERVIC</t>
  </si>
  <si>
    <t>MARISA GEITNER</t>
  </si>
  <si>
    <t>(585) 340-2000</t>
  </si>
  <si>
    <t>INFO@HERITAGECHRISTIANSERVICES.ORG</t>
  </si>
  <si>
    <t>349 W COMMERCIAL ST</t>
  </si>
  <si>
    <t>E ROCHESTER</t>
  </si>
  <si>
    <t>CURRY, MOLLY, NP</t>
  </si>
  <si>
    <t>E0071209</t>
  </si>
  <si>
    <t>CURRY MOLLY ANN</t>
  </si>
  <si>
    <t>CURRY, MOLLY, ANP</t>
  </si>
  <si>
    <t>(171) 688-7462</t>
  </si>
  <si>
    <t>MCURRY@KALEIDAHEALTH.ORG</t>
  </si>
  <si>
    <t>CURRY MOLLY MRS.</t>
  </si>
  <si>
    <t>GAVIN, JULIE, MD</t>
  </si>
  <si>
    <t>E0010866</t>
  </si>
  <si>
    <t>GAVIN JULIE MD</t>
  </si>
  <si>
    <t>(716) 877-1221</t>
  </si>
  <si>
    <t>JGAVIN@KALEIDAHEALTH.ORG</t>
  </si>
  <si>
    <t>GAVIN JULIE</t>
  </si>
  <si>
    <t>GAMBACORTA, PETER, DO</t>
  </si>
  <si>
    <t>E0306831</t>
  </si>
  <si>
    <t>GAMBACORTA PETER</t>
  </si>
  <si>
    <t>PGAMBACORTA@KALEIDAHEALTH.ORG</t>
  </si>
  <si>
    <t>GAMBACORTA PETER LOUIS</t>
  </si>
  <si>
    <t>LUGO, ROBERT, MD</t>
  </si>
  <si>
    <t>E0383322</t>
  </si>
  <si>
    <t>LUGO ROBERT</t>
  </si>
  <si>
    <t>(619) 282-1001</t>
  </si>
  <si>
    <t>RLUGO@KALEIDAHEALTH.ORG</t>
  </si>
  <si>
    <t>LUGO ROBERT DR.</t>
  </si>
  <si>
    <t>HUSTED, TRACIE, FNPBC</t>
  </si>
  <si>
    <t>E0372863</t>
  </si>
  <si>
    <t>HUSTED TRACIE M</t>
  </si>
  <si>
    <t>HUSTED, TRACIE, FNP</t>
  </si>
  <si>
    <t>(716) 481-9549</t>
  </si>
  <si>
    <t>T.HUSTED@NWBCHCC.ORG</t>
  </si>
  <si>
    <t>HUSTED TRACIE</t>
  </si>
  <si>
    <t>155 LAWN AVE # 100</t>
  </si>
  <si>
    <t>BIELLI, BARBARA, CRNA</t>
  </si>
  <si>
    <t>BBIELLI@KALEIDAHEALTH.ORG</t>
  </si>
  <si>
    <t>BIELLI BARBARA</t>
  </si>
  <si>
    <t>ZELENOV, VICTOR, MD</t>
  </si>
  <si>
    <t>E0034325</t>
  </si>
  <si>
    <t>ZELENOV VICTOR MD</t>
  </si>
  <si>
    <t>VZELENOV@KALEIDAHEALTH.ORG</t>
  </si>
  <si>
    <t>ZELENOV VICTOR</t>
  </si>
  <si>
    <t>HUCKELL, CAMERON, MD</t>
  </si>
  <si>
    <t>E0120507</t>
  </si>
  <si>
    <t>HUCKELL CAMERON BRUCE MD</t>
  </si>
  <si>
    <t>CHUCKELL@KALEIDAHEALTH.ORG</t>
  </si>
  <si>
    <t>HUCKELL CAMERON DR.</t>
  </si>
  <si>
    <t>JACOBUS, CHRISTOPHER, MD</t>
  </si>
  <si>
    <t>E0037321</t>
  </si>
  <si>
    <t>JACOBUS CHRISTOPHER MICHAEL M</t>
  </si>
  <si>
    <t>CJACOBUS@PALLIATIVECARE.ORG</t>
  </si>
  <si>
    <t>JACOBUS CHRISTOPHER</t>
  </si>
  <si>
    <t>JACOBUS CHRISTOPHER MICHAEL</t>
  </si>
  <si>
    <t>OGRA, S, MD</t>
  </si>
  <si>
    <t>E0115712</t>
  </si>
  <si>
    <t>OGRA SANJAY RAY</t>
  </si>
  <si>
    <t>OGRA, SANJAY, MD</t>
  </si>
  <si>
    <t>SOGRA@KALEIDAHEALTH.ORG</t>
  </si>
  <si>
    <t>OGRA S DR.</t>
  </si>
  <si>
    <t>VISCO, JOHN, MD</t>
  </si>
  <si>
    <t>E0232423</t>
  </si>
  <si>
    <t>VISCO JOHN PATRICK         MD</t>
  </si>
  <si>
    <t>JVISCO3@KALEIDAHEALTH.ORG</t>
  </si>
  <si>
    <t>VISCO JOHN</t>
  </si>
  <si>
    <t>VISCO JOHN PATRICK</t>
  </si>
  <si>
    <t>LOGUE, GERALD, MD</t>
  </si>
  <si>
    <t>E0228293</t>
  </si>
  <si>
    <t>LOGUE GERALD LEE           MD</t>
  </si>
  <si>
    <t>(716) 898-3941</t>
  </si>
  <si>
    <t>HYDE, MICHAEL, PAC</t>
  </si>
  <si>
    <t>E0100699</t>
  </si>
  <si>
    <t>HYDE MICHAEL J RPA</t>
  </si>
  <si>
    <t>HYDE, MICHAEL, PA</t>
  </si>
  <si>
    <t>MHYDE@KALEIDAHEALTH.ORG</t>
  </si>
  <si>
    <t>HYDE MICHAEL</t>
  </si>
  <si>
    <t>34 COMMERCIAL ST</t>
  </si>
  <si>
    <t>SPREHE, ESTHER,</t>
  </si>
  <si>
    <t>E0034255</t>
  </si>
  <si>
    <t>SPREHE ESTHER M NP</t>
  </si>
  <si>
    <t>SPREHE, ESTHER, RNFA</t>
  </si>
  <si>
    <t>(716) 836-7292</t>
  </si>
  <si>
    <t>ESPREHE@KALEIDAHEALTH.ORG</t>
  </si>
  <si>
    <t>SPREHE ESTHER MRS.</t>
  </si>
  <si>
    <t>PICONE, ANTHONY, MDPHD</t>
  </si>
  <si>
    <t>E0164308</t>
  </si>
  <si>
    <t>PICONE ANTHONY L MD</t>
  </si>
  <si>
    <t>PICONE, ANTHONY, MD</t>
  </si>
  <si>
    <t>APICONE@KALEIDAHEALTH.ORG</t>
  </si>
  <si>
    <t>PICONE ANTHONY</t>
  </si>
  <si>
    <t>CATTARAUGUS COUNTY</t>
  </si>
  <si>
    <t>E0156933</t>
  </si>
  <si>
    <t>CATTARAUGUS CO Y B  PSSHSP</t>
  </si>
  <si>
    <t>(716) 938-9111</t>
  </si>
  <si>
    <t>STE 1</t>
  </si>
  <si>
    <t>BARRETT, SUZANNE, ANP</t>
  </si>
  <si>
    <t>E0334322</t>
  </si>
  <si>
    <t>BARRETT SUZANNE MARIE</t>
  </si>
  <si>
    <t>(716) 887-4625</t>
  </si>
  <si>
    <t>SBARRETT@KALEIDAHEALTH.ORG</t>
  </si>
  <si>
    <t>BARRETT SUZANNE MRS.</t>
  </si>
  <si>
    <t>BURKHARD, VALERIE, MD</t>
  </si>
  <si>
    <t>E0006958</t>
  </si>
  <si>
    <t>BURNHARD VALERIE LYNN MD</t>
  </si>
  <si>
    <t>VBURKHARD@KALEIDAHEALTH.ORG</t>
  </si>
  <si>
    <t>BURKHARD VALERIE</t>
  </si>
  <si>
    <t>BURKHARD VALERIE LYNN MD</t>
  </si>
  <si>
    <t>O'DONNELL, JANE, PNP</t>
  </si>
  <si>
    <t>E0068721</t>
  </si>
  <si>
    <t>ODONNELL JANE KONTOS</t>
  </si>
  <si>
    <t>ODONNELL , JANE    , MD</t>
  </si>
  <si>
    <t>JODONNELL@UPA.CHOB.EDU</t>
  </si>
  <si>
    <t>O'DONNELL JANE</t>
  </si>
  <si>
    <t>KIEKBUSCH, MARION, BACASAC</t>
  </si>
  <si>
    <t>KIEKBUSCH,  MARION, SR COUNSELOR LICENSED</t>
  </si>
  <si>
    <t>(716) 831-1977</t>
  </si>
  <si>
    <t>KIEKBUSCH MARION MRS.</t>
  </si>
  <si>
    <t>KARTHA, KRISHNAN, MD</t>
  </si>
  <si>
    <t>E0164123</t>
  </si>
  <si>
    <t>KARTHA KRISHNAN  MD</t>
  </si>
  <si>
    <t>KARTHA KRISHNAN</t>
  </si>
  <si>
    <t>MCDANIEL, TIMOTHY, MD</t>
  </si>
  <si>
    <t>E0162105</t>
  </si>
  <si>
    <t>MCDANIEL TIMOTHY MD</t>
  </si>
  <si>
    <t>MCDANIEL TIMOTHY</t>
  </si>
  <si>
    <t>TRANSITIONAL SERVICES INC.</t>
  </si>
  <si>
    <t>E0086512</t>
  </si>
  <si>
    <t>TRANSITIONAL SERVICES INC  MH</t>
  </si>
  <si>
    <t>(716) 874-8182</t>
  </si>
  <si>
    <t>Case Management / Health Home:: Mental Health</t>
  </si>
  <si>
    <t>TRANSITIONAL SERVICES INC</t>
  </si>
  <si>
    <t>389 ELMWOOD AVE</t>
  </si>
  <si>
    <t>MIJATOVIC, LJILJANA, MD</t>
  </si>
  <si>
    <t>E0013271</t>
  </si>
  <si>
    <t>MIJATOVIC LJILJANA MD</t>
  </si>
  <si>
    <t>LMIJATOVIC@KALEIDAHEALTH.ORG</t>
  </si>
  <si>
    <t>MIJATOVIC LJILJANA</t>
  </si>
  <si>
    <t>SIMPSON, ROBYN,</t>
  </si>
  <si>
    <t>SIMPSON, ROBYN, MSW</t>
  </si>
  <si>
    <t>RSIMPSON@CATSWNY.ORG</t>
  </si>
  <si>
    <t>SIMPSON ROBYN</t>
  </si>
  <si>
    <t>SCHRIMMEL, TAYLOR, PA</t>
  </si>
  <si>
    <t>E0384444</t>
  </si>
  <si>
    <t>SCHRIMMEL TAYLOR L</t>
  </si>
  <si>
    <t>(716) 861-9414</t>
  </si>
  <si>
    <t>TSCHRIMMEL@KALEIDAHEALTH.ORG</t>
  </si>
  <si>
    <t>SCHRIMMEL TAYLOR</t>
  </si>
  <si>
    <t>HUGHES, ALICIA, MS</t>
  </si>
  <si>
    <t>HUGHES, ALICIA, LMHCP</t>
  </si>
  <si>
    <t>(716) 771-9292</t>
  </si>
  <si>
    <t>HUGHES ALICIA MISS</t>
  </si>
  <si>
    <t>STILB, VALERIE, PA</t>
  </si>
  <si>
    <t>E0057095</t>
  </si>
  <si>
    <t>STILB VALERIE A RPA</t>
  </si>
  <si>
    <t>VSTILB@KALEIDAHEALTH.ORG</t>
  </si>
  <si>
    <t>STILB VALERIE</t>
  </si>
  <si>
    <t>KAPLAN, RICHARD, MD</t>
  </si>
  <si>
    <t>E0182025</t>
  </si>
  <si>
    <t>KAPLAN RICHARD D MD</t>
  </si>
  <si>
    <t>RKAPLAN@KALEIDAHEALTH.ORG</t>
  </si>
  <si>
    <t>KAPLAN RICHARD</t>
  </si>
  <si>
    <t>4229 MAPLE RD</t>
  </si>
  <si>
    <t>ROSSITTO, RACHAEL, DDS</t>
  </si>
  <si>
    <t>E0054049</t>
  </si>
  <si>
    <t>ROSSITO RACHEAL DDS</t>
  </si>
  <si>
    <t>RROSSITTO@ECMC.EDU</t>
  </si>
  <si>
    <t>ROSSITTO RACHAEL</t>
  </si>
  <si>
    <t>ROSSITTO RACHAEL ANN</t>
  </si>
  <si>
    <t>MATTHEWS, GEORGE, MD</t>
  </si>
  <si>
    <t>E0216347</t>
  </si>
  <si>
    <t>MATTHEWS GEORGE E          MD</t>
  </si>
  <si>
    <t>GMATTHEWS@KALEIDAHEALTH.ORG</t>
  </si>
  <si>
    <t>MATTHEWS GEORGE</t>
  </si>
  <si>
    <t>MANNING KAREN MRS.</t>
  </si>
  <si>
    <t>E0079178</t>
  </si>
  <si>
    <t>MANNING KAREN WEBB</t>
  </si>
  <si>
    <t>230 S CASCADE DR</t>
  </si>
  <si>
    <t>KLEIN, ROGER, MD</t>
  </si>
  <si>
    <t>E0229041</t>
  </si>
  <si>
    <t>KLEIN ROGER ALLAN          MD</t>
  </si>
  <si>
    <t>KLEIN ROGER</t>
  </si>
  <si>
    <t>WOMANS OBS GYN GRP</t>
  </si>
  <si>
    <t>FRIES, LYNNE, PAC</t>
  </si>
  <si>
    <t>E0024226</t>
  </si>
  <si>
    <t>FRIES LYNNE RPA</t>
  </si>
  <si>
    <t>FRIES, LYNNE, PA-C</t>
  </si>
  <si>
    <t>LFRIES@KALEIDAHEALTH.ORG</t>
  </si>
  <si>
    <t>FRIES LYNNE</t>
  </si>
  <si>
    <t>CAVALIERI, MORRIS, MD</t>
  </si>
  <si>
    <t>E0136757</t>
  </si>
  <si>
    <t>CAVALIERI MORRIS MAURIZIO MD</t>
  </si>
  <si>
    <t>CAVALIERI MORRIS</t>
  </si>
  <si>
    <t>(716) 947-4851</t>
  </si>
  <si>
    <t>TETRO, ANDREW, MD</t>
  </si>
  <si>
    <t>E0123335</t>
  </si>
  <si>
    <t>TETRO ANDREW MARC MD</t>
  </si>
  <si>
    <t>TETRO, A. MARC, MD</t>
  </si>
  <si>
    <t>ATETRO@KALEIDAHEALTH.ORG</t>
  </si>
  <si>
    <t>TETRO ANDREW DR.</t>
  </si>
  <si>
    <t>IYER, VIJAY, MDPHD</t>
  </si>
  <si>
    <t>E0047076</t>
  </si>
  <si>
    <t>IYER VIJAY SANKAR MD</t>
  </si>
  <si>
    <t>IYER, VIJAY, MD PHD</t>
  </si>
  <si>
    <t>VIYER@KALEIDAHEALTH.ORG</t>
  </si>
  <si>
    <t>IYER VIJAY DR.</t>
  </si>
  <si>
    <t>MERCY HOSP BUFFALO</t>
  </si>
  <si>
    <t>TKACIK, JAMES, PAC</t>
  </si>
  <si>
    <t>E0049758</t>
  </si>
  <si>
    <t>TKACIK JAMES E RPA</t>
  </si>
  <si>
    <t>TKACIK, JAMES,</t>
  </si>
  <si>
    <t>(716) 701-1700</t>
  </si>
  <si>
    <t>TKACIK JAMES</t>
  </si>
  <si>
    <t>TKACIK JAMES EDWARD</t>
  </si>
  <si>
    <t>RICK BRAUN</t>
  </si>
  <si>
    <t>RBRUAN@UAHS.ORG</t>
  </si>
  <si>
    <t>DINEZZA, GARY, PHD</t>
  </si>
  <si>
    <t>(716) 859-2119</t>
  </si>
  <si>
    <t>GDINEZZA@KALEIDAHEALTH.ORG</t>
  </si>
  <si>
    <t>DINEZZA GARY DR.</t>
  </si>
  <si>
    <t>80 GOODRICH ST</t>
  </si>
  <si>
    <t>MID ERIE MENTAL HEALTH SERVICES INC</t>
  </si>
  <si>
    <t>E0086760</t>
  </si>
  <si>
    <t>MID ERIE MENTAL HEALTH SVC</t>
  </si>
  <si>
    <t>ELIZABETH MAURO</t>
  </si>
  <si>
    <t>EMAURO@MID-ERIE.ORG</t>
  </si>
  <si>
    <t>MID ERIE MENTAL HLTH SVCS,INC</t>
  </si>
  <si>
    <t>CHENELLY, DREW, PSYD</t>
  </si>
  <si>
    <t>E0195924</t>
  </si>
  <si>
    <t>CHENELLY DREW</t>
  </si>
  <si>
    <t>(585) 589-5076</t>
  </si>
  <si>
    <t>CHENELLY DREW DR.</t>
  </si>
  <si>
    <t>3231 EAGLE HARBOR WATERPORT RD</t>
  </si>
  <si>
    <t>WHITE, LAUREL, MD</t>
  </si>
  <si>
    <t>E0203876</t>
  </si>
  <si>
    <t>WHITE LAUREL M             MD</t>
  </si>
  <si>
    <t>(716) 839-1570</t>
  </si>
  <si>
    <t>LWHITE2@KALEIDAHEALTH.ORG</t>
  </si>
  <si>
    <t>WHITE LAUREL DR.</t>
  </si>
  <si>
    <t>STE 30</t>
  </si>
  <si>
    <t>RIVETT, JOSEPH,</t>
  </si>
  <si>
    <t>RIVETT,  JOSEPH , SR COUNSELOR QHP</t>
  </si>
  <si>
    <t>RIVETT JOSEPH</t>
  </si>
  <si>
    <t>5526 NIAGARA STREET EXT</t>
  </si>
  <si>
    <t>FOURTNER, SHANNON, MD</t>
  </si>
  <si>
    <t>E0034420</t>
  </si>
  <si>
    <t>FOURTNER SHANNON H</t>
  </si>
  <si>
    <t>FOURTNER , SHANNON, MD</t>
  </si>
  <si>
    <t>SFOURTNER@UPA.CHOB.EDU</t>
  </si>
  <si>
    <t>FOURTNER SHANNON</t>
  </si>
  <si>
    <t>FOURTNER SHANNON HOWE</t>
  </si>
  <si>
    <t>LENHARD, SHARON, MD</t>
  </si>
  <si>
    <t>E0122964</t>
  </si>
  <si>
    <t>LENHARD SHARON MARIE MD</t>
  </si>
  <si>
    <t>LENHARD SHARON DR.</t>
  </si>
  <si>
    <t>KILBURY TAYLOR, LAURIE, DO</t>
  </si>
  <si>
    <t>E0283262</t>
  </si>
  <si>
    <t>KILBURY TAYLOR LAURIE L DO</t>
  </si>
  <si>
    <t>KILBURY-TAYLOR, LAURIE, DO</t>
  </si>
  <si>
    <t>(585) 219-4070</t>
  </si>
  <si>
    <t>LKILBURYTAYLOR@KALEIDAHEALTH.ORG</t>
  </si>
  <si>
    <t>KILBURY TAYLOR LAURIE</t>
  </si>
  <si>
    <t>MENZA, LYNN, NP</t>
  </si>
  <si>
    <t>E0067746</t>
  </si>
  <si>
    <t>MENZA LYNN A</t>
  </si>
  <si>
    <t>MENZA,  LYNN, NP</t>
  </si>
  <si>
    <t>LMENZA@UPA.CHOB.EDU</t>
  </si>
  <si>
    <t>MENZA LYNN MS.</t>
  </si>
  <si>
    <t>NYSARC NIAGARA CO CHAP SPV</t>
  </si>
  <si>
    <t>E0074745</t>
  </si>
  <si>
    <t>LALL, SHASHI, MD</t>
  </si>
  <si>
    <t>E0133514</t>
  </si>
  <si>
    <t>LALL SHASHI MD</t>
  </si>
  <si>
    <t>(716) 675-1001</t>
  </si>
  <si>
    <t>LALL SHASHI DR.</t>
  </si>
  <si>
    <t>RIZNYK, PETER, DPM</t>
  </si>
  <si>
    <t>E0198614</t>
  </si>
  <si>
    <t>RIZNYK PETER JOHN DPM</t>
  </si>
  <si>
    <t>(716) 662-7729</t>
  </si>
  <si>
    <t>PRIZNYK@KALEIDAHEALTH.ORG</t>
  </si>
  <si>
    <t>RIZNYK PETER DR.</t>
  </si>
  <si>
    <t>EVANS, STEPHEN, MD</t>
  </si>
  <si>
    <t>E0182559</t>
  </si>
  <si>
    <t>EVANS STEPHEN J MD</t>
  </si>
  <si>
    <t>SEVANS@IPC-HUB.COM</t>
  </si>
  <si>
    <t>EVANS STEPHEN</t>
  </si>
  <si>
    <t>GIAMBARTOLOMEI, ALESSANDRO, MD</t>
  </si>
  <si>
    <t>E0236475</t>
  </si>
  <si>
    <t>GIAMBARTOLOMEI ALESSANDRO A</t>
  </si>
  <si>
    <t>(315) 448-6215</t>
  </si>
  <si>
    <t>AGIAMBARTOLOMEI@KALEIDAHEALTH.ORG</t>
  </si>
  <si>
    <t>GIAMBARTOLOMEI ALESSANDRO</t>
  </si>
  <si>
    <t>ABSOLUT CENTER FOR NURSING AND REHABILITATION AT GASPORT, LLC</t>
  </si>
  <si>
    <t>E0148520</t>
  </si>
  <si>
    <t>ABSOLUT CTR NRS &amp; REH AT GASPORT</t>
  </si>
  <si>
    <t>ISAAC WILLIAMS</t>
  </si>
  <si>
    <t>IWILLIAMS@ABSOLUTCARE.COM</t>
  </si>
  <si>
    <t>4540 LINCOLN DR</t>
  </si>
  <si>
    <t>GASPORT</t>
  </si>
  <si>
    <t>ELIBOL, TARIK, MD</t>
  </si>
  <si>
    <t>E0234902</t>
  </si>
  <si>
    <t>ELIBOL TARIK               MD</t>
  </si>
  <si>
    <t>(716) 876-4033</t>
  </si>
  <si>
    <t>ELIBOL TARIK DR.</t>
  </si>
  <si>
    <t>ELIBOL TARIK MD</t>
  </si>
  <si>
    <t>2949 ELMWOOD AVE STE 104</t>
  </si>
  <si>
    <t>ABSOLUT CENTER FOR NURSING AND REHABILITATION AT WESTFIELD, LLC</t>
  </si>
  <si>
    <t>E0209614</t>
  </si>
  <si>
    <t>ABSOLUT CTR NRS REH AT WESTFIELD</t>
  </si>
  <si>
    <t>CHARLENE YOUKNUT</t>
  </si>
  <si>
    <t>CHARLENEY@ABSOLUTCARE.COM</t>
  </si>
  <si>
    <t>ABSOLUT CTR NRS &amp;REHAB AT WESTFIELD</t>
  </si>
  <si>
    <t>26 CASS ST</t>
  </si>
  <si>
    <t>URGO LUDWIG, RACHEL, NP</t>
  </si>
  <si>
    <t>E0427417</t>
  </si>
  <si>
    <t>LUDWIG RACHEL</t>
  </si>
  <si>
    <t>LUDWIG, RACHEL, ANP</t>
  </si>
  <si>
    <t>RLUDWIG@KALEIDAHEALTH.ORG</t>
  </si>
  <si>
    <t>LUDWIG RACHEL MRS.</t>
  </si>
  <si>
    <t>LUDWIG RACHEL R</t>
  </si>
  <si>
    <t>YOURA, LAUREN, PA</t>
  </si>
  <si>
    <t>E0288383</t>
  </si>
  <si>
    <t>YOURA LAUREN ADELE RPA</t>
  </si>
  <si>
    <t>(716) 984-8898</t>
  </si>
  <si>
    <t>LYOURA@KALEIDAHEALTH.ORG</t>
  </si>
  <si>
    <t>YOURA LAUREN</t>
  </si>
  <si>
    <t>E0310253</t>
  </si>
  <si>
    <t>JENKINS, ROBERT, DDS</t>
  </si>
  <si>
    <t>E0306659</t>
  </si>
  <si>
    <t>JENKINS ROBERT T DDS</t>
  </si>
  <si>
    <t>(716) 284-0088</t>
  </si>
  <si>
    <t>JENKINS ROBERT DR.</t>
  </si>
  <si>
    <t>1209 RIDGE RD</t>
  </si>
  <si>
    <t>E0286672</t>
  </si>
  <si>
    <t>ERIE COUNTY MEDICAL CTR CORPORATION</t>
  </si>
  <si>
    <t>ERIE COUNTY MEDICAL CENTER CORPORAT</t>
  </si>
  <si>
    <t>THURAIRAJAH, ARUNAN, MD</t>
  </si>
  <si>
    <t>E0007583</t>
  </si>
  <si>
    <t>THURAIRAJAH ARUNAN</t>
  </si>
  <si>
    <t>THURAIRAJAH, ARUNAN JOHN</t>
  </si>
  <si>
    <t>ATHURAIRAJAH@PALLIATIVECARE.ORG</t>
  </si>
  <si>
    <t>THURAIRAJAH ARUNAN JOHN</t>
  </si>
  <si>
    <t>4511 HARLEM RD</t>
  </si>
  <si>
    <t>RAISOR, EVA, FNP</t>
  </si>
  <si>
    <t>E0355160</t>
  </si>
  <si>
    <t>RAISOR EVA K</t>
  </si>
  <si>
    <t>(540) 741-1167</t>
  </si>
  <si>
    <t>ERAISOR@KALEIDAHEALTH.ORG</t>
  </si>
  <si>
    <t>RAISOR EVA MRS.</t>
  </si>
  <si>
    <t>SEMBER, JESSICA,</t>
  </si>
  <si>
    <t>SEMBER,  JESSICA, SR COUNSELOR LICENSED</t>
  </si>
  <si>
    <t>SEMBER JESSICA</t>
  </si>
  <si>
    <t>SONIG, ASHISH, MD</t>
  </si>
  <si>
    <t>(318) 675-8865</t>
  </si>
  <si>
    <t>ASONIG@KALEIDAHEALTH.ORG</t>
  </si>
  <si>
    <t>SONIG ASHISH</t>
  </si>
  <si>
    <t>1501 KINGS HWY</t>
  </si>
  <si>
    <t>SHREVEPORT</t>
  </si>
  <si>
    <t>LA</t>
  </si>
  <si>
    <t>TUNG, CYNTHIA, MD</t>
  </si>
  <si>
    <t>E0380702</t>
  </si>
  <si>
    <t>TUNG CYNTHIA ISHIN</t>
  </si>
  <si>
    <t>(716) 807-5308</t>
  </si>
  <si>
    <t>CTUNG@KALEIDAHEALTH.ORG</t>
  </si>
  <si>
    <t>TUNG CYNTHIA</t>
  </si>
  <si>
    <t>THOMAS, SHEENA, MSW</t>
  </si>
  <si>
    <t>THOMAS,  ANGELICA, ADMIN ASSIST - HHS</t>
  </si>
  <si>
    <t>THOMAS SHEENA</t>
  </si>
  <si>
    <t>FABBIANO, ANGELA,</t>
  </si>
  <si>
    <t>FABBIANO ANGELA MISS</t>
  </si>
  <si>
    <t>CLAYSON, AMANDA,</t>
  </si>
  <si>
    <t>CLAYSON,  AMANDA, SR COUNSELOR LICENSED</t>
  </si>
  <si>
    <t>CLAYSON AMANDA</t>
  </si>
  <si>
    <t>MAGEE, ZACHARY,</t>
  </si>
  <si>
    <t>MAGEE ZACHARY MR.</t>
  </si>
  <si>
    <t>LYKE-FRAZIER, CANDICE, ANP</t>
  </si>
  <si>
    <t>E0366753</t>
  </si>
  <si>
    <t>LYKE-FRAZIER CANDICE PATRICIA</t>
  </si>
  <si>
    <t>(716) 579-0554</t>
  </si>
  <si>
    <t>CLYKEFRAZIER2@KALEIDAHEALTH.ORG</t>
  </si>
  <si>
    <t>LYKE-FRAZIER CANDICE MRS.</t>
  </si>
  <si>
    <t>BARTELS, EDWARD, MD</t>
  </si>
  <si>
    <t>E0216493</t>
  </si>
  <si>
    <t>BARTELS EDWARD KELLY       MD</t>
  </si>
  <si>
    <t>EBARTELS@KALEIDAHEALTH.ORG</t>
  </si>
  <si>
    <t>BARTELS EDWARD</t>
  </si>
  <si>
    <t>HAGE, DOUGLAS, MD</t>
  </si>
  <si>
    <t>E0146973</t>
  </si>
  <si>
    <t>HAGE DOUGLAS DAVID MD</t>
  </si>
  <si>
    <t>DHAGE@KALEIDAHEALTH.ORG</t>
  </si>
  <si>
    <t>HAGE DOUGLAS</t>
  </si>
  <si>
    <t>DAVIS, ELIZABETH,</t>
  </si>
  <si>
    <t>E0174818</t>
  </si>
  <si>
    <t>DAVIS ELIZABETH MD</t>
  </si>
  <si>
    <t>DAVIS, ELIZABETH, MD</t>
  </si>
  <si>
    <t>EDAVIS@KALEIDAHEALTH.ORG</t>
  </si>
  <si>
    <t>DAVIS ELIZABETH DR.</t>
  </si>
  <si>
    <t>MORRIS, WILLIAM, MD</t>
  </si>
  <si>
    <t>E0210560</t>
  </si>
  <si>
    <t>MORRIS WILLIAM             MD</t>
  </si>
  <si>
    <t>WMORRIS@KALEIDAHEALTH.ORG</t>
  </si>
  <si>
    <t>MORRIS WILLIAM DR.</t>
  </si>
  <si>
    <t>MIRELES, RAMIRO, MD</t>
  </si>
  <si>
    <t>E0138023</t>
  </si>
  <si>
    <t>MIRELES RAMIRO MD</t>
  </si>
  <si>
    <t>RMIRELES@KALEIDAHEALTH.ORG</t>
  </si>
  <si>
    <t>MIRELES RAMIRO</t>
  </si>
  <si>
    <t>DAVIDSON, DAVID, DPM</t>
  </si>
  <si>
    <t>E0243516</t>
  </si>
  <si>
    <t>DAVIDSON DAVID MARK DPM</t>
  </si>
  <si>
    <t>(716) 689-8500</t>
  </si>
  <si>
    <t>DDAVIDSON@KALEIDAHEALTH.ORG</t>
  </si>
  <si>
    <t>DAVIDSON DAVID</t>
  </si>
  <si>
    <t>SWEET, ANN, PA</t>
  </si>
  <si>
    <t>E0059612</t>
  </si>
  <si>
    <t>SWEET ANN M RPA</t>
  </si>
  <si>
    <t>SWEET, ANN, PA-C</t>
  </si>
  <si>
    <t>ASWEET@KALEIDAHEALTH.ORG</t>
  </si>
  <si>
    <t>SWEET ANN</t>
  </si>
  <si>
    <t>HENRY, ASHRAF, MD</t>
  </si>
  <si>
    <t>E0051124</t>
  </si>
  <si>
    <t>HENRY ASHRAF FEKRY MD</t>
  </si>
  <si>
    <t>AHENRY@KALEIDAHEALTH.ORG</t>
  </si>
  <si>
    <t>HENRY ASHRAF DR.</t>
  </si>
  <si>
    <t>HENRY ASHRAF FEKRY</t>
  </si>
  <si>
    <t>DIPPERT, PAUL, DO</t>
  </si>
  <si>
    <t>E0238952</t>
  </si>
  <si>
    <t>DIPPERT PAUL C DO</t>
  </si>
  <si>
    <t>DIPPERT PAUL DR.</t>
  </si>
  <si>
    <t>DIPPERT PAUL C</t>
  </si>
  <si>
    <t>8274 N MAIN ST</t>
  </si>
  <si>
    <t>ZULEWSKI DALTON, GAYLE, CPNP</t>
  </si>
  <si>
    <t>E0080032</t>
  </si>
  <si>
    <t>ZULEWSKI DALTON GAYLE JENNIFER ANN</t>
  </si>
  <si>
    <t>ZULEWSKI-DALTON, GAYLE, PNP</t>
  </si>
  <si>
    <t>(716) 878-7571</t>
  </si>
  <si>
    <t>GZULEWSKI-DALTON@KALEIDAHEALTH.ORG</t>
  </si>
  <si>
    <t>ZULEWSKI DALTON GAYLE MRS.</t>
  </si>
  <si>
    <t>6435 WEBSTER RD</t>
  </si>
  <si>
    <t>PAWLOWSKI, DAVID, MD</t>
  </si>
  <si>
    <t>E0066663</t>
  </si>
  <si>
    <t>PAWLOWSKI DAVID ANTHONY MD</t>
  </si>
  <si>
    <t>DPAWLOWSKI2@KALEIDAHEALTH.ORG</t>
  </si>
  <si>
    <t>PAWLOWSKI DAVID DR.</t>
  </si>
  <si>
    <t>VOLANSKY, PAUL, DDS</t>
  </si>
  <si>
    <t>E0240350</t>
  </si>
  <si>
    <t>VOLANSKY PAUL M           DDS</t>
  </si>
  <si>
    <t>(716) 662-9774</t>
  </si>
  <si>
    <t>PVOLANSKY@KALEIDAHEALTH.ORG</t>
  </si>
  <si>
    <t>VOLANSKY PAUL DR.</t>
  </si>
  <si>
    <t>VOLANSKY PAUL M</t>
  </si>
  <si>
    <t>6435 WEBSTER RD STE E</t>
  </si>
  <si>
    <t>BOWEN, KIM, NP</t>
  </si>
  <si>
    <t>E0058519</t>
  </si>
  <si>
    <t>BOWEN KIM MARIE</t>
  </si>
  <si>
    <t>BOWEN, KIM, ANP</t>
  </si>
  <si>
    <t>KBOWEN@KALEIDAHEALTH.ORG</t>
  </si>
  <si>
    <t>BOWEN KIM</t>
  </si>
  <si>
    <t>KALEIDA SNF</t>
  </si>
  <si>
    <t>VIENNE, RICHARD, MD</t>
  </si>
  <si>
    <t>E0155026</t>
  </si>
  <si>
    <t>VIENNE RICHARD P JR DO</t>
  </si>
  <si>
    <t>VIENNE RICHARD</t>
  </si>
  <si>
    <t>VIENNE RICHARD PAUL</t>
  </si>
  <si>
    <t>KHAN, MOHAMMAD, MD</t>
  </si>
  <si>
    <t>E0072763</t>
  </si>
  <si>
    <t>KHAN MOHAMMAD ASGHAR MD</t>
  </si>
  <si>
    <t>MKHAN2@KALEIDAHEALTH.ORG</t>
  </si>
  <si>
    <t>KHAN MOHAMMAD DR.</t>
  </si>
  <si>
    <t>621 10TH STREET - HODGE 1</t>
  </si>
  <si>
    <t>BRAEN, GEORGE, MD</t>
  </si>
  <si>
    <t>E0175134</t>
  </si>
  <si>
    <t>BRAEN GEORGE RICHARD MD</t>
  </si>
  <si>
    <t>RBRAEN@KALEIDAHEALTH.ORG</t>
  </si>
  <si>
    <t>BRAEN GEORGE</t>
  </si>
  <si>
    <t>JEHRIO, GREGORY, MD</t>
  </si>
  <si>
    <t>E0124716</t>
  </si>
  <si>
    <t>JEHRIO GREGORY THOMAS MD</t>
  </si>
  <si>
    <t>(716) 439-0202</t>
  </si>
  <si>
    <t>JEHRIO GREGORY DR.</t>
  </si>
  <si>
    <t>GREGORY THOMAS JEHRIO</t>
  </si>
  <si>
    <t>MARINO, MICHAEL, MD</t>
  </si>
  <si>
    <t>E0139533</t>
  </si>
  <si>
    <t>MARINO MICHAEL B MD</t>
  </si>
  <si>
    <t>MMARINO@KALEIDAHEALTH.ORG</t>
  </si>
  <si>
    <t>MARINO MICHAEL</t>
  </si>
  <si>
    <t>GENESEE MEM HOSP</t>
  </si>
  <si>
    <t>GELFOND, DANIEL, MD</t>
  </si>
  <si>
    <t>E0007964</t>
  </si>
  <si>
    <t>GELFOND DANIEL MD</t>
  </si>
  <si>
    <t>(585) 250-4132</t>
  </si>
  <si>
    <t>DGELFOND@KALEIDAHEALTH.ORG</t>
  </si>
  <si>
    <t>GELFOND DANIEL</t>
  </si>
  <si>
    <t>FRETZ, STEPHANIE, MD</t>
  </si>
  <si>
    <t>E0134955</t>
  </si>
  <si>
    <t>FRETZ STEPHANIE HOBIKA MD</t>
  </si>
  <si>
    <t>SFRETZ@KALEIDAHEALTH.ORG</t>
  </si>
  <si>
    <t>FRETZ STEPHANIE</t>
  </si>
  <si>
    <t>FRETZ STEPHANIE HOBIKA</t>
  </si>
  <si>
    <t>FRIGON, CHRISTOPHER, LCSW</t>
  </si>
  <si>
    <t>FRIGON,  CHRISTOPHER, SENIOR THERAPIST</t>
  </si>
  <si>
    <t>FRIGON CHRISTOPHER</t>
  </si>
  <si>
    <t>KOVTUNOVA, SVETLANA, MD</t>
  </si>
  <si>
    <t>E0019160</t>
  </si>
  <si>
    <t>KOVTUNOVA SVETLANA V MD</t>
  </si>
  <si>
    <t>KOVTUNOVA SVETLANA</t>
  </si>
  <si>
    <t>WOLF, JUDI, MD</t>
  </si>
  <si>
    <t>E0065222</t>
  </si>
  <si>
    <t>WOLF JUDI LETTMAN</t>
  </si>
  <si>
    <t>JWOLF2@KALEIDAHEALTH.ORG</t>
  </si>
  <si>
    <t>WOLF JUDI DR.</t>
  </si>
  <si>
    <t>CMOB</t>
  </si>
  <si>
    <t>WALSH, NANCY, NNP</t>
  </si>
  <si>
    <t>E0373144</t>
  </si>
  <si>
    <t>WALSH NANCY RITA</t>
  </si>
  <si>
    <t>(716) 649-7939</t>
  </si>
  <si>
    <t>NWALSH@KALEIDAHEALTH.ORG</t>
  </si>
  <si>
    <t>WALSH NANCY MRS.</t>
  </si>
  <si>
    <t>ERIE COUNTY HEALTH DEPT - SPECIAL NEEDS PRESCHOOL PROGRAM</t>
  </si>
  <si>
    <t>E0156927</t>
  </si>
  <si>
    <t>ERIE CO YOUTH SVCS PSSHSP</t>
  </si>
  <si>
    <t>ERIE CO DEPT OF HEALTH SPEC NEEDS</t>
  </si>
  <si>
    <t>95 FRANKLIN ST RM 828</t>
  </si>
  <si>
    <t>STERMAN, ELLEN, MD</t>
  </si>
  <si>
    <t>E0197278</t>
  </si>
  <si>
    <t>STERMAN ELLEN              MD</t>
  </si>
  <si>
    <t>ESTERMAN@KALEIDAHEALTH.ORG</t>
  </si>
  <si>
    <t>STERMAN ELLEN</t>
  </si>
  <si>
    <t>JACOBSON, SIG-LINDA, MD</t>
  </si>
  <si>
    <t>E0173023</t>
  </si>
  <si>
    <t>JACOBSON SIG-LINDA MD</t>
  </si>
  <si>
    <t>(503) 806-7854</t>
  </si>
  <si>
    <t>SJACOBSON@KALEIDAHEALTH.ORG</t>
  </si>
  <si>
    <t>JACOBSON SIG-LINDA</t>
  </si>
  <si>
    <t>5006 SW MARTHA ST</t>
  </si>
  <si>
    <t>PORTLAND</t>
  </si>
  <si>
    <t>OR</t>
  </si>
  <si>
    <t>BAKER, SUSAN, MD</t>
  </si>
  <si>
    <t>E0198039</t>
  </si>
  <si>
    <t>BAKER SUSAN S MD</t>
  </si>
  <si>
    <t>BAKER, SUSAN, MD PHD</t>
  </si>
  <si>
    <t>SBAKER2@KALEIDAHEALTH.ORG</t>
  </si>
  <si>
    <t>BAKER SUSAN</t>
  </si>
  <si>
    <t>MALHOTRA, SAURABH, MDMPH</t>
  </si>
  <si>
    <t>E0383463</t>
  </si>
  <si>
    <t>MALHOTRA SAURABH</t>
  </si>
  <si>
    <t>MALHOTRA, SAURABH, MD</t>
  </si>
  <si>
    <t>SMALHOTRA@KALEIDAHEALTH.ORG</t>
  </si>
  <si>
    <t>ROOSA CHRISTINA</t>
  </si>
  <si>
    <t>E0305597</t>
  </si>
  <si>
    <t>ROOSA CHRISTINA PATRICIA</t>
  </si>
  <si>
    <t>OLSON, DOUGLAS, DMDM</t>
  </si>
  <si>
    <t>E0378745</t>
  </si>
  <si>
    <t>OLSON DOUGLAS P</t>
  </si>
  <si>
    <t>OLSON, DOUGLAS, DMD</t>
  </si>
  <si>
    <t>DOLSON@KALEIDAHEALTH.ORG</t>
  </si>
  <si>
    <t>OLSON DOUGLAS DR.</t>
  </si>
  <si>
    <t>1100 MAIN ST STE 100</t>
  </si>
  <si>
    <t>PATEL, MALTI, MD</t>
  </si>
  <si>
    <t>E0143388</t>
  </si>
  <si>
    <t>PATEL MALTI JAIRAM MD</t>
  </si>
  <si>
    <t>MPATEL@KALEIDAHEALTH.ORG</t>
  </si>
  <si>
    <t>PATEL MALTI</t>
  </si>
  <si>
    <t>CLOUD, MARSILIA, MD</t>
  </si>
  <si>
    <t>E0058823</t>
  </si>
  <si>
    <t>CLOUD MARSILIA SEIWELL</t>
  </si>
  <si>
    <t>MCLOUD@KALEIDAHEALTH.ORG</t>
  </si>
  <si>
    <t>CLOUD MARSILIA</t>
  </si>
  <si>
    <t>3834 DELAWARE AVE</t>
  </si>
  <si>
    <t>ZIELINSKI, ROBERT, MD</t>
  </si>
  <si>
    <t>E0178915</t>
  </si>
  <si>
    <t>ZIELINSKI ROBERT M MD</t>
  </si>
  <si>
    <t>RZIELINSKI@KALEIDAHEALTH.ORG</t>
  </si>
  <si>
    <t>ZIELINSKI ROBERT DR.</t>
  </si>
  <si>
    <t>ZIELINSKI ROBERT MICHAEL MD</t>
  </si>
  <si>
    <t>SNELL GARUS, KAREN, MD</t>
  </si>
  <si>
    <t>E0072779</t>
  </si>
  <si>
    <t>SNELL-GARUS KAREN ANGELA MD</t>
  </si>
  <si>
    <t>SNELL-GARUS, KAREN, MD</t>
  </si>
  <si>
    <t>(716) 810-9718</t>
  </si>
  <si>
    <t>KSNELL-GARUS@KALEIDAHEALTH.ORG</t>
  </si>
  <si>
    <t>SNELL GARUS KAREN DR.</t>
  </si>
  <si>
    <t>KAPLAN, ROBERT, MD</t>
  </si>
  <si>
    <t>E0178986</t>
  </si>
  <si>
    <t>KAPLAN ROBERT EDWARD MD</t>
  </si>
  <si>
    <t>RKAPLAN2@KALEIDAHEALTH.ORG</t>
  </si>
  <si>
    <t>KAPLAN ROBERT</t>
  </si>
  <si>
    <t>KAPLAN ROBERT EDWARD</t>
  </si>
  <si>
    <t>RAMAN, ARUN, MD</t>
  </si>
  <si>
    <t>E0008403</t>
  </si>
  <si>
    <t>RAMAN ARUN KUMAR</t>
  </si>
  <si>
    <t>ARAMAN@KALEIDAHEALTH.ORG</t>
  </si>
  <si>
    <t>RAMAN ARUN</t>
  </si>
  <si>
    <t>STRZALKA, DOREEN, DDS</t>
  </si>
  <si>
    <t>E0134465</t>
  </si>
  <si>
    <t>STRZALKA DOREEN BUSSI DDS</t>
  </si>
  <si>
    <t>(716) 565-1512</t>
  </si>
  <si>
    <t>DSTRZALKA@KALEIDAHEALTH.ORG</t>
  </si>
  <si>
    <t>STRZALKA DOREEN DR.</t>
  </si>
  <si>
    <t>8560 MAIN ST</t>
  </si>
  <si>
    <t>GLASS, KATHLEEN, ANPBC</t>
  </si>
  <si>
    <t>E0297994</t>
  </si>
  <si>
    <t>GLASS KATHLEEN ZILLNER</t>
  </si>
  <si>
    <t>GLASS, KATHLEEN,</t>
  </si>
  <si>
    <t>GLASS KATHLEEN MS.</t>
  </si>
  <si>
    <t>462 GRIDER ST STE 119</t>
  </si>
  <si>
    <t>PACZOS, TAMERA, MD</t>
  </si>
  <si>
    <t>E0073701</t>
  </si>
  <si>
    <t>PACZOS TAMERA A MD</t>
  </si>
  <si>
    <t>(716) 626-7944</t>
  </si>
  <si>
    <t>TPACZOS@KALEIDAHEALTH.ORG</t>
  </si>
  <si>
    <t>PACZOS TAMERA DR.</t>
  </si>
  <si>
    <t>PACZOS TAMERA ANN</t>
  </si>
  <si>
    <t>FINNEGAN, SARAH, MD</t>
  </si>
  <si>
    <t>E0108463</t>
  </si>
  <si>
    <t>FINNEGAN SARAH G MD</t>
  </si>
  <si>
    <t>SFINNEGAN@KALEIDAHEALTH.ORG</t>
  </si>
  <si>
    <t>FINNEGAN SARAH</t>
  </si>
  <si>
    <t>VARGO, EDWARD, RPAC</t>
  </si>
  <si>
    <t>E0100197</t>
  </si>
  <si>
    <t>VARGO EDWARD RICHARD JR RPA</t>
  </si>
  <si>
    <t>VARGO, EDWARD, PA</t>
  </si>
  <si>
    <t>EVARGO@KALEIDAHEALTH.ORG</t>
  </si>
  <si>
    <t>VARGO EDWARD</t>
  </si>
  <si>
    <t>LANA, STEVEN, MD</t>
  </si>
  <si>
    <t>E0203391</t>
  </si>
  <si>
    <t>LANA STEVEN JOSEPH         MD</t>
  </si>
  <si>
    <t>SLANA@KALEIDAHEALTH.ORG</t>
  </si>
  <si>
    <t>LANA STEVEN DR.</t>
  </si>
  <si>
    <t>FIORICA, NORMAN, MD</t>
  </si>
  <si>
    <t>E0195090</t>
  </si>
  <si>
    <t>FIORICA NORMAN ONOFRIO     MD</t>
  </si>
  <si>
    <t>(716) 297-0001</t>
  </si>
  <si>
    <t>NFIORICA@KALEIDAHEALTH.ORG</t>
  </si>
  <si>
    <t>FIORICA NORMAN DR.</t>
  </si>
  <si>
    <t>ARNET JUNE, WILLA, NP</t>
  </si>
  <si>
    <t>E0090578</t>
  </si>
  <si>
    <t>ARNET WILLA ARNETTA</t>
  </si>
  <si>
    <t>ARNET-JUNE, WILLA, ANP</t>
  </si>
  <si>
    <t>(716) 816-7200</t>
  </si>
  <si>
    <t>WARNET-JUNE@KALEIDAHEALTH.ORG</t>
  </si>
  <si>
    <t>ARNET JUNE WILLA</t>
  </si>
  <si>
    <t>ARNET-JUNE WILLA A</t>
  </si>
  <si>
    <t>DESOUZA, AUREA, MD</t>
  </si>
  <si>
    <t>E0193900</t>
  </si>
  <si>
    <t>DESOUZA AUREA SISMEA MD</t>
  </si>
  <si>
    <t>ADESOUZA@KALEIDAHEALTH.ORG</t>
  </si>
  <si>
    <t>DESOUZA AUREA</t>
  </si>
  <si>
    <t>KINGSTON</t>
  </si>
  <si>
    <t>LAKSHMINRUSIMHA, SATYANARAYANA, MD</t>
  </si>
  <si>
    <t>E0101821</t>
  </si>
  <si>
    <t>LAKSHMINRUSIMHA SATYANARAYANA</t>
  </si>
  <si>
    <t>SLAKSHMINRUSIMHA@KALEIDAHEALTH.ORG</t>
  </si>
  <si>
    <t>HEARD, CHRISTOPHER, MD</t>
  </si>
  <si>
    <t>E0135240</t>
  </si>
  <si>
    <t>HEARD CHRISTOPHER MICHAEL B M</t>
  </si>
  <si>
    <t>CHEARD2@KALEIDAHEALTH.ORG</t>
  </si>
  <si>
    <t>HEARD CHRISTOPHER</t>
  </si>
  <si>
    <t>KRABILL, KEITH, MD</t>
  </si>
  <si>
    <t>E0057872</t>
  </si>
  <si>
    <t>KRABILL KEITH</t>
  </si>
  <si>
    <t>(716) 626-7200</t>
  </si>
  <si>
    <t>KKRABILL@KALEIDAHEALTH.ORG</t>
  </si>
  <si>
    <t>WETZLER, MEIR, MD</t>
  </si>
  <si>
    <t>E0148913</t>
  </si>
  <si>
    <t>WETZLER MEIR MD</t>
  </si>
  <si>
    <t>MWETZLER@KALEIDAHEALTH.ORG</t>
  </si>
  <si>
    <t>ROSWELL PK PHYS PL</t>
  </si>
  <si>
    <t>MILLER, DAVID, MD</t>
  </si>
  <si>
    <t>E0072776</t>
  </si>
  <si>
    <t>MILLER DAVID</t>
  </si>
  <si>
    <t>DMILLER5@KALEIDAHEALTH.ORG</t>
  </si>
  <si>
    <t>ELSASS, KELCEY, MD</t>
  </si>
  <si>
    <t>E0011497</t>
  </si>
  <si>
    <t>ELSASS KELCY DAWN MD</t>
  </si>
  <si>
    <t>KELSASS@KALEIDAHEALTH.ORG</t>
  </si>
  <si>
    <t>ELSASS KELCEY DR.</t>
  </si>
  <si>
    <t>134 ADAMS WAY</t>
  </si>
  <si>
    <t>BRECKENRIDGE</t>
  </si>
  <si>
    <t>CO</t>
  </si>
  <si>
    <t>TAKATS, JOSEPH, DO</t>
  </si>
  <si>
    <t>E0234342</t>
  </si>
  <si>
    <t>TAKATS JOSEPH R III MD</t>
  </si>
  <si>
    <t>(716) 447-8868</t>
  </si>
  <si>
    <t>JTAKATS@KALEIDAHEALTH.ORG</t>
  </si>
  <si>
    <t>TAKATS JOSEPH</t>
  </si>
  <si>
    <t>50 ALCONA AVE</t>
  </si>
  <si>
    <t>EGGERTSVILLE</t>
  </si>
  <si>
    <t>SULEWSKI, JOANNE, MD</t>
  </si>
  <si>
    <t>E0231172</t>
  </si>
  <si>
    <t>SULEWSKI JOANNE MARIE      MD</t>
  </si>
  <si>
    <t>(716) 834-5062</t>
  </si>
  <si>
    <t>JSULEWSKI@KALEIDAHEALTH.ORG</t>
  </si>
  <si>
    <t>SULEWSKI JOANNE DR.</t>
  </si>
  <si>
    <t>UNIVERSITY MEDI PRAC</t>
  </si>
  <si>
    <t>NEW DIRECTIONS YOUTH AND FAMILY SERVICES</t>
  </si>
  <si>
    <t>E0184612</t>
  </si>
  <si>
    <t>NEW DIRECTIONS YOUTH/FAMILY SER MH</t>
  </si>
  <si>
    <t>6395 OLD NIAGARA RD</t>
  </si>
  <si>
    <t>WILSON, BRUMMITTE, MD</t>
  </si>
  <si>
    <t>E0238335</t>
  </si>
  <si>
    <t>WILSON BRUMMITTE D         MD</t>
  </si>
  <si>
    <t>BWILSON@KALEIDAHEALTH.ORG</t>
  </si>
  <si>
    <t>WILSON BRUMMITTE</t>
  </si>
  <si>
    <t>1491 SHERIDAN DR</t>
  </si>
  <si>
    <t>DOUGHERTY, THOMAS, MD</t>
  </si>
  <si>
    <t>E0222371</t>
  </si>
  <si>
    <t>DOUGHERTY THOMAS E         MD</t>
  </si>
  <si>
    <t>(716) 759-8811</t>
  </si>
  <si>
    <t>TDOUGHERTY@KALEIDAHEALTH.ORG</t>
  </si>
  <si>
    <t>DOUGHERTY THOMAS DR.</t>
  </si>
  <si>
    <t>SMITH, NICOLE, FNPC</t>
  </si>
  <si>
    <t>E0022570</t>
  </si>
  <si>
    <t>RYAN NICOLE M</t>
  </si>
  <si>
    <t>SMITH, NICOLE, FNP</t>
  </si>
  <si>
    <t>NSMITH3@KALEIDAHEALTH.ORG</t>
  </si>
  <si>
    <t>SMITH NICOLE</t>
  </si>
  <si>
    <t>SMITH NICOLE M</t>
  </si>
  <si>
    <t>BALDASSARI, SUSAN, MD</t>
  </si>
  <si>
    <t>E0201402</t>
  </si>
  <si>
    <t>BALDASSARI SUSAN           MD</t>
  </si>
  <si>
    <t>(716) 871-0003</t>
  </si>
  <si>
    <t>SBALDASSARI@KALEIDAHEALTH.ORG</t>
  </si>
  <si>
    <t>BALDASSARI SUSAN DR.</t>
  </si>
  <si>
    <t>CURTIS, ANNE, MD</t>
  </si>
  <si>
    <t>E0180279</t>
  </si>
  <si>
    <t>CURTIS ANNE</t>
  </si>
  <si>
    <t>(716) 859-4828</t>
  </si>
  <si>
    <t>ACURTIS@KALEIDAHEALTH.ORG</t>
  </si>
  <si>
    <t>GIOTIS, MARGARITA, MD</t>
  </si>
  <si>
    <t>E0187721</t>
  </si>
  <si>
    <t>GIOTIS MARGARITA K MD</t>
  </si>
  <si>
    <t>(716) 632-2028</t>
  </si>
  <si>
    <t>MGIOTIS@KALEIDAHEALTH.ORG</t>
  </si>
  <si>
    <t>GIOTIS MARGARITA</t>
  </si>
  <si>
    <t>WOMENS HLTH CONSULTS</t>
  </si>
  <si>
    <t>PIERCE, DAVID, MD</t>
  </si>
  <si>
    <t>E0022654</t>
  </si>
  <si>
    <t>PIERCE DAVID LEE MD</t>
  </si>
  <si>
    <t>DPIERCE@KALEIDAHEALTH.ORG</t>
  </si>
  <si>
    <t>PIERCE DAVID</t>
  </si>
  <si>
    <t>HIGMAN, MEGHAN, MD</t>
  </si>
  <si>
    <t>E0022460</t>
  </si>
  <si>
    <t>HIGMAN MEGHAN</t>
  </si>
  <si>
    <t>HIGMAN, MEGHAN, MD PHD</t>
  </si>
  <si>
    <t>MHIGMAN@KALEIDAHEALTH.ORG</t>
  </si>
  <si>
    <t>NOTARO, JOHN, MD</t>
  </si>
  <si>
    <t>E0142770</t>
  </si>
  <si>
    <t>NOTARO JOHN C MD</t>
  </si>
  <si>
    <t>JNOTARO@KALEIDAHEALTH.ORG</t>
  </si>
  <si>
    <t>NOTARO JOHN DR.</t>
  </si>
  <si>
    <t>6195 W QUAKER ST</t>
  </si>
  <si>
    <t>BRIGGS, GLEN, LCSWR</t>
  </si>
  <si>
    <t>E0363702</t>
  </si>
  <si>
    <t>BRIGGS GLEN WILLIAM</t>
  </si>
  <si>
    <t>BRIGGS, GLEN W., LCSWR</t>
  </si>
  <si>
    <t>BRIGGS GLEN MR.</t>
  </si>
  <si>
    <t>SINHA, ANIMESH, MD</t>
  </si>
  <si>
    <t>E0112691</t>
  </si>
  <si>
    <t>SINHA ANIMESH A MD</t>
  </si>
  <si>
    <t>SINHA, ANIMESH, MD, PHD</t>
  </si>
  <si>
    <t>(212) 844-8800</t>
  </si>
  <si>
    <t>ASINHA@KALEIDAHEALTH.ORG</t>
  </si>
  <si>
    <t>SINHA ANIMESH DR.</t>
  </si>
  <si>
    <t>425 W 59TH ST</t>
  </si>
  <si>
    <t>UNIVERSITY, , LICENSED</t>
  </si>
  <si>
    <t>GIGLIO, TIMOTHY, NP</t>
  </si>
  <si>
    <t>E0001898</t>
  </si>
  <si>
    <t>GIGLIO TIMOTHY</t>
  </si>
  <si>
    <t>GIGLIO, TIMOTHY, ACNP</t>
  </si>
  <si>
    <t>(716) 668-3204</t>
  </si>
  <si>
    <t>TGIGLIO@KALEIDAHEALTH.ORG</t>
  </si>
  <si>
    <t>GIGLIO TIMOTHY JOSEPH</t>
  </si>
  <si>
    <t>E0229336</t>
  </si>
  <si>
    <t>CHAUTAUQUA ARC RESOURCE CTR I</t>
  </si>
  <si>
    <t>862 FOOTE AVE</t>
  </si>
  <si>
    <t>E0119883</t>
  </si>
  <si>
    <t>CHILD &amp; FAMILY SRVS ERIE CO</t>
  </si>
  <si>
    <t>(716) 894-1950</t>
  </si>
  <si>
    <t>C/7511431/ROSSLER ST</t>
  </si>
  <si>
    <t>SHAIKH, ZUBAIR, MD</t>
  </si>
  <si>
    <t>E0297148</t>
  </si>
  <si>
    <t>SHAIKH ZUBAIR IQBAL</t>
  </si>
  <si>
    <t>SHAIKH ZUBAIR MR.</t>
  </si>
  <si>
    <t>DOEMLAND, HELEN, PA</t>
  </si>
  <si>
    <t>E0037554</t>
  </si>
  <si>
    <t>DOEMLAND HELEN RPA</t>
  </si>
  <si>
    <t>(716) 870-3861</t>
  </si>
  <si>
    <t>HDOEMLAND@PALLIATIVECARE.ORG</t>
  </si>
  <si>
    <t>DOEMLAND HELEN</t>
  </si>
  <si>
    <t>NATHAN, SATHIA, MD</t>
  </si>
  <si>
    <t>E0238077</t>
  </si>
  <si>
    <t>NATHAN SATHIA V            MD</t>
  </si>
  <si>
    <t>NATHAN SATHIA MR.</t>
  </si>
  <si>
    <t>(716) 297-8260</t>
  </si>
  <si>
    <t>8666 BUFFALO AVE</t>
  </si>
  <si>
    <t>ROMANOWSKI, MARCUS, MD</t>
  </si>
  <si>
    <t>E0111528</t>
  </si>
  <si>
    <t>ROMANOWSKI MARCUS RICHARD MD</t>
  </si>
  <si>
    <t>MROMANOWSKI@KALEIDAHEALTH.ORG</t>
  </si>
  <si>
    <t>ROMANOWSKI MARCUS DR.</t>
  </si>
  <si>
    <t>CHEN, C JAMES, MD</t>
  </si>
  <si>
    <t>E0238501</t>
  </si>
  <si>
    <t>CHEN C JAMES               MD</t>
  </si>
  <si>
    <t>(716) 833-9568</t>
  </si>
  <si>
    <t>CHEN C JAMES DR.</t>
  </si>
  <si>
    <t>FAZILI, MOHAMAD, MD</t>
  </si>
  <si>
    <t>E0233986</t>
  </si>
  <si>
    <t>FAZILI MOHAMAD Y PC        MD</t>
  </si>
  <si>
    <t>(716) 833-3008</t>
  </si>
  <si>
    <t>MFAZILI@KALEIDAHEALTH.ORG</t>
  </si>
  <si>
    <t>FAZILI MOHAMAD</t>
  </si>
  <si>
    <t>FAZILI MOHAMAD Y</t>
  </si>
  <si>
    <t>3469 HARLEM RD</t>
  </si>
  <si>
    <t>PENEPENT, PHILIP, MD</t>
  </si>
  <si>
    <t>E0224595</t>
  </si>
  <si>
    <t>PENEPENT PHILIP A JR       MD</t>
  </si>
  <si>
    <t>(716) 681-1895</t>
  </si>
  <si>
    <t>PPENEPENT@KALEIDAHEALTH.ORG</t>
  </si>
  <si>
    <t>PENEPENT PHILIP DR.</t>
  </si>
  <si>
    <t>PENEPENT PHILIP A JR</t>
  </si>
  <si>
    <t>5196 GENESEE ST</t>
  </si>
  <si>
    <t>CHIN KIT-WELLS, MEELIN, DDS</t>
  </si>
  <si>
    <t>E0140252</t>
  </si>
  <si>
    <t>CHIN KIT-WELLS MEELIN D DDS</t>
  </si>
  <si>
    <t>MCHINKITWELLS@KALEIDAHEALTH.ORG</t>
  </si>
  <si>
    <t>CHIN KIT-WELLS MEELIN DR.</t>
  </si>
  <si>
    <t>CHIN KIT-WELLS MEELIN DIAN</t>
  </si>
  <si>
    <t>SAMAD, AFSHAN, MD</t>
  </si>
  <si>
    <t>E0311751</t>
  </si>
  <si>
    <t>AFSHAN SAMAD</t>
  </si>
  <si>
    <t>ASAMAD@KALEIDAHEALTH.ORG</t>
  </si>
  <si>
    <t>SAMAD AFSHAN DR.</t>
  </si>
  <si>
    <t>SAMAD AFSHAN</t>
  </si>
  <si>
    <t>DAUSCHER, KATHRYN,</t>
  </si>
  <si>
    <t>DAUSCHER,  KATHRYN, SR COUNSELOR LICENSED</t>
  </si>
  <si>
    <t>DAUSCHER KATHRYN</t>
  </si>
  <si>
    <t>CONCEPCION, EMILY, DO</t>
  </si>
  <si>
    <t>E0354143</t>
  </si>
  <si>
    <t>CONCEPCION EMILY R</t>
  </si>
  <si>
    <t>CONCEPCION , EMILY, MD</t>
  </si>
  <si>
    <t>(718) 440-1973</t>
  </si>
  <si>
    <t>ECONCEPCION@UPA.CHOB.EDU</t>
  </si>
  <si>
    <t>CONCEPCION EMILY DR.</t>
  </si>
  <si>
    <t>PHELAN, JENNIFER, FNP</t>
  </si>
  <si>
    <t>E0334274</t>
  </si>
  <si>
    <t>PHELAN JENNIFER ANN</t>
  </si>
  <si>
    <t>(716) 627-5501</t>
  </si>
  <si>
    <t>JPHELAN@KALEIDAHEALTH.ORG</t>
  </si>
  <si>
    <t>PHELAN JENNIFER</t>
  </si>
  <si>
    <t>PASTERNAK, PAUL, MS</t>
  </si>
  <si>
    <t>PASTERNAK,  PAUL, SR COUNSELOR LICENSED</t>
  </si>
  <si>
    <t>PASTERNAK PAUL MR.</t>
  </si>
  <si>
    <t>RAJENDRAN, LAKSHMANAN, MD</t>
  </si>
  <si>
    <t>E0218024</t>
  </si>
  <si>
    <t>RAJENDRAN LAKSHMANAN       MD</t>
  </si>
  <si>
    <t>(716) 835-9192</t>
  </si>
  <si>
    <t>LRAJENDRAN@KALEIDAHEALTH.ORG</t>
  </si>
  <si>
    <t>RAJENDRAN LAKSHMANAN DR.</t>
  </si>
  <si>
    <t>RAJENDRAN LAKSHMANAN</t>
  </si>
  <si>
    <t>STE 6</t>
  </si>
  <si>
    <t>ZULQARNI, NAZ, MD</t>
  </si>
  <si>
    <t>E0032974</t>
  </si>
  <si>
    <t>ZULQARNI NAZ JABEEN</t>
  </si>
  <si>
    <t>ZULQARNI , NAZ     , MD</t>
  </si>
  <si>
    <t>NZULQARNI@UPA.CHOB.EDU</t>
  </si>
  <si>
    <t>ZULQARNI NAZ DR.</t>
  </si>
  <si>
    <t>KURITZKY, ALAN, MD</t>
  </si>
  <si>
    <t>E0222323</t>
  </si>
  <si>
    <t>KURITZKY ALAN S            MD</t>
  </si>
  <si>
    <t>AKURITZKY@KALEIDAHEALTH.ORG</t>
  </si>
  <si>
    <t>KURITZKY ALAN</t>
  </si>
  <si>
    <t>JACKSON, LISA, PHD</t>
  </si>
  <si>
    <t>E0152492</t>
  </si>
  <si>
    <t>JACKSON LISA A</t>
  </si>
  <si>
    <t>(716) 839-4658</t>
  </si>
  <si>
    <t>LJACKSON@KALEIDAHEALTH.ORG</t>
  </si>
  <si>
    <t>JACKSON LISA DR.</t>
  </si>
  <si>
    <t>JACKSON LISA ANN</t>
  </si>
  <si>
    <t>4955 N BAILEY AVE STE 208</t>
  </si>
  <si>
    <t>DANILOVICH, NADEZHDA, MD</t>
  </si>
  <si>
    <t>E0014907</t>
  </si>
  <si>
    <t>DANILOVICH NADEZHDA MD</t>
  </si>
  <si>
    <t>DANILOVICH, , NADEZHDA, MD</t>
  </si>
  <si>
    <t>NDANILOVICH@UPA.CHOB.EDU</t>
  </si>
  <si>
    <t>DANILOVICH NADEZHDA</t>
  </si>
  <si>
    <t>KROLL-PIEKARSKI, RENE,</t>
  </si>
  <si>
    <t>E0065745</t>
  </si>
  <si>
    <t>KROLL-PIEKARSKI RENE</t>
  </si>
  <si>
    <t>KROLL-PIEKARSKI, RENE, FNP</t>
  </si>
  <si>
    <t>RKROLL-PIEKARSKI@KALEIDAHEALTH.ORG</t>
  </si>
  <si>
    <t>BAX, JOSEPH, MD</t>
  </si>
  <si>
    <t>E0215606</t>
  </si>
  <si>
    <t>BAX JOSEPH A               MD</t>
  </si>
  <si>
    <t>DR. JOSEPH BAX</t>
  </si>
  <si>
    <t>(716) 285-7366</t>
  </si>
  <si>
    <t>PATSI55@AOL.COM</t>
  </si>
  <si>
    <t>BAX JOSEPH DR.</t>
  </si>
  <si>
    <t>BAX JOSEPH A MD</t>
  </si>
  <si>
    <t>700 PARK PL</t>
  </si>
  <si>
    <t>GRISANTE-BETZ, JUDY, CRNA</t>
  </si>
  <si>
    <t>JGRISANTEBETZ@KALEIDAHEALTH.ORG</t>
  </si>
  <si>
    <t>GRISANTE-BETZ JUDY</t>
  </si>
  <si>
    <t>ZAM, ROBERT, PHD</t>
  </si>
  <si>
    <t>E0065851</t>
  </si>
  <si>
    <t>ZAM ROBERT S</t>
  </si>
  <si>
    <t>ZAM, ROBERT S., PHD</t>
  </si>
  <si>
    <t>RZAM@CATSWNY.ORG</t>
  </si>
  <si>
    <t>ZAM ROBERT DR.</t>
  </si>
  <si>
    <t>ZAM ROBERT SCOTT</t>
  </si>
  <si>
    <t>WEST, , SATELLITE</t>
  </si>
  <si>
    <t>HSU, BERNARD, MD</t>
  </si>
  <si>
    <t>E0298386</t>
  </si>
  <si>
    <t>HSU BERNARD</t>
  </si>
  <si>
    <t>(716) 862-7950</t>
  </si>
  <si>
    <t>BHSU@KALEIDAHEALTH.ORG</t>
  </si>
  <si>
    <t>HSU BERNARD DR.</t>
  </si>
  <si>
    <t>HSU BERNARD HAOYUN</t>
  </si>
  <si>
    <t>1412 SWEET HOME RD STE 6</t>
  </si>
  <si>
    <t>HORDER, JESSICA, MS</t>
  </si>
  <si>
    <t>HORDER, JESSICA, LMHC</t>
  </si>
  <si>
    <t>JHORDER@CATSWNY.ORG</t>
  </si>
  <si>
    <t>HORDER JESSICA</t>
  </si>
  <si>
    <t>MCCOY, COLLEEN, NP</t>
  </si>
  <si>
    <t>E0022612</t>
  </si>
  <si>
    <t>MCCOY COLLEEN</t>
  </si>
  <si>
    <t>(716) 862-8580</t>
  </si>
  <si>
    <t>COMCCOY@IPC-HUB.COM</t>
  </si>
  <si>
    <t>NOWELL COLLEEN MS.</t>
  </si>
  <si>
    <t>MCCOY COLLEEN ELIZABETH</t>
  </si>
  <si>
    <t>EAST, , SATELLITE</t>
  </si>
  <si>
    <t>PHILLIPS, MATTHEW, MD</t>
  </si>
  <si>
    <t>E0123824</t>
  </si>
  <si>
    <t>PHILLIPS MATTHEW J MD</t>
  </si>
  <si>
    <t>MPHILLIPS@KALEIDAHEALTH.ORG</t>
  </si>
  <si>
    <t>PHILLIPS MATTHEW</t>
  </si>
  <si>
    <t>B-2 ORTHOPAEDICS</t>
  </si>
  <si>
    <t>GARBARINO, KENNETH, MD</t>
  </si>
  <si>
    <t>E0184759</t>
  </si>
  <si>
    <t>GARBARINO KENNETH ALAN MD</t>
  </si>
  <si>
    <t>KGARBARINO@KALEIDAHEALTH.ORG</t>
  </si>
  <si>
    <t>GARBARINO KENNETH</t>
  </si>
  <si>
    <t>FISHER, CHANDRA, DO</t>
  </si>
  <si>
    <t>E0041757</t>
  </si>
  <si>
    <t>FISHER CHANDRA MARIE DO</t>
  </si>
  <si>
    <t>FISHER CHANDRA DR.</t>
  </si>
  <si>
    <t>CHOUCHANI, GABRIEL, MD</t>
  </si>
  <si>
    <t>E0238332</t>
  </si>
  <si>
    <t>CHOUCHANI GABRIEL E        MD</t>
  </si>
  <si>
    <t>GCHOUCHANI@KALEIDAHEALTH.ORG</t>
  </si>
  <si>
    <t>CHOUCHANI GABRIEL DR.</t>
  </si>
  <si>
    <t>2178 MAIN ST</t>
  </si>
  <si>
    <t>THOMAS, REXFORD, MD</t>
  </si>
  <si>
    <t>E0102315</t>
  </si>
  <si>
    <t>THOMAS REXFORD LEE JR MD</t>
  </si>
  <si>
    <t>RTHOMAS3@KALEIDAHEALTH.ORG</t>
  </si>
  <si>
    <t>THOMAS REXFORD</t>
  </si>
  <si>
    <t>112 OLEAN ST STE 220</t>
  </si>
  <si>
    <t>STONE, STEVEN, MD</t>
  </si>
  <si>
    <t>E0213540</t>
  </si>
  <si>
    <t>STONE STEVEN               MD</t>
  </si>
  <si>
    <t>SSTONE@KALEIDAHEALTH.ORG</t>
  </si>
  <si>
    <t>STONE STEVEN</t>
  </si>
  <si>
    <t>STONE STEVEN SCOTT</t>
  </si>
  <si>
    <t>ANDERSON, DANA, MD</t>
  </si>
  <si>
    <t>E0197018</t>
  </si>
  <si>
    <t>ANDERSON DANA PATRICK</t>
  </si>
  <si>
    <t>ANDERSON DANA DR.</t>
  </si>
  <si>
    <t>BOLNICK, ALAN, MD</t>
  </si>
  <si>
    <t>E0078666</t>
  </si>
  <si>
    <t>BOLNICK ALAN D MD</t>
  </si>
  <si>
    <t>(248) 581-5970</t>
  </si>
  <si>
    <t>ABOLNICK@KALEIDAHEALTH.ORG</t>
  </si>
  <si>
    <t>BOLNICK ALAN</t>
  </si>
  <si>
    <t>600 ROE AVE</t>
  </si>
  <si>
    <t>WADHWA, ARVIND, MD</t>
  </si>
  <si>
    <t>E0192319</t>
  </si>
  <si>
    <t>WADHWA ARVIND K MD</t>
  </si>
  <si>
    <t>AWADHWAMD@GMAIL.COM</t>
  </si>
  <si>
    <t>WADHWA ARVIND DR.</t>
  </si>
  <si>
    <t>GEORGE, ANSELM,</t>
  </si>
  <si>
    <t>E0166245</t>
  </si>
  <si>
    <t>GEORGE ANSELM</t>
  </si>
  <si>
    <t>ANSELM GEORGE, , NP</t>
  </si>
  <si>
    <t>CUNNINGHAM, EUGENE, MD</t>
  </si>
  <si>
    <t>E0239085</t>
  </si>
  <si>
    <t>CUNNINGHAM EUGENE E        MD</t>
  </si>
  <si>
    <t>(716) 898-4525</t>
  </si>
  <si>
    <t>CUNNINGHAM EUGENE DR.</t>
  </si>
  <si>
    <t>CHI, YONG, MD</t>
  </si>
  <si>
    <t>E0206701</t>
  </si>
  <si>
    <t>CHI YONG BAEK              MD</t>
  </si>
  <si>
    <t>(716) 778-9100</t>
  </si>
  <si>
    <t>CHI YONG</t>
  </si>
  <si>
    <t>CHI YONG BAEK</t>
  </si>
  <si>
    <t>221 CHESTNUT ST</t>
  </si>
  <si>
    <t>ORIE, JOSEPH, MD</t>
  </si>
  <si>
    <t>E0147532</t>
  </si>
  <si>
    <t>ORIE JOSEPH D MD</t>
  </si>
  <si>
    <t>(716) 885-5437</t>
  </si>
  <si>
    <t>JORIE@KALEIDAHEALTH.ORG</t>
  </si>
  <si>
    <t>ORIE JOSEPH</t>
  </si>
  <si>
    <t>DOSLUOGLU, HASAN, MD</t>
  </si>
  <si>
    <t>E0016545</t>
  </si>
  <si>
    <t>DOSLUOGLU HASAN</t>
  </si>
  <si>
    <t>(716) 883-4435</t>
  </si>
  <si>
    <t>HDOSLUOGLU@KALEIDAHEALTH.ORG</t>
  </si>
  <si>
    <t>DOSLUOGLU HASAN DR.</t>
  </si>
  <si>
    <t>DOSLUOGLU HASAN HALDUN MD</t>
  </si>
  <si>
    <t>STEINACHER, RICHARD, DO</t>
  </si>
  <si>
    <t>E0031542</t>
  </si>
  <si>
    <t>STEINACHER RICHARD S  DO</t>
  </si>
  <si>
    <t>RSTEINACHER@KALEIDAHEALTH.ORG</t>
  </si>
  <si>
    <t>STEINACHER RICHARD</t>
  </si>
  <si>
    <t>RIVERA COLIN, RUQAYYAH, WHNPBC</t>
  </si>
  <si>
    <t>E0305661</t>
  </si>
  <si>
    <t>RIVERA COLIN RUQAYYAH</t>
  </si>
  <si>
    <t>RIVERA COLIN, RUQAYYAH, WHNP</t>
  </si>
  <si>
    <t>(716) 748-4988</t>
  </si>
  <si>
    <t>RRIVERACOLIN@KALEIDAHEALTH.ORG</t>
  </si>
  <si>
    <t>RIVERA COLIN RUQAYYAH MRS.</t>
  </si>
  <si>
    <t>RIVERA COLIN RUQAYYAH FELICIA</t>
  </si>
  <si>
    <t>501 10TH ST</t>
  </si>
  <si>
    <t>IBRAHIM, AMEER, MD</t>
  </si>
  <si>
    <t>E0334869</t>
  </si>
  <si>
    <t>IBRAHIM AMEER MD</t>
  </si>
  <si>
    <t>(718) 496-4902</t>
  </si>
  <si>
    <t>IBRAHIM AMEER DR.</t>
  </si>
  <si>
    <t>BALICKI, KIMBERLY, MSW</t>
  </si>
  <si>
    <t>BALICKI, KIMBERLY, LMSW</t>
  </si>
  <si>
    <t>(716) 853-4424</t>
  </si>
  <si>
    <t>KBALICKI@CFSBNY.ORG</t>
  </si>
  <si>
    <t>BALICKI KIMBERLY</t>
  </si>
  <si>
    <t>CHRISTIANO, LORI,</t>
  </si>
  <si>
    <t>E0009042</t>
  </si>
  <si>
    <t>CHRISTIANO LORI ANN</t>
  </si>
  <si>
    <t>CHRISTIANO, LORI, FNP</t>
  </si>
  <si>
    <t>LCHRISTIANO@KALEIDAHEALTH.ORG</t>
  </si>
  <si>
    <t>CHRISTIANO LORI</t>
  </si>
  <si>
    <t>CHRISTIANO LORI A</t>
  </si>
  <si>
    <t>BECHT, JANE, ANP</t>
  </si>
  <si>
    <t>E0426192</t>
  </si>
  <si>
    <t>BECHT JANE M</t>
  </si>
  <si>
    <t>BECHT, JANE, ACNP</t>
  </si>
  <si>
    <t>JBECHT@KALEIDAHEALTH.ORG</t>
  </si>
  <si>
    <t>BECHT JANE</t>
  </si>
  <si>
    <t>MCGRATH, TIMOTHY, MD</t>
  </si>
  <si>
    <t>E0031798</t>
  </si>
  <si>
    <t>MCGRATH TIMOTHY</t>
  </si>
  <si>
    <t>TMCGRATH@KALEIDAHEALTH.ORG</t>
  </si>
  <si>
    <t>SZUMIGALA, JULIE, MD</t>
  </si>
  <si>
    <t>E0084276</t>
  </si>
  <si>
    <t>SZUMIGALA JULIE A MD</t>
  </si>
  <si>
    <t>(716) 677-0454</t>
  </si>
  <si>
    <t>JSZUMIGALA@KALEIDAHEALTH.ORG</t>
  </si>
  <si>
    <t>SZUMIGALA JULIE DR.</t>
  </si>
  <si>
    <t>STE 290</t>
  </si>
  <si>
    <t>FAROLINO, DEBORAH, MD</t>
  </si>
  <si>
    <t>E0209141</t>
  </si>
  <si>
    <t>FAROLINO DEBORAH LYNN      MD</t>
  </si>
  <si>
    <t>(716) 873-0164</t>
  </si>
  <si>
    <t>DFAROLINO@KALEIDAHEALTH.ORG</t>
  </si>
  <si>
    <t>FAROLINO DEBORAH</t>
  </si>
  <si>
    <t>FLAHERTY, LEAYN, PA</t>
  </si>
  <si>
    <t>E0132078</t>
  </si>
  <si>
    <t>FLAHERTY LEAYN TERESE</t>
  </si>
  <si>
    <t>LFLAHERTY@KALEIDAHEALTH.ORG</t>
  </si>
  <si>
    <t>FLAHERTY LEAYN</t>
  </si>
  <si>
    <t>EILEEN KOSIERACKI DO</t>
  </si>
  <si>
    <t>HALSTED, MARK, MD</t>
  </si>
  <si>
    <t>E0074614</t>
  </si>
  <si>
    <t>HALSTED MARK J MD</t>
  </si>
  <si>
    <t>(937) 689-9117</t>
  </si>
  <si>
    <t>MHALSTED@KALEIDAHEALTH.ORG</t>
  </si>
  <si>
    <t>HALSTED MARK</t>
  </si>
  <si>
    <t>HALSTED MARK JONATHAN</t>
  </si>
  <si>
    <t>MANYON, ANDREA, MD</t>
  </si>
  <si>
    <t>E0196540</t>
  </si>
  <si>
    <t>MANYON ANDREA MD</t>
  </si>
  <si>
    <t>AMANYON@KALEIDAHEALTH.ORG</t>
  </si>
  <si>
    <t>MANYON ANDREA</t>
  </si>
  <si>
    <t>E0236175</t>
  </si>
  <si>
    <t>CATTARAUGUS CNTY MNTL HLTH SV</t>
  </si>
  <si>
    <t>1701 LEO MOSS DR</t>
  </si>
  <si>
    <t>HOCKO, MICHAEL, MD</t>
  </si>
  <si>
    <t>E0192757</t>
  </si>
  <si>
    <t>HOCKO MICHAEL MD</t>
  </si>
  <si>
    <t>(716) 893-3835</t>
  </si>
  <si>
    <t>MHOCKO@KALEIDAHEALTH.ORG</t>
  </si>
  <si>
    <t>HOCKO MICHAEL</t>
  </si>
  <si>
    <t>BAIER, WILLIAM, MD</t>
  </si>
  <si>
    <t>E0239362</t>
  </si>
  <si>
    <t>BAIER WILLIAM J            MD</t>
  </si>
  <si>
    <t>WBAIER@KALEIDAHEALTH.ORG</t>
  </si>
  <si>
    <t>BAIER WILLIAM</t>
  </si>
  <si>
    <t>139 PROFESSIONAL PKWY</t>
  </si>
  <si>
    <t>AZAULA, MELISSA, MD</t>
  </si>
  <si>
    <t>E0134611</t>
  </si>
  <si>
    <t>AZAULA MELISSA ANNE MD</t>
  </si>
  <si>
    <t>AZAULA , MELISSA   , MD</t>
  </si>
  <si>
    <t>MAZAULA@UPA.CHOB.EDU</t>
  </si>
  <si>
    <t>AZAULA MELISSA</t>
  </si>
  <si>
    <t>KHALIL, MONEER, MD</t>
  </si>
  <si>
    <t>E0179663</t>
  </si>
  <si>
    <t>KHALIL MONEER MD</t>
  </si>
  <si>
    <t>(716) 332-6834</t>
  </si>
  <si>
    <t>MKHALIL2@KALEIDAHEALTH.ORG</t>
  </si>
  <si>
    <t>495 INTERNATIONAL DR</t>
  </si>
  <si>
    <t>SCHWARZKOPF, PATRICIA, PNP</t>
  </si>
  <si>
    <t>E0001891</t>
  </si>
  <si>
    <t>SCHWARZKOPF CORNAVACA PATRICIA</t>
  </si>
  <si>
    <t>SCHWARZKOPF,  PATRICIA, NP</t>
  </si>
  <si>
    <t>(716) 866-6932</t>
  </si>
  <si>
    <t>PSCHWARZKOPF@UPA.CHOB.EDU</t>
  </si>
  <si>
    <t>SCHWARZKOPF PATRICIA MS.</t>
  </si>
  <si>
    <t>SCHWARZKOPF PATRICIA M NP</t>
  </si>
  <si>
    <t>KOWALSKI, JOSEPH, MD</t>
  </si>
  <si>
    <t>E0104540</t>
  </si>
  <si>
    <t>KOWALSKI JOSEPH MARTIN</t>
  </si>
  <si>
    <t>(716) 898-5983</t>
  </si>
  <si>
    <t>JKOWALSKI@KALEIDAHEALTH.ORG</t>
  </si>
  <si>
    <t>KOWALSKI JOSEPH</t>
  </si>
  <si>
    <t>AHMAD, SHAKEEL, MD</t>
  </si>
  <si>
    <t>E0077363</t>
  </si>
  <si>
    <t>AHMAD SHKEEL MD</t>
  </si>
  <si>
    <t>AHMAD, SHAKEEL,</t>
  </si>
  <si>
    <t>AHMAD SHAKEEL</t>
  </si>
  <si>
    <t>AHMAD SHAKEEL MD</t>
  </si>
  <si>
    <t>LEDDY, JOHN, MD</t>
  </si>
  <si>
    <t>E0186653</t>
  </si>
  <si>
    <t>LEDDY JOHN J MD</t>
  </si>
  <si>
    <t>JLEDDY@KALEIDAHEALTH.ORG</t>
  </si>
  <si>
    <t>LEDDY JOHN</t>
  </si>
  <si>
    <t>STEINWALD, ANN, NP</t>
  </si>
  <si>
    <t>E0043622</t>
  </si>
  <si>
    <t>STEINWALD ANN</t>
  </si>
  <si>
    <t>STEINWALD, ANN STACK, FNP</t>
  </si>
  <si>
    <t>ASTEINWALD@KALEIDAHEALTH.ORG</t>
  </si>
  <si>
    <t>LANG, CAROL, MD</t>
  </si>
  <si>
    <t>E0238570</t>
  </si>
  <si>
    <t>LANG CAROL ANN             MD</t>
  </si>
  <si>
    <t>(716) 877-1790</t>
  </si>
  <si>
    <t>CLANG@KALEIDAHEALTH.ORG</t>
  </si>
  <si>
    <t>LANG CAROL DR.</t>
  </si>
  <si>
    <t>LANG CAROL ANN</t>
  </si>
  <si>
    <t>1057 COLVIN BLVD</t>
  </si>
  <si>
    <t>GAURILOFF-ROTHENBERG, JANE, MD</t>
  </si>
  <si>
    <t>E0008172</t>
  </si>
  <si>
    <t>GAURILOFF-ROTHENBERG JANE BIRGITTA</t>
  </si>
  <si>
    <t>(952) 595-1100</t>
  </si>
  <si>
    <t>JGAURILOFFROTHENBERG@KALEIDAHEALTH.ORG</t>
  </si>
  <si>
    <t>GAURILOFF-ROTHENBERG JANE MRS.</t>
  </si>
  <si>
    <t>60 PROSPECT AVE</t>
  </si>
  <si>
    <t>MIDDLETOWN</t>
  </si>
  <si>
    <t>AKL, MICHEL, MD</t>
  </si>
  <si>
    <t>E0128431</t>
  </si>
  <si>
    <t>AKL MICHEL ELIAS MD</t>
  </si>
  <si>
    <t>(716) 373-7440</t>
  </si>
  <si>
    <t>MAKL@KALEIDAHEALTH.ORG</t>
  </si>
  <si>
    <t>AKL MICHEL</t>
  </si>
  <si>
    <t>2626 W STATE ST STE 5</t>
  </si>
  <si>
    <t>GOLDSTEIN, KENNETH, DPM</t>
  </si>
  <si>
    <t>E0240812</t>
  </si>
  <si>
    <t>GOLDSTEIN KENNETH TODD DPM</t>
  </si>
  <si>
    <t>KGOLDSTEIN@KALEIDAHEALTH.ORG</t>
  </si>
  <si>
    <t>GOLDSTEIN KENNETH</t>
  </si>
  <si>
    <t>1220 MAIN ST</t>
  </si>
  <si>
    <t>PANKEWYCZ, OLEH, MD</t>
  </si>
  <si>
    <t>E0080850</t>
  </si>
  <si>
    <t>PANKEWYCZ OLEH G MD</t>
  </si>
  <si>
    <t>OPANKEWYCZ@KALEIDAHEALTH.ORG</t>
  </si>
  <si>
    <t>PANKEWYCZ OLEH</t>
  </si>
  <si>
    <t>PANKEWYCZ OLEH GEORGE</t>
  </si>
  <si>
    <t>PERSAUD, ANDRE, MD</t>
  </si>
  <si>
    <t>E0213220</t>
  </si>
  <si>
    <t>PERSAUD ANDRE A</t>
  </si>
  <si>
    <t>PERSAUD ANDRE</t>
  </si>
  <si>
    <t>(716) 366-4210</t>
  </si>
  <si>
    <t>306 CENTRAL AVE</t>
  </si>
  <si>
    <t>SADLER, LAURIE, MD</t>
  </si>
  <si>
    <t>E0183522</t>
  </si>
  <si>
    <t>SADLER LAURIE MD</t>
  </si>
  <si>
    <t>SADLER , LAURIE    , MD</t>
  </si>
  <si>
    <t>LSADLER@UPA.CHOB.EDU</t>
  </si>
  <si>
    <t>SADLER LAURIE</t>
  </si>
  <si>
    <t>FROSOLONE, ENRICO, PT</t>
  </si>
  <si>
    <t>E0027542</t>
  </si>
  <si>
    <t>FROSOLONE ENRICO</t>
  </si>
  <si>
    <t>(716) 284-4474</t>
  </si>
  <si>
    <t>2312 PINE AVENUE</t>
  </si>
  <si>
    <t>NIAGARA FALL</t>
  </si>
  <si>
    <t>MACIEJEWSKI, JULIANE, MD</t>
  </si>
  <si>
    <t>E0034027</t>
  </si>
  <si>
    <t>THURLOW JULIANE M MD</t>
  </si>
  <si>
    <t>JULIANE MACIEJEWSKI, , PNP/FNP</t>
  </si>
  <si>
    <t>MACIEJEWSKI JULIANE DR.</t>
  </si>
  <si>
    <t>MACIEJEWSKI JULIANE MARIE</t>
  </si>
  <si>
    <t>MCCORMACK, ROBERT, MD</t>
  </si>
  <si>
    <t>E0145602</t>
  </si>
  <si>
    <t>MCCORMACK ROBERT F MD</t>
  </si>
  <si>
    <t>RMCCORMACK@KALEIDAHEALTH.ORG</t>
  </si>
  <si>
    <t>MCCORMACK ROBERT</t>
  </si>
  <si>
    <t>MERCY COMM HSP</t>
  </si>
  <si>
    <t>THOMAS, TODD, PAC</t>
  </si>
  <si>
    <t>E0001740</t>
  </si>
  <si>
    <t>THOMAS TODD A RPA</t>
  </si>
  <si>
    <t>THOMAS, TODD, PA</t>
  </si>
  <si>
    <t>(716) 532-8900</t>
  </si>
  <si>
    <t>TTHOMAS2@KALEIDAHEALTH.ORG</t>
  </si>
  <si>
    <t>THOMAS TODD MR.</t>
  </si>
  <si>
    <t>THOMAS TODD ANDREW RPA</t>
  </si>
  <si>
    <t>WALBORN, DAVID, MD</t>
  </si>
  <si>
    <t>E0174115</t>
  </si>
  <si>
    <t>WALBORN DAVID M MD</t>
  </si>
  <si>
    <t>(716) 873-4406</t>
  </si>
  <si>
    <t>DWALBORN@KALEIDAHEALTH.ORG</t>
  </si>
  <si>
    <t>WALBORN DAVID</t>
  </si>
  <si>
    <t>WALBORN DAVID MICHAEL</t>
  </si>
  <si>
    <t>MINEO, MICHAEL, MD</t>
  </si>
  <si>
    <t>E0014188</t>
  </si>
  <si>
    <t>MINEO MICHAEL J MD</t>
  </si>
  <si>
    <t>MMINEO@KALEIDAHEALTH.ORG</t>
  </si>
  <si>
    <t>MINEO MICHAEL</t>
  </si>
  <si>
    <t>ODD FELLOW AND REBEKAH REHABILITATION AND HEALTH CARE CENTER</t>
  </si>
  <si>
    <t>E0263559</t>
  </si>
  <si>
    <t>ODD FELLOW &amp; REBEKAH RHCC</t>
  </si>
  <si>
    <t>EUGENE URBAN</t>
  </si>
  <si>
    <t>(716) 434-6324</t>
  </si>
  <si>
    <t>COLLEEN@HCCADVISORS.COM</t>
  </si>
  <si>
    <t>104 OLD NIAGARA RD</t>
  </si>
  <si>
    <t>SORRENTINO, PATRICIA, MSNPN</t>
  </si>
  <si>
    <t>E0065613</t>
  </si>
  <si>
    <t>SORRENTINO PATRICIA M</t>
  </si>
  <si>
    <t>SORRENTINO, PATRICIA, PNP</t>
  </si>
  <si>
    <t>(716) 674-8097</t>
  </si>
  <si>
    <t>PSORRENTINO@KALEIDAHEALTH.ORG</t>
  </si>
  <si>
    <t>SORRENTINO PATRICIA MRS.</t>
  </si>
  <si>
    <t>UTECH, KIM,</t>
  </si>
  <si>
    <t>E0375595</t>
  </si>
  <si>
    <t>UTECH KIM MICHELLE</t>
  </si>
  <si>
    <t>UTECH, KIM, FNP</t>
  </si>
  <si>
    <t>KUTECH@KALEIDAHEALTH.ORG</t>
  </si>
  <si>
    <t>UTECH KIM</t>
  </si>
  <si>
    <t>Main Buffalo Pediatrics</t>
  </si>
  <si>
    <t>E0015811</t>
  </si>
  <si>
    <t>MAIN BUFFALO PEDIATRICS LLP</t>
  </si>
  <si>
    <t>Emily Friqan</t>
  </si>
  <si>
    <t>EASTERN NIAGARA RADIOLOGY &amp; NUCLEAR MEDICINE ASSOCIATES, PC</t>
  </si>
  <si>
    <t>E0121322</t>
  </si>
  <si>
    <t>EASTERN NIAGARA RADIOLOGY</t>
  </si>
  <si>
    <t>EASTERN NIAGARA RADIOLOGY ASSOCIATE</t>
  </si>
  <si>
    <t>(716) 855-2866</t>
  </si>
  <si>
    <t>GOETZ, DANIELLE, MD</t>
  </si>
  <si>
    <t>E0024108</t>
  </si>
  <si>
    <t>DORSANEO DANIELLE MARIE  MD</t>
  </si>
  <si>
    <t>GOETZ , DANIELLE, MD</t>
  </si>
  <si>
    <t>(716) 878-7524</t>
  </si>
  <si>
    <t>DGOETZ@UPA.CHOB.EDU</t>
  </si>
  <si>
    <t>GOETZ DANIELLE</t>
  </si>
  <si>
    <t>GOETZ DANIELLE MARIE</t>
  </si>
  <si>
    <t>JAFFRI, SYED, MDMRC</t>
  </si>
  <si>
    <t>E0238325</t>
  </si>
  <si>
    <t>JAFFRI SYED S U PC         MD</t>
  </si>
  <si>
    <t>JAFFRI, SYED, MD</t>
  </si>
  <si>
    <t>(716) 691-0639</t>
  </si>
  <si>
    <t>SJAFFRI@KALEIDAHEALTH.ORG</t>
  </si>
  <si>
    <t>JAFFRI SYED</t>
  </si>
  <si>
    <t>OSBORNE, THOMAS, MD</t>
  </si>
  <si>
    <t>E0315000</t>
  </si>
  <si>
    <t>OSBORNE THOMAS</t>
  </si>
  <si>
    <t>TOSBORNE@KALEIDAHEALTH.ORG</t>
  </si>
  <si>
    <t>OSBORNE THOMAS DR.</t>
  </si>
  <si>
    <t>15 MAPLE AVE</t>
  </si>
  <si>
    <t>WARWICK</t>
  </si>
  <si>
    <t>FLASCHNER, STEVEN, MD</t>
  </si>
  <si>
    <t>E0156026</t>
  </si>
  <si>
    <t>FLASCHNER STEVEN  MD</t>
  </si>
  <si>
    <t>(716) 433-3600</t>
  </si>
  <si>
    <t>SFLASCHNER@KALEIDAHEALTH.ORG</t>
  </si>
  <si>
    <t>FLASCHNER STEVEN</t>
  </si>
  <si>
    <t>60 PROFESSIONAL PKWY</t>
  </si>
  <si>
    <t>SIMONS, REBECCA, MD</t>
  </si>
  <si>
    <t>E0000569</t>
  </si>
  <si>
    <t>SIMONS REBECCA</t>
  </si>
  <si>
    <t>SIMONS REBECCA DR.</t>
  </si>
  <si>
    <t>34 BENWOOD AVE</t>
  </si>
  <si>
    <t>HOEBEL, ROBIN, MD</t>
  </si>
  <si>
    <t>E0152725</t>
  </si>
  <si>
    <t>HOEBEL ROBIN SUE MD</t>
  </si>
  <si>
    <t>RHOEBEL@KALEIDAHEALTH.ORG</t>
  </si>
  <si>
    <t>HOEBEL ROBIN</t>
  </si>
  <si>
    <t>E0035531</t>
  </si>
  <si>
    <t>CHILD AND FAMILY SERVICES MH</t>
  </si>
  <si>
    <t>BAEZ, MARITZA, MD</t>
  </si>
  <si>
    <t>E0009043</t>
  </si>
  <si>
    <t>BAEZ MARITZA</t>
  </si>
  <si>
    <t>BAEZ MARITZA YVETTE</t>
  </si>
  <si>
    <t>REEDY, MELISSA, NP</t>
  </si>
  <si>
    <t>E0057088</t>
  </si>
  <si>
    <t>REEDY MELISSA A</t>
  </si>
  <si>
    <t>REEDY, MELISSA, FNP</t>
  </si>
  <si>
    <t>(716) 828-3736</t>
  </si>
  <si>
    <t>MREEDY@KALEIDAHEALTH.ORG</t>
  </si>
  <si>
    <t>REEDY MELISSA</t>
  </si>
  <si>
    <t>REEDY MELISSA ANN</t>
  </si>
  <si>
    <t>515 ABBOTT RD STE 101</t>
  </si>
  <si>
    <t>COMERFORD, EMILY, WHNP</t>
  </si>
  <si>
    <t>E0299736</t>
  </si>
  <si>
    <t>COMERFORD EMILY ANNE</t>
  </si>
  <si>
    <t>COMERFORD, EMILY, CNM</t>
  </si>
  <si>
    <t>ECOMERFORD@KALEIDAHEALTH.ORG</t>
  </si>
  <si>
    <t>ROSSITER EMILY MRS.</t>
  </si>
  <si>
    <t>ROSSITER EMILY ANNE</t>
  </si>
  <si>
    <t>COMELLA HIGGINS, JULIE, NP</t>
  </si>
  <si>
    <t>E0292994</t>
  </si>
  <si>
    <t>COMELLA HIGGINS JULIE</t>
  </si>
  <si>
    <t>COMELLA HIGGINS, JULIE, PNP</t>
  </si>
  <si>
    <t>JHIGGINS2@KALEIDAHEALTH.ORG</t>
  </si>
  <si>
    <t>COMELLA HIGGINS JULIE ANNE NP</t>
  </si>
  <si>
    <t>FU, PHILIP, MD</t>
  </si>
  <si>
    <t>E0336974</t>
  </si>
  <si>
    <t>FU PHILIP DAVID</t>
  </si>
  <si>
    <t>PFU@KALEIDAHEALTH.ORG</t>
  </si>
  <si>
    <t>FU PHILIP</t>
  </si>
  <si>
    <t>6636 MAIN ST STE 1</t>
  </si>
  <si>
    <t>DANFORTH, TERESA, MD</t>
  </si>
  <si>
    <t>E0348743</t>
  </si>
  <si>
    <t>DANFORTH TERESA LOUISE</t>
  </si>
  <si>
    <t>TDANFORTH@KALEIDAHEALTH.ORG</t>
  </si>
  <si>
    <t>DANFORTH TERESA</t>
  </si>
  <si>
    <t>JOHNSON CLARK, KATELYN, DO</t>
  </si>
  <si>
    <t>E0329239</t>
  </si>
  <si>
    <t>JOHNSON-CLARK KATELYN ELIZABETH</t>
  </si>
  <si>
    <t>JOHNSON-CLARK, KATELYN, DO</t>
  </si>
  <si>
    <t>(914) 441-7804</t>
  </si>
  <si>
    <t>KJOHNSONCLARK@KALEIDAHEALTH.ORG</t>
  </si>
  <si>
    <t>JOHNSON CLARK KATELYN DR.</t>
  </si>
  <si>
    <t>BREUER, RYAN,</t>
  </si>
  <si>
    <t>E0383515</t>
  </si>
  <si>
    <t>BREUER RYAN</t>
  </si>
  <si>
    <t>BREUER,  RYAN, MD</t>
  </si>
  <si>
    <t>(818) 364-3233</t>
  </si>
  <si>
    <t>RBREUER@UPA.CHOB.EDU</t>
  </si>
  <si>
    <t>BREUER RYAN DR.</t>
  </si>
  <si>
    <t>BREUER RYAN KENNETH</t>
  </si>
  <si>
    <t>4800 BEAR ROAD OPERATING COMPANY LLC</t>
  </si>
  <si>
    <t>E0372380</t>
  </si>
  <si>
    <t>4800 BEAR ROAD OPERATING CO LLC</t>
  </si>
  <si>
    <t>KRISTIN RUSSELL</t>
  </si>
  <si>
    <t>KRUSSELL@ELDERWOOD.COM</t>
  </si>
  <si>
    <t>4800 BEAR RD</t>
  </si>
  <si>
    <t>LIVERPOOL</t>
  </si>
  <si>
    <t>TALBERT, ADRIENNE, LMSW</t>
  </si>
  <si>
    <t>E0408904</t>
  </si>
  <si>
    <t>TALBERT ADRIENNE M</t>
  </si>
  <si>
    <t>KUSH ADRIENNE</t>
  </si>
  <si>
    <t>DOYLE, STEPHANIE, LMSW</t>
  </si>
  <si>
    <t>DOYLE, STEPHANIE PARKER, LMSW</t>
  </si>
  <si>
    <t>SDOYLE@CATSWNY.ORG</t>
  </si>
  <si>
    <t>DOYLE STEPHANIE</t>
  </si>
  <si>
    <t>CELLINI, DOMINIQUE,</t>
  </si>
  <si>
    <t>CELLINI,  DOMINIQUE, COUNSELOR III</t>
  </si>
  <si>
    <t>CELLINI DOMINIQUE MS.</t>
  </si>
  <si>
    <t>SAVO, ANTHONY, MD</t>
  </si>
  <si>
    <t>E0343694</t>
  </si>
  <si>
    <t>SAVO ANTHONY MICHAEL</t>
  </si>
  <si>
    <t>(203) 631-4175</t>
  </si>
  <si>
    <t>ASAVO@KALEIDAHEALTH.ORG</t>
  </si>
  <si>
    <t>SAVO ANTHONY DR.</t>
  </si>
  <si>
    <t>95 GRASSLANDS RD</t>
  </si>
  <si>
    <t>VALHALLA</t>
  </si>
  <si>
    <t>SOOD, PRERNA, MD</t>
  </si>
  <si>
    <t>E0339414</t>
  </si>
  <si>
    <t>SOOD PRERNA</t>
  </si>
  <si>
    <t>SOOD PRERNA DR.</t>
  </si>
  <si>
    <t>STOCUM, EILEEN, PA</t>
  </si>
  <si>
    <t>E0322650</t>
  </si>
  <si>
    <t>EILEEN T STOCUM</t>
  </si>
  <si>
    <t>HODGES, EILEEN, PA</t>
  </si>
  <si>
    <t>ESTOCUM@KALEIDAHEALTH.ORG</t>
  </si>
  <si>
    <t>HODGES EILEEN MRS.</t>
  </si>
  <si>
    <t>HODGES EILEEN T</t>
  </si>
  <si>
    <t>MALLELA, RAJITHA, MBBS</t>
  </si>
  <si>
    <t>E0310886</t>
  </si>
  <si>
    <t>MALLELA RAJITHA</t>
  </si>
  <si>
    <t>MALLELA, RAJITHA, MD</t>
  </si>
  <si>
    <t>(716) 510-0615</t>
  </si>
  <si>
    <t>RMALLELA@KALEIDAHEALTH.ORG</t>
  </si>
  <si>
    <t>MALLELA RAJITHA DR.</t>
  </si>
  <si>
    <t>WELLS, JENNIFER, LCSWR</t>
  </si>
  <si>
    <t>WELLS, JENNIFER, LMSW</t>
  </si>
  <si>
    <t>JENNIFER.WELLS@OMH.NY.GOV</t>
  </si>
  <si>
    <t>WELLS JENNIFER MRS.</t>
  </si>
  <si>
    <t>CERCONE, DAWN, PNP</t>
  </si>
  <si>
    <t>E0379141</t>
  </si>
  <si>
    <t>CERCONE DAWN M</t>
  </si>
  <si>
    <t>(716) 878-7481</t>
  </si>
  <si>
    <t>DCERCONE2@KALEIDAHEALTH.ORG</t>
  </si>
  <si>
    <t>CERCONE DAWN MS.</t>
  </si>
  <si>
    <t>FONTI, LINDA, RN</t>
  </si>
  <si>
    <t>LINDA.FONTI@OMH.NY.GOV</t>
  </si>
  <si>
    <t>FONTI LINDA MS.</t>
  </si>
  <si>
    <t>GOLTZ, HOLLANI,</t>
  </si>
  <si>
    <t>GOLTZ,  HOLLANI, SR COUNSELOR LICENSED</t>
  </si>
  <si>
    <t>GOLTZ HOLLANI</t>
  </si>
  <si>
    <t>PECYNE, MADELYN, PA</t>
  </si>
  <si>
    <t>E0387100</t>
  </si>
  <si>
    <t>PECYNE MADELYN O</t>
  </si>
  <si>
    <t>MPECYNE@KALEIDAHEALTH.ORG</t>
  </si>
  <si>
    <t>PECYNE MADELYN</t>
  </si>
  <si>
    <t>COLE, CASEY,</t>
  </si>
  <si>
    <t>E0383240</t>
  </si>
  <si>
    <t>COLE CASEY</t>
  </si>
  <si>
    <t>COLE, CASEY, ANP</t>
  </si>
  <si>
    <t>(716) 512-0515</t>
  </si>
  <si>
    <t>CCOLE2@KALEIDAHEALTH.ORG</t>
  </si>
  <si>
    <t>COLE CASEY JOHN</t>
  </si>
  <si>
    <t>CATANZARO, DANIELLE,</t>
  </si>
  <si>
    <t>CATANZARO,  DANIELLE, SR COUNSELOR LICENSED</t>
  </si>
  <si>
    <t>CATANZARO DANIELLE</t>
  </si>
  <si>
    <t>ANAND, EDWIN, MD</t>
  </si>
  <si>
    <t>E0006101</t>
  </si>
  <si>
    <t>ANAND EDWIN J</t>
  </si>
  <si>
    <t>ANAND EDWIN DR.</t>
  </si>
  <si>
    <t>ANAND EDWIN J MD</t>
  </si>
  <si>
    <t>MOORE, MOLLY, MD</t>
  </si>
  <si>
    <t>E0356194</t>
  </si>
  <si>
    <t>MOORE MOLLY ELIZABETH</t>
  </si>
  <si>
    <t>(716) 310-2015</t>
  </si>
  <si>
    <t>MMOORE4@KALEIDAHEALTH.ORG</t>
  </si>
  <si>
    <t>MOORE MOLLY DR.</t>
  </si>
  <si>
    <t>KRISHNA, CHANDAN, MD</t>
  </si>
  <si>
    <t>(713) 441-3800</t>
  </si>
  <si>
    <t>CKRISHNA@KALEIDAHEALTH.ORG</t>
  </si>
  <si>
    <t>KRISHNA CHANDAN DR.</t>
  </si>
  <si>
    <t>6560 FANNIN ST, SUITE 944</t>
  </si>
  <si>
    <t>DARLAK, TERRY,</t>
  </si>
  <si>
    <t>E0057206</t>
  </si>
  <si>
    <t>DARLAK TERRY F</t>
  </si>
  <si>
    <t>DARLAK, TERRY, ANP</t>
  </si>
  <si>
    <t>(585) 937-4176</t>
  </si>
  <si>
    <t>TDARLAK@KALEIDAHEALTH.ORG</t>
  </si>
  <si>
    <t>DARLAK TERRY</t>
  </si>
  <si>
    <t>DARLAK TERRY FORSYTH</t>
  </si>
  <si>
    <t>BENDER, CASSANDRA, RPAC</t>
  </si>
  <si>
    <t>ALLEN, CASSANDRA, PA</t>
  </si>
  <si>
    <t>CALLEN2@KALEIDAHEALTH.ORG</t>
  </si>
  <si>
    <t>BENDER CASSANDRA</t>
  </si>
  <si>
    <t>DILORETO, ASHLEY,</t>
  </si>
  <si>
    <t>DILORETO,  ASHLEY, SUPERVISING SENIOR COUNSELOR</t>
  </si>
  <si>
    <t>BROOKS ASHLEY</t>
  </si>
  <si>
    <t>DANNA, SARAH,</t>
  </si>
  <si>
    <t>DANNA,  SARAH , SR COUNSELOR LICENSED</t>
  </si>
  <si>
    <t>DANNA SARAH</t>
  </si>
  <si>
    <t>SPETA, KATHLEEN, FNP</t>
  </si>
  <si>
    <t>E0339997</t>
  </si>
  <si>
    <t>SPETA KATHLEEN</t>
  </si>
  <si>
    <t>(716) 677-4159</t>
  </si>
  <si>
    <t>KSPETA@KALEIDAHEALTH.ORG</t>
  </si>
  <si>
    <t>AMERIFALLS LLC</t>
  </si>
  <si>
    <t>E0373022</t>
  </si>
  <si>
    <t>MARY SWARTZ</t>
  </si>
  <si>
    <t>(716) 282-1207</t>
  </si>
  <si>
    <t>MARYS@ABSOLUTCARE.COM</t>
  </si>
  <si>
    <t>NIAGARA REHAB AND NURSING CENTER</t>
  </si>
  <si>
    <t>KAKISH, KHALID, MD</t>
  </si>
  <si>
    <t>E0374236</t>
  </si>
  <si>
    <t>KAKISH KHALID SALEM</t>
  </si>
  <si>
    <t>KKAKISH@KALEIDAHEALTH.ORG</t>
  </si>
  <si>
    <t>KAKISH KHALID DR.</t>
  </si>
  <si>
    <t>FREITAS, MICHAEL, MD</t>
  </si>
  <si>
    <t>E0383084</t>
  </si>
  <si>
    <t>FREITAS MICHAEL</t>
  </si>
  <si>
    <t>(716) 408-2121</t>
  </si>
  <si>
    <t>MFREITAS2@KALEIDAHEALTH.ORG</t>
  </si>
  <si>
    <t>FREITAS MICHAEL DR.</t>
  </si>
  <si>
    <t>FREITAS MICHAEL STEPHEN</t>
  </si>
  <si>
    <t>W AMHERST</t>
  </si>
  <si>
    <t>WOJCIK, BRIAN, LCSW</t>
  </si>
  <si>
    <t>E0395107</t>
  </si>
  <si>
    <t>WOJCIK BRIAN JOSEPH</t>
  </si>
  <si>
    <t>WOJCIK, BRIAN, LCSW/LMSW</t>
  </si>
  <si>
    <t>WOJCIK BRIAN</t>
  </si>
  <si>
    <t>THOMAS, RICHARD, MD</t>
  </si>
  <si>
    <t>E0122818</t>
  </si>
  <si>
    <t>THOMAS RICHARD D MD</t>
  </si>
  <si>
    <t>RTHOMAS@KALEIDAHEALTH.ORG</t>
  </si>
  <si>
    <t>THOMAS RICHARD</t>
  </si>
  <si>
    <t>NEU, JEFFERY, MD</t>
  </si>
  <si>
    <t>E0176594</t>
  </si>
  <si>
    <t>NEU JEFFREY R  MD</t>
  </si>
  <si>
    <t>NEU, JEFFREY, MD</t>
  </si>
  <si>
    <t>JNEU@KALEIDAHEALTH.ORG</t>
  </si>
  <si>
    <t>NEU JEFFERY</t>
  </si>
  <si>
    <t>BERNSTEIN, JOEL, MD</t>
  </si>
  <si>
    <t>E0237252</t>
  </si>
  <si>
    <t>BERNSTEIN JOEL M           MD</t>
  </si>
  <si>
    <t>(716) 636-7613</t>
  </si>
  <si>
    <t>JBERNSTEIN@KALEIDAHEALTH.ORG</t>
  </si>
  <si>
    <t>BERNSTEIN JOEL MR.</t>
  </si>
  <si>
    <t>BERGER, ROSEANNE, MD</t>
  </si>
  <si>
    <t>E0220710</t>
  </si>
  <si>
    <t>BERGER ROSEANNE            MD</t>
  </si>
  <si>
    <t>RBERGER@KALEIDAHEALTH.ORG</t>
  </si>
  <si>
    <t>BERGER ROSEANNE</t>
  </si>
  <si>
    <t>BERGER ROSEANNE CARYN MD</t>
  </si>
  <si>
    <t>OAKWOOD HEALTH CARE CENTER, INC.</t>
  </si>
  <si>
    <t>E0389006</t>
  </si>
  <si>
    <t>200 BASSETT ROAD OPERATING COMPANY</t>
  </si>
  <si>
    <t>RICH MCCUNE</t>
  </si>
  <si>
    <t>(716) 689-6681</t>
  </si>
  <si>
    <t>RMCCUNE@ELDERWOOD.COM</t>
  </si>
  <si>
    <t>200 BASSETT ROAD OPERATING COMPANY LLC</t>
  </si>
  <si>
    <t>200 BASSETT RD</t>
  </si>
  <si>
    <t>GRABIEC, STEVEN, MD</t>
  </si>
  <si>
    <t>E0239210</t>
  </si>
  <si>
    <t>GRABIEC STEVEN VINCENT     MD</t>
  </si>
  <si>
    <t>(716) 298-3541</t>
  </si>
  <si>
    <t>SGRABIEC@KALEIDAHEALTH.ORG</t>
  </si>
  <si>
    <t>GRABIEC STEVEN DR.</t>
  </si>
  <si>
    <t>GRABIEC STEVEN VINCENT</t>
  </si>
  <si>
    <t>6930 WILLIAMS RD STE 3700</t>
  </si>
  <si>
    <t>PANCHAL, NARHARI, MD</t>
  </si>
  <si>
    <t>E0238075</t>
  </si>
  <si>
    <t>PANCHAL NARHARI M          MD</t>
  </si>
  <si>
    <t>(716) 833-7112</t>
  </si>
  <si>
    <t>NPANCHAL2@KALEIDAHEALTH.ORG</t>
  </si>
  <si>
    <t>PANCHAL NARHARI MR.</t>
  </si>
  <si>
    <t>DAGHER, CHRISTIANE, MD</t>
  </si>
  <si>
    <t>E0035301</t>
  </si>
  <si>
    <t>DAGHER CHRISTIANE HARFOUCHE</t>
  </si>
  <si>
    <t>DAGHER CHRISTIANE</t>
  </si>
  <si>
    <t>DAGHER CHRISTIANE HARFOUCHE MD</t>
  </si>
  <si>
    <t>380 HINDS ST</t>
  </si>
  <si>
    <t>SOUTHERN TIER COMMUNITY HEALTH CENTER NETWORK, INC.</t>
  </si>
  <si>
    <t>E0041432</t>
  </si>
  <si>
    <t>SOUTHERN TIER COMMUNITY HLTH</t>
  </si>
  <si>
    <t>GAIL SPEEDY</t>
  </si>
  <si>
    <t>(716) 701-6881</t>
  </si>
  <si>
    <t>GSPEEDY@UPCHEALTH.NET</t>
  </si>
  <si>
    <t>500 MAIN ST</t>
  </si>
  <si>
    <t>LAWRENCE, JAMES, MD</t>
  </si>
  <si>
    <t>E0142769</t>
  </si>
  <si>
    <t>JAMES LAWRENCE MD PC</t>
  </si>
  <si>
    <t>(716) 362-0980</t>
  </si>
  <si>
    <t>JLAWRENCE2@KALEIDAHEALTH.ORG</t>
  </si>
  <si>
    <t>LAWRENCE JAMES DR.</t>
  </si>
  <si>
    <t>UNIV ORTHOPAEDICS</t>
  </si>
  <si>
    <t>CASASSA, DAVID, LCSWR</t>
  </si>
  <si>
    <t>E0103675</t>
  </si>
  <si>
    <t>CASASSA DAVID</t>
  </si>
  <si>
    <t>CASASSA, DAVID, LCSW-R</t>
  </si>
  <si>
    <t>CASASSAD@SHSWNY.ORG</t>
  </si>
  <si>
    <t>LESH, CHARLES, MD</t>
  </si>
  <si>
    <t>E0021840</t>
  </si>
  <si>
    <t>LESH CHARLES J MD</t>
  </si>
  <si>
    <t>CLESH@KALEIDAHEALTH.ORG</t>
  </si>
  <si>
    <t>LESH CHARLES DR.</t>
  </si>
  <si>
    <t>BURGESS, LAURA, MIDWIFE</t>
  </si>
  <si>
    <t>E0078357</t>
  </si>
  <si>
    <t>BURGESS LAURA JEANNE  CNM</t>
  </si>
  <si>
    <t>LAURA JEANNE BURGESS, CNM</t>
  </si>
  <si>
    <t>(585) 368-4006</t>
  </si>
  <si>
    <t>BURGESS LAURA</t>
  </si>
  <si>
    <t>LEVY, ELAD, MD</t>
  </si>
  <si>
    <t>E0043991</t>
  </si>
  <si>
    <t>LEVY ELAD I MD</t>
  </si>
  <si>
    <t>ELEVY@KALEIDAHEALTH.ORG</t>
  </si>
  <si>
    <t>LEVY ELAD DR.</t>
  </si>
  <si>
    <t>100 HIGH ST STE B4</t>
  </si>
  <si>
    <t>THOMAS, DAVID, MD</t>
  </si>
  <si>
    <t>E0192370</t>
  </si>
  <si>
    <t>THOMAS DAVID M MD</t>
  </si>
  <si>
    <t>DTHOMAS2@KALEIDAHEALTH.ORG</t>
  </si>
  <si>
    <t>THOMAS DAVID</t>
  </si>
  <si>
    <t>LOUIS LAZAR FAM M/C</t>
  </si>
  <si>
    <t>KOLLI, VENKATESWARA, MD</t>
  </si>
  <si>
    <t>E0107535</t>
  </si>
  <si>
    <t>VENKATEDWARA RAO KOLLI</t>
  </si>
  <si>
    <t>(716) 278-0873</t>
  </si>
  <si>
    <t>KOLLI VENKATESWARA DR.</t>
  </si>
  <si>
    <t>KOLLI VENKATESWARA RAO</t>
  </si>
  <si>
    <t>VILARDO, MICHAEL, MD</t>
  </si>
  <si>
    <t>E0160014</t>
  </si>
  <si>
    <t>VILARDO MICHAEL L MD</t>
  </si>
  <si>
    <t>(716) 688-0996</t>
  </si>
  <si>
    <t>MVILARDO@KALEIDAHEALTH.ORG</t>
  </si>
  <si>
    <t>VILARDO MICHAEL</t>
  </si>
  <si>
    <t>5851 MAIN ST</t>
  </si>
  <si>
    <t>SUNDQUIST, JANET, MD</t>
  </si>
  <si>
    <t>E0166050</t>
  </si>
  <si>
    <t>SUNDQUIST JANET C  MD</t>
  </si>
  <si>
    <t>JSUNDQUIST@KALEIDAHEALTH.ORG</t>
  </si>
  <si>
    <t>SUNDQUIST JANET</t>
  </si>
  <si>
    <t>YAP, DEDENIA, MD</t>
  </si>
  <si>
    <t>E0227589</t>
  </si>
  <si>
    <t>YAP DEDENIA D              MD</t>
  </si>
  <si>
    <t>YAP DEDENIA DR.</t>
  </si>
  <si>
    <t>(716) 631-3471</t>
  </si>
  <si>
    <t>15 CHAR DEL WAY</t>
  </si>
  <si>
    <t>EBERL, MARGARET, MDMPH</t>
  </si>
  <si>
    <t>E0031266</t>
  </si>
  <si>
    <t>EBERL MARGARET MARY MD</t>
  </si>
  <si>
    <t>EBERL, MARGARET, MD</t>
  </si>
  <si>
    <t>MEBERL@KALEIDAHEALTH.ORG</t>
  </si>
  <si>
    <t>EBERL MARGARET</t>
  </si>
  <si>
    <t>KUVSHINOFF, BORIS, MD</t>
  </si>
  <si>
    <t>E0072356</t>
  </si>
  <si>
    <t>KUVSHINOFF BORIS W MD</t>
  </si>
  <si>
    <t>BKUVSHINOFF@KALEIDAHEALTH.ORG</t>
  </si>
  <si>
    <t>KUVSHINOFF BORIS</t>
  </si>
  <si>
    <t>BLESSIOS, GEORGE, MD</t>
  </si>
  <si>
    <t>E0083843</t>
  </si>
  <si>
    <t>BLESSIOS GEORGE MD</t>
  </si>
  <si>
    <t>GBLESSIOS@KALEIDAHEALTH.ORG</t>
  </si>
  <si>
    <t>BLESSIOS GEORGE</t>
  </si>
  <si>
    <t>550 ORCHARD PARK RD A103</t>
  </si>
  <si>
    <t>BRECHER, MARTIN, MD</t>
  </si>
  <si>
    <t>E0190720</t>
  </si>
  <si>
    <t>BRECHER MARTIN MD</t>
  </si>
  <si>
    <t>MBRECHER@KALEIDAHEALTH.ORG</t>
  </si>
  <si>
    <t>BRECHER MARTIN</t>
  </si>
  <si>
    <t>CHILDRENS HOSPT</t>
  </si>
  <si>
    <t>KNISELY, KATHRYN, PA</t>
  </si>
  <si>
    <t>E0037551</t>
  </si>
  <si>
    <t>PREM KATHRYN M</t>
  </si>
  <si>
    <t>KKNISELY@KALEIDAHEALTH.ORG</t>
  </si>
  <si>
    <t>KNISELY KATHRYN MS.</t>
  </si>
  <si>
    <t>HALABI, SAFWAN, MD</t>
  </si>
  <si>
    <t>E0293823</t>
  </si>
  <si>
    <t>HALABI SAFWAN</t>
  </si>
  <si>
    <t>SHALABI@KALEIDAHEALTH.ORG</t>
  </si>
  <si>
    <t>HALABI SAFWAN SAFAR MD</t>
  </si>
  <si>
    <t>BENEY, CHRISTOPHER, MD</t>
  </si>
  <si>
    <t>E0104971</t>
  </si>
  <si>
    <t>BENEY CHRISTOPHER E M.D.P.C.</t>
  </si>
  <si>
    <t>CHRISTOPHER BENEY</t>
  </si>
  <si>
    <t>BENEY CHRISTOPHER</t>
  </si>
  <si>
    <t>229 EAST AVE</t>
  </si>
  <si>
    <t>ERBE, RICHARD, MD</t>
  </si>
  <si>
    <t>E0183749</t>
  </si>
  <si>
    <t>ERBE RICHARD W MD</t>
  </si>
  <si>
    <t>ERBE , RICHARD     , MD</t>
  </si>
  <si>
    <t>RERBE@UPA.CHOB.EDU</t>
  </si>
  <si>
    <t>ERBE RICHARD</t>
  </si>
  <si>
    <t>VARMA, CHELIKANI, MD</t>
  </si>
  <si>
    <t>E0238133</t>
  </si>
  <si>
    <t>VARMA CHELIKANI P          MD</t>
  </si>
  <si>
    <t>(716) 681-3434</t>
  </si>
  <si>
    <t>CVARMA@KALEIDAHEALTH.ORG</t>
  </si>
  <si>
    <t>VARMA CHELIKANI DR.</t>
  </si>
  <si>
    <t>6240 TRANSIT RD</t>
  </si>
  <si>
    <t>HOLMES, DAVID, MD</t>
  </si>
  <si>
    <t>E0137461</t>
  </si>
  <si>
    <t>HOLMES DAVID MICHAEL MD</t>
  </si>
  <si>
    <t>(716) 831-8612</t>
  </si>
  <si>
    <t>DHOLMES@KALEIDAHEALTH.ORG</t>
  </si>
  <si>
    <t>HOLMES DAVID</t>
  </si>
  <si>
    <t>HOLMES DAVID MICHAEL</t>
  </si>
  <si>
    <t>D DANIELS/B CHAPMAN</t>
  </si>
  <si>
    <t>KANG, MINSOO, MD</t>
  </si>
  <si>
    <t>E0045295</t>
  </si>
  <si>
    <t>KANG MINSOO MD</t>
  </si>
  <si>
    <t>MKANG@KALEIDAHEALTH.ORG</t>
  </si>
  <si>
    <t>KANG MINSOO DR.</t>
  </si>
  <si>
    <t>GIANCARLO, ADAM, LMSW</t>
  </si>
  <si>
    <t>GIANCARLOA@SHSWNY.ORG</t>
  </si>
  <si>
    <t>GIANCARLO ADAM</t>
  </si>
  <si>
    <t>BORDONARO, SAMANTHA, MD</t>
  </si>
  <si>
    <t>E0335380</t>
  </si>
  <si>
    <t>BORDONARO SAMANTHA F</t>
  </si>
  <si>
    <t>(203) 240-0342</t>
  </si>
  <si>
    <t>SBORDONARO@KALEIDAHEALTH.ORG</t>
  </si>
  <si>
    <t>BORDONARO SAMANTHA</t>
  </si>
  <si>
    <t>VENTRY, KATHLEEN, NURSEPRAC</t>
  </si>
  <si>
    <t>E0295984</t>
  </si>
  <si>
    <t>VENTRY KATHLEEN SUSAN</t>
  </si>
  <si>
    <t>VENTRY KATHLEEN</t>
  </si>
  <si>
    <t>6934 WILLIAMS RD STE 300</t>
  </si>
  <si>
    <t>DEVGUN, RAVINDER, DO</t>
  </si>
  <si>
    <t>E0376169</t>
  </si>
  <si>
    <t>DEVGUN RAVINDER KAUR</t>
  </si>
  <si>
    <t>RDEVGUN@KALEIDAHEALTH.ORG</t>
  </si>
  <si>
    <t>DEVGUN RAVINDER</t>
  </si>
  <si>
    <t>MIKOWSKI, ANNEMARIE, DO</t>
  </si>
  <si>
    <t>E0338424</t>
  </si>
  <si>
    <t>MIKOWSKI ANNEMARIE LOUISE</t>
  </si>
  <si>
    <t>(716) 898-4221</t>
  </si>
  <si>
    <t>AMIKOWSKI@KALEIDAHEALTH.ORG</t>
  </si>
  <si>
    <t>MIKOWSKI ANNEMARIE</t>
  </si>
  <si>
    <t>MATHEW, TOM, MD</t>
  </si>
  <si>
    <t>E0287945</t>
  </si>
  <si>
    <t>MATHEW TOM</t>
  </si>
  <si>
    <t>TMATHEW@KALEIDAHEALTH.ORG</t>
  </si>
  <si>
    <t>MATHEW TOM MD</t>
  </si>
  <si>
    <t>845 ROUTES 5 AND 20</t>
  </si>
  <si>
    <t>ROTH, LINDSEY, CRNA</t>
  </si>
  <si>
    <t>LKOROTASH@KALEIDAHEALTH.ORG</t>
  </si>
  <si>
    <t>ROTH LINDSEY</t>
  </si>
  <si>
    <t>GESCHWENDER, KRYSTINA,</t>
  </si>
  <si>
    <t>GESCHWENDER,  KRYSTINA, SR COUN QHP - H</t>
  </si>
  <si>
    <t>GESCHWENDER KRYSTINA</t>
  </si>
  <si>
    <t>LEWIS, STEPHANIE, LMSW</t>
  </si>
  <si>
    <t>E0447193</t>
  </si>
  <si>
    <t>KEATING STEPHANIE CLAIRE</t>
  </si>
  <si>
    <t>(716) 335-7380</t>
  </si>
  <si>
    <t>SLEWIS@CFSBNY.ORG</t>
  </si>
  <si>
    <t>KEATING STEPHANIE MRS.</t>
  </si>
  <si>
    <t>BENNETT, BRITTANY,</t>
  </si>
  <si>
    <t>BENNETT,  BRITTANY, COUNSELOR III</t>
  </si>
  <si>
    <t>BENNETT BRITTANY</t>
  </si>
  <si>
    <t>STARK, CHRISTA,</t>
  </si>
  <si>
    <t>STARK, CHRISTA, RN - HV</t>
  </si>
  <si>
    <t>STARK CHRISTA</t>
  </si>
  <si>
    <t>O NEILL, ELIZABETH, MD</t>
  </si>
  <si>
    <t>E0152166</t>
  </si>
  <si>
    <t>O'NEILL ELIZABETH ANN MD</t>
  </si>
  <si>
    <t>O'NEILL, ELIZABETH, MD</t>
  </si>
  <si>
    <t>(716) 837-4089</t>
  </si>
  <si>
    <t>EO'NEILL@KALEIDAHEALTH.ORG</t>
  </si>
  <si>
    <t>O NEILL ELIZABETH DR.</t>
  </si>
  <si>
    <t>899 MAIN STREET</t>
  </si>
  <si>
    <t>JACOBS, LAURIE, PA</t>
  </si>
  <si>
    <t>E0065638</t>
  </si>
  <si>
    <t>JACOBS LAURIE A RPA</t>
  </si>
  <si>
    <t>JACOBS, LAURIEANN, PA-C</t>
  </si>
  <si>
    <t>LJACOBS@KALEIDAHEALTH.ORG</t>
  </si>
  <si>
    <t>JACOBS LAURIE</t>
  </si>
  <si>
    <t>TALHOUK, AKRAM, MD</t>
  </si>
  <si>
    <t>E0146941</t>
  </si>
  <si>
    <t>TALHOUK AKRAM S MD</t>
  </si>
  <si>
    <t>ATALHOUK@KALEIDAHEALTH.ORG</t>
  </si>
  <si>
    <t>TALHOUK AKRAM DR.</t>
  </si>
  <si>
    <t>300 COMMUNITY DR</t>
  </si>
  <si>
    <t>MANHASSET</t>
  </si>
  <si>
    <t>WOPPERER, PAUL, MD</t>
  </si>
  <si>
    <t>E0182894</t>
  </si>
  <si>
    <t>WOPPERER PAUL MD</t>
  </si>
  <si>
    <t>(716) 688-4473</t>
  </si>
  <si>
    <t>PWOPPERER3@KALEIDAHEALTH.ORG</t>
  </si>
  <si>
    <t>WOPPERER PAUL DR.</t>
  </si>
  <si>
    <t>FAYE FULLER</t>
  </si>
  <si>
    <t>KEETON, DONNA, NP</t>
  </si>
  <si>
    <t>E0065635</t>
  </si>
  <si>
    <t>SLAWEK DONNA M</t>
  </si>
  <si>
    <t>KEETON, DONNA, WNP</t>
  </si>
  <si>
    <t>DKEETON@KALEIDAHEALTH.ORG</t>
  </si>
  <si>
    <t>KEETON DONNA</t>
  </si>
  <si>
    <t>KEETON DONNA M</t>
  </si>
  <si>
    <t>SIMMONS, EDWARD, MD</t>
  </si>
  <si>
    <t>E0186894</t>
  </si>
  <si>
    <t>SIMMONS EDWARD DONALD MD</t>
  </si>
  <si>
    <t>(716) 882-0035</t>
  </si>
  <si>
    <t>ESIMMONS@KALEIDAHEALTH.ORG</t>
  </si>
  <si>
    <t>SIMMONS EDWARD DR.</t>
  </si>
  <si>
    <t>STUBE, KEITH,</t>
  </si>
  <si>
    <t>E0131090</t>
  </si>
  <si>
    <t>STUBE KEITH CHARLES MD</t>
  </si>
  <si>
    <t>STUBE, KEITH, MD</t>
  </si>
  <si>
    <t>(719) 839-5858</t>
  </si>
  <si>
    <t>KSTUBE@KALEIDAHEALTH.ORG</t>
  </si>
  <si>
    <t>STUBE KEITH</t>
  </si>
  <si>
    <t>NILES, CHARLES, MD</t>
  </si>
  <si>
    <t>E0197717</t>
  </si>
  <si>
    <t>NILES CHARLES ROSS         MD</t>
  </si>
  <si>
    <t>(716) 632-3545</t>
  </si>
  <si>
    <t>CNILES@KALEIDAHEALTH.ORG</t>
  </si>
  <si>
    <t>NILES CHARLES</t>
  </si>
  <si>
    <t>LUTNICK ROBERT</t>
  </si>
  <si>
    <t>E0186764</t>
  </si>
  <si>
    <t>LUTNICK ROBERT EDWARD  MD</t>
  </si>
  <si>
    <t>MATTIMORE, COLLEEN, MD</t>
  </si>
  <si>
    <t>E0144010</t>
  </si>
  <si>
    <t>MATTIMORE COLLEEN ANNE MD</t>
  </si>
  <si>
    <t>CMATTIMORE@KALEIDAHEALTH.ORG</t>
  </si>
  <si>
    <t>MATTIMORE COLLEEN DR.</t>
  </si>
  <si>
    <t>WNY PED ASC</t>
  </si>
  <si>
    <t>FERRICK, MICHAEL, MD</t>
  </si>
  <si>
    <t>E0077415</t>
  </si>
  <si>
    <t>FERRICK MICHAEL R MD</t>
  </si>
  <si>
    <t>MFERRICK@KALEIDAHEALTH.ORG</t>
  </si>
  <si>
    <t>FERRICK MICHAEL</t>
  </si>
  <si>
    <t>UNIVERSITY ORTHOPEDI</t>
  </si>
  <si>
    <t>JGB HEALTH FACILITIES CORPORATION</t>
  </si>
  <si>
    <t>E0209477</t>
  </si>
  <si>
    <t>HOME FOR AGED BLIND ADHC/AADC</t>
  </si>
  <si>
    <t>TERRESA OLNICK</t>
  </si>
  <si>
    <t>(212) 769-6212</t>
  </si>
  <si>
    <t>OLENICKT@LIGHTHOUSEGUILD.ORG</t>
  </si>
  <si>
    <t>HOME FOR AGED BLIND</t>
  </si>
  <si>
    <t>GUILD CARE YONKERS</t>
  </si>
  <si>
    <t>SADIQ, RIFFAT, MD</t>
  </si>
  <si>
    <t>E0104202</t>
  </si>
  <si>
    <t>SADIQ RIFFAT</t>
  </si>
  <si>
    <t>RSADIQ@KALEIDAHEALTH.ORG</t>
  </si>
  <si>
    <t>FLYNN, JOHN, LCSWR</t>
  </si>
  <si>
    <t>E0103561</t>
  </si>
  <si>
    <t>FLYNN JOHN</t>
  </si>
  <si>
    <t>FLYNN, JOHN, LCSW</t>
  </si>
  <si>
    <t>FLYNN JOHN MR.</t>
  </si>
  <si>
    <t>FLYNN JOHN JOSEPH</t>
  </si>
  <si>
    <t>DONNARUMMA, GLEN, DDS</t>
  </si>
  <si>
    <t>E0178674</t>
  </si>
  <si>
    <t>DONNARUMMA GLEN C DDS</t>
  </si>
  <si>
    <t>GDONNARUMMA@KALEIDAHEALTH.ORG</t>
  </si>
  <si>
    <t>DONNARUMMA GLEN DR.</t>
  </si>
  <si>
    <t>DONNARUMMA GLEN C</t>
  </si>
  <si>
    <t>WALL, ROBBIE, DO</t>
  </si>
  <si>
    <t>E0304277</t>
  </si>
  <si>
    <t>WALL ROBBIE DANIEL</t>
  </si>
  <si>
    <t>RWALL@KALEIDAHEALTH.ORG</t>
  </si>
  <si>
    <t>WALL ROBBIE DR.</t>
  </si>
  <si>
    <t>MILLARD FILLMORE SUBURBAN HOSPITAL</t>
  </si>
  <si>
    <t>NEELY, CHERYL, DO</t>
  </si>
  <si>
    <t>E0015671</t>
  </si>
  <si>
    <t>NEELY CHERYL LYNN DO</t>
  </si>
  <si>
    <t>(727) 641-6250</t>
  </si>
  <si>
    <t>NEELY CHERYL DR.</t>
  </si>
  <si>
    <t>MILELLA, GINA, CRNA</t>
  </si>
  <si>
    <t>GMILELLA@KALEIDAHEALTH.ORG</t>
  </si>
  <si>
    <t>MILELLA GINA</t>
  </si>
  <si>
    <t>CORBELLI, RICHARD, MD</t>
  </si>
  <si>
    <t>E0186714</t>
  </si>
  <si>
    <t>CORBELLI RICHARD J MD</t>
  </si>
  <si>
    <t>RCORBELLI@KALEIDAHEALTH.ORG</t>
  </si>
  <si>
    <t>CORBELLI RICHARD</t>
  </si>
  <si>
    <t>REAGAN, J THOMAS, MD</t>
  </si>
  <si>
    <t>E0250799</t>
  </si>
  <si>
    <t>REAGAN J THOMAS MD</t>
  </si>
  <si>
    <t>REAGAN J THOMAS MR.</t>
  </si>
  <si>
    <t>ELAINE QUICK OF MGR</t>
  </si>
  <si>
    <t>BARLOG, KEVIN, MD</t>
  </si>
  <si>
    <t>E0198061</t>
  </si>
  <si>
    <t>BARLOG KEVIN J             MD</t>
  </si>
  <si>
    <t>KBARLOG@KALEIDAHEALTH.ORG</t>
  </si>
  <si>
    <t>BARLOG KEVIN</t>
  </si>
  <si>
    <t>BARLOG KEVIN JOHN</t>
  </si>
  <si>
    <t>WAGHMARAE, ROMATH,</t>
  </si>
  <si>
    <t>E0190664</t>
  </si>
  <si>
    <t>WAGHMARAE ROMANTH MD</t>
  </si>
  <si>
    <t>WAGHMARAE, ROMANTH, MD</t>
  </si>
  <si>
    <t>RWAGHMARAE@KALEIDAHEALTH.ORG</t>
  </si>
  <si>
    <t>WAGHMARAE ROMATH DR.</t>
  </si>
  <si>
    <t>BASSIG, EDGAR, MD</t>
  </si>
  <si>
    <t>E0144438</t>
  </si>
  <si>
    <t>BASSIG EDGAR B</t>
  </si>
  <si>
    <t>(716) 438-5510</t>
  </si>
  <si>
    <t>EBASSIG@KALEIDAHEALTH.ORG</t>
  </si>
  <si>
    <t>BASSIG EDGAR MR.</t>
  </si>
  <si>
    <t>6000 BROCKTON DR</t>
  </si>
  <si>
    <t>TYO, JOHN, DO</t>
  </si>
  <si>
    <t>E0101237</t>
  </si>
  <si>
    <t>TYO JOHN MARSHALL MD</t>
  </si>
  <si>
    <t>TYO , JOHN       , MD</t>
  </si>
  <si>
    <t>JTYO@UPA.CHOB.EDU</t>
  </si>
  <si>
    <t>TYO JOHN DR.</t>
  </si>
  <si>
    <t>TYO JOHN MARSHALL</t>
  </si>
  <si>
    <t>DOMBROWSKI, JACQUELINE, MD</t>
  </si>
  <si>
    <t>E0082755</t>
  </si>
  <si>
    <t>DOMBROWSKI JACQUELINE MD</t>
  </si>
  <si>
    <t>JDOMBROWSKI@KALEIDAHEALTH.ORG</t>
  </si>
  <si>
    <t>DOMBROWSKI JACQUELINE</t>
  </si>
  <si>
    <t>BALOS, LUCIA, MD</t>
  </si>
  <si>
    <t>E0109669</t>
  </si>
  <si>
    <t>BALOS LUCIA L MD</t>
  </si>
  <si>
    <t>LBALOS@KALEIDAHEALTH.ORG</t>
  </si>
  <si>
    <t>BALOS LUCIA</t>
  </si>
  <si>
    <t>LAHRS, BARBARA,</t>
  </si>
  <si>
    <t>E0047528</t>
  </si>
  <si>
    <t>LAHRS BARBARA A</t>
  </si>
  <si>
    <t>LAHRS, BARBARA, FNP</t>
  </si>
  <si>
    <t>BLAHRS@KALEIDAHEALTH.ORG</t>
  </si>
  <si>
    <t>LAHRS BARBARA</t>
  </si>
  <si>
    <t>LAHRS BARBARA ANNE</t>
  </si>
  <si>
    <t>CRAWLEY, ANITA, PNP</t>
  </si>
  <si>
    <t>E0075646</t>
  </si>
  <si>
    <t>CRAWLEY ANITA M</t>
  </si>
  <si>
    <t>CRAWLEY , ANITA    , NP</t>
  </si>
  <si>
    <t>ACRAWLEY@UPA.CHOB.EDU</t>
  </si>
  <si>
    <t>CRAWLEY ANITA</t>
  </si>
  <si>
    <t>HAAK, JENNIFER, MD</t>
  </si>
  <si>
    <t>E0032019</t>
  </si>
  <si>
    <t>HAAK JENNIFER LYNN MD</t>
  </si>
  <si>
    <t>(716) 828-9655</t>
  </si>
  <si>
    <t>JHAAK@KALEIDAHEALTH.ORG</t>
  </si>
  <si>
    <t>HAAK JENNIFER MS.</t>
  </si>
  <si>
    <t>ECMC-462 GRIDER STREET</t>
  </si>
  <si>
    <t>SALADA, RICHARD, LMHC</t>
  </si>
  <si>
    <t>SALADA,  RICHARD , DIRECTOR OF OUTPATIENT OPERATIONS</t>
  </si>
  <si>
    <t>(716) 833-3708</t>
  </si>
  <si>
    <t>SALADA RICHARD</t>
  </si>
  <si>
    <t>HUGHES, PATRICK, MD</t>
  </si>
  <si>
    <t>E0240662</t>
  </si>
  <si>
    <t>HUGHES PATRICK JOSEPH   MD PC</t>
  </si>
  <si>
    <t>(716) 677-6700</t>
  </si>
  <si>
    <t>PHUGHES2@KALEIDAHEALTH.ORG</t>
  </si>
  <si>
    <t>HUGHES PATRICK</t>
  </si>
  <si>
    <t>160 EAST AVE</t>
  </si>
  <si>
    <t>MATTESON, KRISTIN, DO</t>
  </si>
  <si>
    <t>E0057922</t>
  </si>
  <si>
    <t>MATTESON KRISTIN ANN MD</t>
  </si>
  <si>
    <t>KMATTESON2@KALEIDAHEALTH.ORG</t>
  </si>
  <si>
    <t>MATTESON KRISTIN</t>
  </si>
  <si>
    <t>NEPHROLOGY ASSOCIATE</t>
  </si>
  <si>
    <t>CECERE, WILLIAM, DDSM</t>
  </si>
  <si>
    <t>E0134986</t>
  </si>
  <si>
    <t>CECERE WILLIAM LEWIS III DDS</t>
  </si>
  <si>
    <t>CECERE, WILLIAM, DDS MD</t>
  </si>
  <si>
    <t>(716) 823-1966</t>
  </si>
  <si>
    <t>WCECERE@KALEIDAHEALTH.ORG</t>
  </si>
  <si>
    <t>CECERE WILLIAM DR.</t>
  </si>
  <si>
    <t>SMITH, MARY, ANP</t>
  </si>
  <si>
    <t>E0103145</t>
  </si>
  <si>
    <t>SMITH MARY M</t>
  </si>
  <si>
    <t>SMITH, MARY,</t>
  </si>
  <si>
    <t>(716) 945-0361</t>
  </si>
  <si>
    <t>SMITH MARY</t>
  </si>
  <si>
    <t>SMITH MARY MEIERS</t>
  </si>
  <si>
    <t>4039 ROUTE 219 STE 101</t>
  </si>
  <si>
    <t>SMYERS, KRISTEN, MD</t>
  </si>
  <si>
    <t>E0321601</t>
  </si>
  <si>
    <t>SMYERS KRISTEN L</t>
  </si>
  <si>
    <t>KSMYERS@KALEIDAHEALTH.ORG</t>
  </si>
  <si>
    <t>SMYERS KRISTEN DR.</t>
  </si>
  <si>
    <t>SIDDIQUI, MAJEED, MDFACRR</t>
  </si>
  <si>
    <t>E0293974</t>
  </si>
  <si>
    <t>SIDDIQUI MAJEED</t>
  </si>
  <si>
    <t>(201) 486-5573</t>
  </si>
  <si>
    <t>SIDDIQUI MAJEED DR.</t>
  </si>
  <si>
    <t>7 STETSON RD</t>
  </si>
  <si>
    <t>TUPPER LAKE</t>
  </si>
  <si>
    <t>KISTNER, REBECCA,</t>
  </si>
  <si>
    <t>KISTNER REBECCA MISS</t>
  </si>
  <si>
    <t>CALVERT, ALICIA, FNP</t>
  </si>
  <si>
    <t>E0364952</t>
  </si>
  <si>
    <t>CALVERT ALICIA JEAN</t>
  </si>
  <si>
    <t>ACALVERT@KALEIDAHEALTH.ORG</t>
  </si>
  <si>
    <t>MCROY ALICIA</t>
  </si>
  <si>
    <t>MCROY ALICIA JEAN</t>
  </si>
  <si>
    <t>JENNINGS, RICHARD, MD</t>
  </si>
  <si>
    <t>E0306828</t>
  </si>
  <si>
    <t>JENNINGS RICHARD ALLAN</t>
  </si>
  <si>
    <t>RJENNINGS@KALEIDAHEALTH.ORG</t>
  </si>
  <si>
    <t>JENNINGS RICHARD DR.</t>
  </si>
  <si>
    <t>MAZUR, PAULA, MD</t>
  </si>
  <si>
    <t>E0179778</t>
  </si>
  <si>
    <t>MAZUR PAULA MARIE</t>
  </si>
  <si>
    <t>MAZUR , PAULA     , MD</t>
  </si>
  <si>
    <t>PMAZUR@UPA.CHOB.EDU</t>
  </si>
  <si>
    <t>MAZUR PAULA DR.</t>
  </si>
  <si>
    <t>ASHRAF, MOHAMMAD, MBBS</t>
  </si>
  <si>
    <t>E0207801</t>
  </si>
  <si>
    <t>ASHRAF MOHAMMAD HASHMAT MD</t>
  </si>
  <si>
    <t>ASHRAF, M HASHMAT, MD</t>
  </si>
  <si>
    <t>HASHRAF@KALEIDAHEALTH.ORG</t>
  </si>
  <si>
    <t>ASHRAF MOHAMMAD MR.</t>
  </si>
  <si>
    <t>GOLDING, DOUGLAS, MD</t>
  </si>
  <si>
    <t>E0125305</t>
  </si>
  <si>
    <t>GOLDING DOUGLAS JAMES MD</t>
  </si>
  <si>
    <t>GOLDING DOUGLAS</t>
  </si>
  <si>
    <t>SERVICE MEDICAL PC</t>
  </si>
  <si>
    <t>VILLAGOMEZ, MARGO, NP</t>
  </si>
  <si>
    <t>E0049578</t>
  </si>
  <si>
    <t>VILLAGOMEZ MARGO</t>
  </si>
  <si>
    <t>VILLAGOMEZ, MARGO, PNP</t>
  </si>
  <si>
    <t>(716) 855-1099</t>
  </si>
  <si>
    <t>MVILLAGOMEZ@KALEIDAHEALTH.ORG</t>
  </si>
  <si>
    <t>VILLAGOMEZ MARGO MS.</t>
  </si>
  <si>
    <t>KOWALSKI, PETER, MD</t>
  </si>
  <si>
    <t>E0182986</t>
  </si>
  <si>
    <t>KOWALSKI PETER FREDERICK MD</t>
  </si>
  <si>
    <t>PKOWALSKI2@KALEIDAHEALTH.ORG</t>
  </si>
  <si>
    <t>KOWALSKI PETER</t>
  </si>
  <si>
    <t>541 NIAGARA</t>
  </si>
  <si>
    <t>GERRY HOMES INC</t>
  </si>
  <si>
    <t>E0147959</t>
  </si>
  <si>
    <t>HERITAGE GREEN HCC SNF</t>
  </si>
  <si>
    <t>D SMELZER</t>
  </si>
  <si>
    <t>(716) 985-6812</t>
  </si>
  <si>
    <t>PO BOX 400</t>
  </si>
  <si>
    <t>Greene, Arthur</t>
  </si>
  <si>
    <t>E0222728</t>
  </si>
  <si>
    <t>GREENE ARTHUR S            MD</t>
  </si>
  <si>
    <t>GREENE ARTHUR</t>
  </si>
  <si>
    <t>GREENE ARTHUR S</t>
  </si>
  <si>
    <t>OLEAN GEN HOSP-MAIN</t>
  </si>
  <si>
    <t>NIAGARA GERIATRIC CENTER</t>
  </si>
  <si>
    <t>WATT, STACEY, MD</t>
  </si>
  <si>
    <t>E0036042</t>
  </si>
  <si>
    <t>WATT STACEY ANN MD</t>
  </si>
  <si>
    <t>SWATT@KALEIDAHEALTH.ORG</t>
  </si>
  <si>
    <t>WATT STACEY</t>
  </si>
  <si>
    <t>STOFFMAN, MICHAEL, MD</t>
  </si>
  <si>
    <t>E0020944</t>
  </si>
  <si>
    <t>STOFFMAN MICHAEL MD</t>
  </si>
  <si>
    <t>MSTOFFMAN@KALEIDAHEALTH.ORG</t>
  </si>
  <si>
    <t>STOFFMAN MICHAEL</t>
  </si>
  <si>
    <t>FRAAS, LORIANN, MD</t>
  </si>
  <si>
    <t>E0151942</t>
  </si>
  <si>
    <t>FRAAS BURNS LORIANN MD</t>
  </si>
  <si>
    <t>LFRAAS2@KALEIDAHEALTH.ORG</t>
  </si>
  <si>
    <t>FRAAS LORIANN DR.</t>
  </si>
  <si>
    <t>5144 SHERIDAN DR</t>
  </si>
  <si>
    <t>DUNFORD, DENISE, NP</t>
  </si>
  <si>
    <t>E0057192</t>
  </si>
  <si>
    <t>DUNFORD DENISE M NP</t>
  </si>
  <si>
    <t>DUNFORD, M., FNP</t>
  </si>
  <si>
    <t>(716) 826-4129</t>
  </si>
  <si>
    <t>MDUNFORD@KALEIDAHEALTH.ORG</t>
  </si>
  <si>
    <t>DUNFORD DENISE PROF.</t>
  </si>
  <si>
    <t>HRAB, DAWN, MD</t>
  </si>
  <si>
    <t>E0117286</t>
  </si>
  <si>
    <t>HRAB DAWN PATRICIA MD</t>
  </si>
  <si>
    <t>(716) 741-8403</t>
  </si>
  <si>
    <t>DHRAB@KALEIDAHEALTH.ORG</t>
  </si>
  <si>
    <t>HRAB DAWN</t>
  </si>
  <si>
    <t>LIGNOS, SUZANNE, FNP</t>
  </si>
  <si>
    <t>E0022595</t>
  </si>
  <si>
    <t>LIGNOS SUZANNE NP</t>
  </si>
  <si>
    <t>(716) 649-4549</t>
  </si>
  <si>
    <t>SLIGNOS@KALEIDAHEALTH.ORG</t>
  </si>
  <si>
    <t>LIGNOS SUZANNE MRS.</t>
  </si>
  <si>
    <t>E0199059</t>
  </si>
  <si>
    <t>SCHOFIELD RESIDENCE NON-OCCUP</t>
  </si>
  <si>
    <t>SCHOFIELD ADULT DAY HEALTH CARE PGM</t>
  </si>
  <si>
    <t>190 FULTON ST</t>
  </si>
  <si>
    <t>BUFFALO FEDERATION OF NEIGHBORHOOD CENTERS INC.</t>
  </si>
  <si>
    <t>E0169571</t>
  </si>
  <si>
    <t>BUFFALO FED NEIGHHD CTRS</t>
  </si>
  <si>
    <t>RICARDO HERRERA</t>
  </si>
  <si>
    <t>(716) 856-0363</t>
  </si>
  <si>
    <t>RHERRERA@BFNC.ORG</t>
  </si>
  <si>
    <t>BUFFALO FEDERATION NEIGHBORHD CTR</t>
  </si>
  <si>
    <t>421 MONROE ST</t>
  </si>
  <si>
    <t>TAMBAR, PREM, MD</t>
  </si>
  <si>
    <t>E0222651</t>
  </si>
  <si>
    <t>TAMBAR PREM K MD</t>
  </si>
  <si>
    <t>(716) 282-3310</t>
  </si>
  <si>
    <t>PTAMBAR@KALEIDAHEALTH.ORG</t>
  </si>
  <si>
    <t>TAMBAR PREM DR.</t>
  </si>
  <si>
    <t>151 BUFFALO AVE</t>
  </si>
  <si>
    <t>VNA HOME CARE SERVICES</t>
  </si>
  <si>
    <t>E0006054</t>
  </si>
  <si>
    <t>(716) 630-8293</t>
  </si>
  <si>
    <t>DEE, DEBORAH, PNP</t>
  </si>
  <si>
    <t>E0103615</t>
  </si>
  <si>
    <t>DEE DEBORAH M</t>
  </si>
  <si>
    <t>DDEE@KALEIDAHEALTH.ORG</t>
  </si>
  <si>
    <t>DEE DEBORAH</t>
  </si>
  <si>
    <t>POLINO, CHRISTINA,</t>
  </si>
  <si>
    <t>E0390266</t>
  </si>
  <si>
    <t>POLINO CHRISTINA GAIL</t>
  </si>
  <si>
    <t>POLINO, CHRISTINA, LMSW</t>
  </si>
  <si>
    <t>POLINO CHRISTINA</t>
  </si>
  <si>
    <t>531 FARBER LAKES DR # 201</t>
  </si>
  <si>
    <t>LIGOT, JESUS, MD</t>
  </si>
  <si>
    <t>E0355363</t>
  </si>
  <si>
    <t>LIGOT JESUS SALVADOR JR A</t>
  </si>
  <si>
    <t>LIGOT JESUS DR.</t>
  </si>
  <si>
    <t>400 FOREST AVE BUTLER CLINIC</t>
  </si>
  <si>
    <t>RICHARDS, TARA, PA</t>
  </si>
  <si>
    <t>E0303493</t>
  </si>
  <si>
    <t>TUTWILER TARA LYNN</t>
  </si>
  <si>
    <t>TRICHARDS@KALEIDAHEALTH.ORG</t>
  </si>
  <si>
    <t>RICHARDS TARA</t>
  </si>
  <si>
    <t>RICHARDS TARA LYNN</t>
  </si>
  <si>
    <t>LUHR JOHNSON, MARY, CRNA</t>
  </si>
  <si>
    <t>LUHR-JOHNSON, MARY, CRNA</t>
  </si>
  <si>
    <t>(585) 395-1343</t>
  </si>
  <si>
    <t>MJOHNSON4@KALEIDAHEALTH.ORG</t>
  </si>
  <si>
    <t>LUHR JOHNSON MARY</t>
  </si>
  <si>
    <t>200 OHIO ST</t>
  </si>
  <si>
    <t>BANERJEE, SARA, MD</t>
  </si>
  <si>
    <t>E0348059</t>
  </si>
  <si>
    <t>BANERJEE SARA</t>
  </si>
  <si>
    <t>SBANERJEE@KALEIDAHEALTH.ORG</t>
  </si>
  <si>
    <t>BANERJEE SARA DR.</t>
  </si>
  <si>
    <t>259 1ST ST</t>
  </si>
  <si>
    <t>MINEOLA</t>
  </si>
  <si>
    <t>ARABI, NIDA,</t>
  </si>
  <si>
    <t>E0353647</t>
  </si>
  <si>
    <t>ARABI NIDA</t>
  </si>
  <si>
    <t>ARABI, NIDA, MD</t>
  </si>
  <si>
    <t>NARABI@KALEIDAHEALTH.ORG</t>
  </si>
  <si>
    <t>908 NIAGARA FALLS BLVD STE 208</t>
  </si>
  <si>
    <t>JONES, MICHELE, NP</t>
  </si>
  <si>
    <t>E0283490</t>
  </si>
  <si>
    <t>JONES MICHELE</t>
  </si>
  <si>
    <t>JONES, MICHELE, ANP</t>
  </si>
  <si>
    <t>MJONES3@KALEIDAHEALTH.ORG</t>
  </si>
  <si>
    <t>JONES MICHELE MISS</t>
  </si>
  <si>
    <t>JONES MICHELE DANETTE</t>
  </si>
  <si>
    <t>BRIGGS, CAITLIN, NP</t>
  </si>
  <si>
    <t>E0288909</t>
  </si>
  <si>
    <t>DEPRIEST CAITLIN ELIZABETH</t>
  </si>
  <si>
    <t>BRIGGS, CAITLIN, ANP</t>
  </si>
  <si>
    <t>(716) 284-3278</t>
  </si>
  <si>
    <t>CBRIGGS@KALEIDAHEALTH.ORG</t>
  </si>
  <si>
    <t>BRIGGS CAITLIN MRS.</t>
  </si>
  <si>
    <t>BRIGGS CAITLIN ELIZABETH NP</t>
  </si>
  <si>
    <t>PAGANO, CHRISTINA, RPAC</t>
  </si>
  <si>
    <t>E0017957</t>
  </si>
  <si>
    <t>PAGANO CHRISTINA M RPA</t>
  </si>
  <si>
    <t>PAGANO, CHRISTINA, PA</t>
  </si>
  <si>
    <t>CPAGANO@KALEIDAHEALTH.ORG</t>
  </si>
  <si>
    <t>PAGANO CHRISTINA MRS.</t>
  </si>
  <si>
    <t>PAGANO CHRISTINA M</t>
  </si>
  <si>
    <t>NARBY, GEORGE, MD</t>
  </si>
  <si>
    <t>E0137590</t>
  </si>
  <si>
    <t>NARBY GEORGE MICHAEL MD</t>
  </si>
  <si>
    <t>(716) 689-2012</t>
  </si>
  <si>
    <t>GNARBY@KALEIDAHEALTH.ORG</t>
  </si>
  <si>
    <t>NARBY GEORGE DR.</t>
  </si>
  <si>
    <t>835 HOPKINS RD</t>
  </si>
  <si>
    <t>BELDING, HANK,</t>
  </si>
  <si>
    <t>BELDING,  HENRY, SPECIALIST - JOB TRAINING</t>
  </si>
  <si>
    <t>BELDING HANK</t>
  </si>
  <si>
    <t>GOODRICH, LISA,</t>
  </si>
  <si>
    <t>GOODRICH,  LISA, COUNSELOR III</t>
  </si>
  <si>
    <t>GOODRICH LISA</t>
  </si>
  <si>
    <t>PAINE-HUGHES, LINDA, CFNP</t>
  </si>
  <si>
    <t>E0113432</t>
  </si>
  <si>
    <t>HUGHES LINDA PAINE</t>
  </si>
  <si>
    <t>PAINE-HUGHES, LINDA , NP</t>
  </si>
  <si>
    <t>(585) 344-1263</t>
  </si>
  <si>
    <t>LINDA.PAINEHUGHES@FAMILYCHOICENY.COM</t>
  </si>
  <si>
    <t>PAINE-HUGHES LINDA MS.</t>
  </si>
  <si>
    <t>VIOLA, CAROLYN, NP</t>
  </si>
  <si>
    <t>E0057020</t>
  </si>
  <si>
    <t>VIOLA CAROLYN L</t>
  </si>
  <si>
    <t>VIOLA, CAROLYN, FNP</t>
  </si>
  <si>
    <t>(716) 878-1258</t>
  </si>
  <si>
    <t>CVIOLA@KALEIDAHEALTH.ORG</t>
  </si>
  <si>
    <t>VIOLA CAROLYN</t>
  </si>
  <si>
    <t>EARLY, AMY, MD</t>
  </si>
  <si>
    <t>E0228045</t>
  </si>
  <si>
    <t>EARLY AMY                  MD</t>
  </si>
  <si>
    <t>AEARLY@KALEIDAHEALTH.ORG</t>
  </si>
  <si>
    <t>EARLY AMY</t>
  </si>
  <si>
    <t>EARLY AMY P MD</t>
  </si>
  <si>
    <t>ALDRIDGE, JANERIO, MD</t>
  </si>
  <si>
    <t>E0189840</t>
  </si>
  <si>
    <t>ALDRIDGE JANERIO D MD</t>
  </si>
  <si>
    <t>JALDRIDGE@KALEIDAHEALTH.ORG</t>
  </si>
  <si>
    <t>ALDRIDGE JANERIO MR.</t>
  </si>
  <si>
    <t>SUFRIN, GERALD, MD</t>
  </si>
  <si>
    <t>E0231216</t>
  </si>
  <si>
    <t>SUFRIN GERALD              MD</t>
  </si>
  <si>
    <t>(716) 859-2212</t>
  </si>
  <si>
    <t>GSUFRIN@KALEIDAHEALTH.ORG</t>
  </si>
  <si>
    <t>SUFRIN GERALD</t>
  </si>
  <si>
    <t>PINSKI, JOHN, MD</t>
  </si>
  <si>
    <t>E0151768</t>
  </si>
  <si>
    <t>PINSKI JOHN VALENTINE MD</t>
  </si>
  <si>
    <t>JPINSKI@KALEIDAHEALTH.ORG</t>
  </si>
  <si>
    <t>PINSKI JOHN MR.</t>
  </si>
  <si>
    <t>PINSKI JOHN VALENTINE</t>
  </si>
  <si>
    <t>BISHOP, GERALD, MD</t>
  </si>
  <si>
    <t>E0170994</t>
  </si>
  <si>
    <t>BISHOP GERALD JAY MD</t>
  </si>
  <si>
    <t>BISHOP, GERALD JAY, MD</t>
  </si>
  <si>
    <t>GBISHOP@KALEIDAHEALTH.ORG</t>
  </si>
  <si>
    <t>BISHOP GERALD</t>
  </si>
  <si>
    <t>BISHOP GERALD JAY</t>
  </si>
  <si>
    <t>12 CENTER ST STE 4</t>
  </si>
  <si>
    <t>DR BARBARA MOORE PEDIATRIC DENTISTRY PLLC</t>
  </si>
  <si>
    <t>E0124536</t>
  </si>
  <si>
    <t>KRULL BARBARA MOORE</t>
  </si>
  <si>
    <t>MOORE, BARBARA, DDS</t>
  </si>
  <si>
    <t>(716) 326-3147</t>
  </si>
  <si>
    <t>BMOORE2@KALEIDAHEALTH.ORG</t>
  </si>
  <si>
    <t>RAJENDRAN, KALAISELVI, MD</t>
  </si>
  <si>
    <t>E0184511</t>
  </si>
  <si>
    <t>RAJENDRAN KALAISELVI MD</t>
  </si>
  <si>
    <t>KALAISELVI RAJENDRAN, M.D.</t>
  </si>
  <si>
    <t>(716) 285-7196</t>
  </si>
  <si>
    <t>KALAISELVI.RAJENDRAN@NFMMC.ORG</t>
  </si>
  <si>
    <t>RAJENDRAN KALAISELVI</t>
  </si>
  <si>
    <t>600 PINE AVE</t>
  </si>
  <si>
    <t>SHVARTS, SVETLANA, MS</t>
  </si>
  <si>
    <t>SHAPIRO,  SVETLANA, CLINICAL SYSTEMS SPECIALIST</t>
  </si>
  <si>
    <t>SHVARTS SVETLANA</t>
  </si>
  <si>
    <t>E0153856</t>
  </si>
  <si>
    <t>UCP NIAGARA COUNTY DT</t>
  </si>
  <si>
    <t>OMR DT</t>
  </si>
  <si>
    <t>MURRAY, KENNETH, MD</t>
  </si>
  <si>
    <t>E0192044</t>
  </si>
  <si>
    <t>MURRAY KENNETH ROBERT MD</t>
  </si>
  <si>
    <t>KMURRAY2@KALEIDAHEALTH.ORG</t>
  </si>
  <si>
    <t>MURRAY KENNETH</t>
  </si>
  <si>
    <t>Fells, Daniel</t>
  </si>
  <si>
    <t>E0041287</t>
  </si>
  <si>
    <t>FELLS DANIEL A RPA</t>
  </si>
  <si>
    <t>FELLS DANIEL MR.</t>
  </si>
  <si>
    <t>FELLS DANIEL A</t>
  </si>
  <si>
    <t>MACHADO, SANDRA, MD</t>
  </si>
  <si>
    <t>(302) 651-4000</t>
  </si>
  <si>
    <t>SMACHADO@KALEIDAHEALTH.ORG</t>
  </si>
  <si>
    <t>MACHADO SANDRA MRS.</t>
  </si>
  <si>
    <t>1600 ROCKLAND RD</t>
  </si>
  <si>
    <t>WILMINGTON</t>
  </si>
  <si>
    <t>DE</t>
  </si>
  <si>
    <t>NORTHPOINTE COUNCIL INC</t>
  </si>
  <si>
    <t>E0299500</t>
  </si>
  <si>
    <t>GINA PFOHL</t>
  </si>
  <si>
    <t>(716) 282-1228</t>
  </si>
  <si>
    <t>GPFOHL@NORTHPOINTECOUNCIL.ORG</t>
  </si>
  <si>
    <t>YU, JEFFREY, MDPHD</t>
  </si>
  <si>
    <t>E0340540</t>
  </si>
  <si>
    <t>YU JEFFREY JOHN</t>
  </si>
  <si>
    <t>YU , JEFFREY, MD</t>
  </si>
  <si>
    <t>(716) 874-4348</t>
  </si>
  <si>
    <t>JYU@UPA.CHOB.EDU</t>
  </si>
  <si>
    <t>YU JEFFREY DR.</t>
  </si>
  <si>
    <t>ROBINSON, JAN, NP</t>
  </si>
  <si>
    <t>E0374407</t>
  </si>
  <si>
    <t>ROBINSON JAN LAVON</t>
  </si>
  <si>
    <t>ROBINSON, JAN, PNP</t>
  </si>
  <si>
    <t>JLROBINSON@KALEIDAHEALTH.ORG</t>
  </si>
  <si>
    <t>ROBINSON JAN</t>
  </si>
  <si>
    <t>PENSERO, ALI, CRNA</t>
  </si>
  <si>
    <t>APENSERO@KALEIDAHEALTH.ORG</t>
  </si>
  <si>
    <t>SKOWRON ALI</t>
  </si>
  <si>
    <t>DUSEL, HELEN, DDS</t>
  </si>
  <si>
    <t>E0446866</t>
  </si>
  <si>
    <t>DUSEL HELEN M</t>
  </si>
  <si>
    <t>(716) 525-5010</t>
  </si>
  <si>
    <t>HDUSEL@KALEIDAHEALTH.ORG</t>
  </si>
  <si>
    <t>DUSEL HELEN</t>
  </si>
  <si>
    <t>DUSEL HELEN MARIE</t>
  </si>
  <si>
    <t>NAPIERALA, ROBERT, ANP</t>
  </si>
  <si>
    <t>E0350780</t>
  </si>
  <si>
    <t>NAPIERALA ROBERT F JR</t>
  </si>
  <si>
    <t>RNAPIERALA@KALEIDAHEALTH.ORG</t>
  </si>
  <si>
    <t>NAPIERALA ROBERT</t>
  </si>
  <si>
    <t>CHUDY, ASHLEY, MASTERSOF</t>
  </si>
  <si>
    <t>CHUDY, ASHLEY, MHC-P</t>
  </si>
  <si>
    <t>CHUDYA@SHSWNY.ORG</t>
  </si>
  <si>
    <t>CHUDY ASHLEY</t>
  </si>
  <si>
    <t>1280 MAIN ST, 1ST FLOOR</t>
  </si>
  <si>
    <t>MURE, JOSEPH, MD</t>
  </si>
  <si>
    <t>E0308565</t>
  </si>
  <si>
    <t>JOSEPH V MURE MD</t>
  </si>
  <si>
    <t>JMURE@KALEIDAHEALTH.ORG</t>
  </si>
  <si>
    <t>MURE JOSEPH DR.</t>
  </si>
  <si>
    <t>MURE JOSEPH VINCENT MD</t>
  </si>
  <si>
    <t>2465 SHERIDAN DR</t>
  </si>
  <si>
    <t>MILLARD, KATHRYN, PMHNPBC</t>
  </si>
  <si>
    <t>E0294982</t>
  </si>
  <si>
    <t>MILLARD KATHRYN</t>
  </si>
  <si>
    <t>MILLARD,  KATHRYN, NURSE PRACTITIONER - PSYCH</t>
  </si>
  <si>
    <t>5330 MAIN ST</t>
  </si>
  <si>
    <t>BARTZ, AMANDA,</t>
  </si>
  <si>
    <t>BARTZ, AMANDA, LMSW</t>
  </si>
  <si>
    <t>(716) 895-7617</t>
  </si>
  <si>
    <t>BARTZ AMANDA</t>
  </si>
  <si>
    <t>E0188376</t>
  </si>
  <si>
    <t>UCP NIAGARA 17 ST ICF</t>
  </si>
  <si>
    <t>17 ST ICF</t>
  </si>
  <si>
    <t>KHATOD, ELAINE, MD</t>
  </si>
  <si>
    <t>E0433112</t>
  </si>
  <si>
    <t>KHATOD ELAINE</t>
  </si>
  <si>
    <t>EKHATOD@KALEIDAHEALTH.ORG</t>
  </si>
  <si>
    <t>KHATOD ELAINE DR.</t>
  </si>
  <si>
    <t>1545 ATLANTIC AVE # 3R</t>
  </si>
  <si>
    <t>NYS ARC INC CATTARAUG HCBS 9</t>
  </si>
  <si>
    <t>E0074545</t>
  </si>
  <si>
    <t>1439 BUFFALO ST # VVF1894</t>
  </si>
  <si>
    <t>ASPIRE OF WNY SPV</t>
  </si>
  <si>
    <t>E0074351</t>
  </si>
  <si>
    <t>ASPIRE OF WNY POP</t>
  </si>
  <si>
    <t>CARING ENTERPRISES INC TBI</t>
  </si>
  <si>
    <t>E0059325</t>
  </si>
  <si>
    <t>(716) 855-2273</t>
  </si>
  <si>
    <t>3409 GENESEE ST</t>
  </si>
  <si>
    <t>PEOPLE SERVICE HCBS SPT</t>
  </si>
  <si>
    <t>E0049911</t>
  </si>
  <si>
    <t>PEOPLE SERVICE HCBS ND 11</t>
  </si>
  <si>
    <t>ASPIRE OF WNY HRLY RSP</t>
  </si>
  <si>
    <t>E0040990</t>
  </si>
  <si>
    <t>CATTARAUGUS CO NYSARC RSP</t>
  </si>
  <si>
    <t>E0040986</t>
  </si>
  <si>
    <t>PEOPLE INC RSP</t>
  </si>
  <si>
    <t>E0040948</t>
  </si>
  <si>
    <t>SUBURBAN ADULT SERVICES RSP</t>
  </si>
  <si>
    <t>E0040944</t>
  </si>
  <si>
    <t>960 MAPLE RD</t>
  </si>
  <si>
    <t>UCPA NIAGARA COUNTY INC RSP</t>
  </si>
  <si>
    <t>E0040939</t>
  </si>
  <si>
    <t>ASPIRE OF WNY FR ST FSR 1</t>
  </si>
  <si>
    <t>E0040765</t>
  </si>
  <si>
    <t>FSR 1</t>
  </si>
  <si>
    <t>PEOPLE INC FSR 1</t>
  </si>
  <si>
    <t>E0040692</t>
  </si>
  <si>
    <t># 1</t>
  </si>
  <si>
    <t>FAMILY SERVICE OF THE CHAUTAUQUA REGION INC</t>
  </si>
  <si>
    <t>FAMILY SERVICE, ,</t>
  </si>
  <si>
    <t>FAMILYSERVICE@FSCR.MYGBIZ.COM</t>
  </si>
  <si>
    <t>KIELBASA, JENNIFER, RPAC</t>
  </si>
  <si>
    <t>E0031317</t>
  </si>
  <si>
    <t>KIELBASA JENNIFER M RPA</t>
  </si>
  <si>
    <t>KIELBASA, JENNIFER, PA</t>
  </si>
  <si>
    <t>JKIELBASA@KALEIDAHEALTH.ORG</t>
  </si>
  <si>
    <t>KIELBASA JENNIFER</t>
  </si>
  <si>
    <t>MORELAND, DOUGLAS, MD</t>
  </si>
  <si>
    <t>E0152969</t>
  </si>
  <si>
    <t>MORELAND DOUGLAS B MD PC</t>
  </si>
  <si>
    <t>DMORELAND2@KALEIDAHEALTH.ORG</t>
  </si>
  <si>
    <t>MORELAND DOUGLAS</t>
  </si>
  <si>
    <t>WAFFNER, ERIC, MD</t>
  </si>
  <si>
    <t>E0053932</t>
  </si>
  <si>
    <t>WAFFNER ERIC J MD</t>
  </si>
  <si>
    <t>EWAFFNER@KALEIDAHEALTH.ORG</t>
  </si>
  <si>
    <t>WAFFNER ERIC DR.</t>
  </si>
  <si>
    <t>VERDONIK, FREDERICK, PHD</t>
  </si>
  <si>
    <t>E0065909</t>
  </si>
  <si>
    <t>VERDONIK FREDERICK</t>
  </si>
  <si>
    <t>VERDONIK FREDERICK DR.</t>
  </si>
  <si>
    <t>(716) 664-8611</t>
  </si>
  <si>
    <t>UB FAMILY MEDICINE INC</t>
  </si>
  <si>
    <t>E0126102</t>
  </si>
  <si>
    <t>FAMILY MEDICINE FACULTY ASSOC</t>
  </si>
  <si>
    <t>MEREDITH SNYDER</t>
  </si>
  <si>
    <t>BAUERS, JOHN, MD</t>
  </si>
  <si>
    <t>E0224323</t>
  </si>
  <si>
    <t>BAUERS JOHN C              MD</t>
  </si>
  <si>
    <t>BAUERS JOHN</t>
  </si>
  <si>
    <t>BAUERS JOHN C</t>
  </si>
  <si>
    <t>BAGNALL, DAVID, MD</t>
  </si>
  <si>
    <t>E0119138</t>
  </si>
  <si>
    <t>BAGNALL DAVID L MD</t>
  </si>
  <si>
    <t>(716) 250-6545</t>
  </si>
  <si>
    <t>DBAGNALL@KALEIDAHEALTH.ORG</t>
  </si>
  <si>
    <t>BAGNALL DAVID</t>
  </si>
  <si>
    <t>DAO, TINH, MD</t>
  </si>
  <si>
    <t>E0103033</t>
  </si>
  <si>
    <t>DAO TINH</t>
  </si>
  <si>
    <t>TDAO@KALEIDAHEALTH.ORG</t>
  </si>
  <si>
    <t>DAO TINH DR.</t>
  </si>
  <si>
    <t>DAO TINH TRUNG</t>
  </si>
  <si>
    <t>ROTH, CARL, DO</t>
  </si>
  <si>
    <t>E0142397</t>
  </si>
  <si>
    <t>ROTH CARL DO</t>
  </si>
  <si>
    <t>ROTH, CARL,</t>
  </si>
  <si>
    <t>ROTH CARL DR.</t>
  </si>
  <si>
    <t>CIANCIOLO, THOMAS, DPM</t>
  </si>
  <si>
    <t>E0238849</t>
  </si>
  <si>
    <t>CIANCIOLO THOMAS J DPM     JR</t>
  </si>
  <si>
    <t>(716) 759-6850</t>
  </si>
  <si>
    <t>BUFFALOBEE@AOL.COM</t>
  </si>
  <si>
    <t>CIANCIOLO THOMAS</t>
  </si>
  <si>
    <t>8810 MAIN ST</t>
  </si>
  <si>
    <t>ZENT, CHRISTOPHER, FNP</t>
  </si>
  <si>
    <t>E0030163</t>
  </si>
  <si>
    <t>ZENT CHRISTOPHER JOHN NP</t>
  </si>
  <si>
    <t>CZENT@KALEIDAHEALTH.ORG</t>
  </si>
  <si>
    <t>ZENT CHRISTOPHER</t>
  </si>
  <si>
    <t>ZENT CHRISTOPHER JOHN</t>
  </si>
  <si>
    <t>DEPAUL COMMUNITY SERVICES SCM</t>
  </si>
  <si>
    <t>E0081118</t>
  </si>
  <si>
    <t>DEPAUL COMM SER MH</t>
  </si>
  <si>
    <t>435 E HENRIETTA RD</t>
  </si>
  <si>
    <t>LIU, HONG, MDPHD</t>
  </si>
  <si>
    <t>E0291143</t>
  </si>
  <si>
    <t>LIU HONG MD</t>
  </si>
  <si>
    <t>LIU, HONG, MD</t>
  </si>
  <si>
    <t>HLIU@KALEIDAHEALTH.ORG</t>
  </si>
  <si>
    <t>LIU HONG</t>
  </si>
  <si>
    <t>WEBER, RYAN, DO</t>
  </si>
  <si>
    <t>E0296183</t>
  </si>
  <si>
    <t>WEBER RYAN</t>
  </si>
  <si>
    <t>RWEBER@KALEIDAHEALTH.ORG</t>
  </si>
  <si>
    <t>WEBER RYAN DR.</t>
  </si>
  <si>
    <t>WEBER RYAN WILLIAM</t>
  </si>
  <si>
    <t>CLANCY, KRISTEN, RPAC</t>
  </si>
  <si>
    <t>E0294660</t>
  </si>
  <si>
    <t>CLANCY KRISTIN ANN PA</t>
  </si>
  <si>
    <t>CLANCY, KRISTEN, PA</t>
  </si>
  <si>
    <t>KCLANCY@KALEIDAHEALTH.ORG</t>
  </si>
  <si>
    <t>CLANCY KRISTEN MS.</t>
  </si>
  <si>
    <t>BROMLEY, LACEY, PT</t>
  </si>
  <si>
    <t>E0321939</t>
  </si>
  <si>
    <t>BROMLEY LACEY</t>
  </si>
  <si>
    <t>LBROMLEY@KALEIDAHEALTH.ORG</t>
  </si>
  <si>
    <t>MATIER, BRIAN, MD</t>
  </si>
  <si>
    <t>E0342157</t>
  </si>
  <si>
    <t>MATIER BRIAN</t>
  </si>
  <si>
    <t>BMATIER@KALEIDAHEALTH.ORG</t>
  </si>
  <si>
    <t>MATIER BRIAN DR.</t>
  </si>
  <si>
    <t>BEANG, JOSEPH, RPAC</t>
  </si>
  <si>
    <t>E0004020</t>
  </si>
  <si>
    <t>BEANG JOSEPH MICHAEL RPA</t>
  </si>
  <si>
    <t>BEANG, JOSEPH, PA</t>
  </si>
  <si>
    <t>JBEANG@KALEIDAHEALTH.ORG</t>
  </si>
  <si>
    <t>BEANG JOSEPH</t>
  </si>
  <si>
    <t>GEORGE, SABY, MD</t>
  </si>
  <si>
    <t>E0309030</t>
  </si>
  <si>
    <t>SABY GEORGE</t>
  </si>
  <si>
    <t>(716) 854-2300</t>
  </si>
  <si>
    <t>SGEORGE@KALEIDAHEALTH.ORG</t>
  </si>
  <si>
    <t>GEORGE SABY</t>
  </si>
  <si>
    <t>RIMER, JESSICA, LCSW</t>
  </si>
  <si>
    <t>E0363138</t>
  </si>
  <si>
    <t>RIMER JESSICA LEE</t>
  </si>
  <si>
    <t>(716) 870-2608</t>
  </si>
  <si>
    <t>JRIMER@JFSBUFFALO.ORG</t>
  </si>
  <si>
    <t>RIMER JESSICA MS.</t>
  </si>
  <si>
    <t>LEONARD, TAKESHA, NP</t>
  </si>
  <si>
    <t>E0305665</t>
  </si>
  <si>
    <t>LEONARD TAKESHA</t>
  </si>
  <si>
    <t>TAKESHA LEONARD, , FNP</t>
  </si>
  <si>
    <t>LEONARD TAKESHA MRS.</t>
  </si>
  <si>
    <t>WALCK, JUSTIN,</t>
  </si>
  <si>
    <t>WALCK, JUSTIN, LMSW</t>
  </si>
  <si>
    <t>JUSTIN.WALCK@NIAGARACOUNTY.COM</t>
  </si>
  <si>
    <t>WALCK JUSTIN</t>
  </si>
  <si>
    <t>PETERMAN, ARKADY, MD</t>
  </si>
  <si>
    <t>E0036816</t>
  </si>
  <si>
    <t>PETERMAN ARKADY MD</t>
  </si>
  <si>
    <t>PETERMAN ARKADY</t>
  </si>
  <si>
    <t>OLEAN MED GRP</t>
  </si>
  <si>
    <t>OLIVERIO, ROSEANNE, MD</t>
  </si>
  <si>
    <t>E0134417</t>
  </si>
  <si>
    <t>OLIVERIOS ROSEANNE MD</t>
  </si>
  <si>
    <t>(585) 786-1262</t>
  </si>
  <si>
    <t>ROLIVERIO@KALEIDAHEALTH.ORG</t>
  </si>
  <si>
    <t>OLIVERIO ROSEANNE</t>
  </si>
  <si>
    <t>EMERSON, RONALD, MDFA</t>
  </si>
  <si>
    <t>E0130929</t>
  </si>
  <si>
    <t>EMERSON RONALD P MD</t>
  </si>
  <si>
    <t>EMERSON, RONALD, MD</t>
  </si>
  <si>
    <t>(716) 677-5866</t>
  </si>
  <si>
    <t>REMERSON@KALEIDAHEALTH.ORG</t>
  </si>
  <si>
    <t>EMERSON RONALD DR.</t>
  </si>
  <si>
    <t>960 N 12TH ST</t>
  </si>
  <si>
    <t>MILWAUKEE</t>
  </si>
  <si>
    <t>WI</t>
  </si>
  <si>
    <t>SHASTRI, SUBRAMANYA, MD</t>
  </si>
  <si>
    <t>E0222939</t>
  </si>
  <si>
    <t>SHASTRI SUBRAMANYA R MD</t>
  </si>
  <si>
    <t>(716) 565-3390</t>
  </si>
  <si>
    <t>SSHASTRI@KALEIDAHEALTH.ORG</t>
  </si>
  <si>
    <t>SHASTRI SUBRAMANYA DR.</t>
  </si>
  <si>
    <t>SHASTRI SUBRAMANYA R</t>
  </si>
  <si>
    <t>KANSAL, SARITA, MD</t>
  </si>
  <si>
    <t>E0138050</t>
  </si>
  <si>
    <t>KANSAL SARITA MD</t>
  </si>
  <si>
    <t>(716) 568-1414</t>
  </si>
  <si>
    <t>KANSAL SARITA DR.</t>
  </si>
  <si>
    <t>KANSAL SARITA</t>
  </si>
  <si>
    <t>725 ORCHARD PARK RD STE B</t>
  </si>
  <si>
    <t>TANGEMAN, JOHN, MD</t>
  </si>
  <si>
    <t>E0195131</t>
  </si>
  <si>
    <t>TANGEMAN JOHN C MD</t>
  </si>
  <si>
    <t>JTANGEMAN@KALEIDAHEALTH.ORG</t>
  </si>
  <si>
    <t>TANGEMAN JOHN</t>
  </si>
  <si>
    <t>FUDYMA, JOHN, MD</t>
  </si>
  <si>
    <t>E0179299</t>
  </si>
  <si>
    <t>FUDYMA JOHN R  MD</t>
  </si>
  <si>
    <t>(716) 898-3936</t>
  </si>
  <si>
    <t>JFUDYMA@KALEIDAHEALTH.ORG</t>
  </si>
  <si>
    <t>FUDYMA JOHN</t>
  </si>
  <si>
    <t>FUDYMA JOHN RAYMOND</t>
  </si>
  <si>
    <t>REYNOLDS, JAMES, MD</t>
  </si>
  <si>
    <t>E0193919</t>
  </si>
  <si>
    <t>REYNOLDS JAMES D MD</t>
  </si>
  <si>
    <t>(716) 834-0113</t>
  </si>
  <si>
    <t>JREYNOLDS2@KALEIDAHEALTH.ORG</t>
  </si>
  <si>
    <t>REYNOLDS JAMES</t>
  </si>
  <si>
    <t>NEWMAN, JAY, MD</t>
  </si>
  <si>
    <t>E0136138</t>
  </si>
  <si>
    <t>NEWMAN JAY L MD</t>
  </si>
  <si>
    <t>NEWMAN JAY</t>
  </si>
  <si>
    <t>(716) 688-2154</t>
  </si>
  <si>
    <t>CHUGH, DENNIS, MD</t>
  </si>
  <si>
    <t>E0122469</t>
  </si>
  <si>
    <t>CHUGH DENNIS BRIAN</t>
  </si>
  <si>
    <t>DCHUGH@KALEIDAHEALTH.ORG</t>
  </si>
  <si>
    <t>CHUGH DENNIS DR.</t>
  </si>
  <si>
    <t>5530 SHERIDAN DR STE 2</t>
  </si>
  <si>
    <t>MURAWSKI, SUSAN, FNP</t>
  </si>
  <si>
    <t>E0112262</t>
  </si>
  <si>
    <t>MURAWSKI SUSAN</t>
  </si>
  <si>
    <t>MURAWSKI, SUSAN,</t>
  </si>
  <si>
    <t>MURAWSKI SUSAN MS.</t>
  </si>
  <si>
    <t>138 E MAIN ST</t>
  </si>
  <si>
    <t>MCELRATH, JAMES, LCSW</t>
  </si>
  <si>
    <t>MCELRATH, JAMES, LCSW-R</t>
  </si>
  <si>
    <t>JIMM@FSCR.MYGBIZ.COM</t>
  </si>
  <si>
    <t>MCELRATH JAMES</t>
  </si>
  <si>
    <t>322 EAST FOURTH STREET</t>
  </si>
  <si>
    <t>WYDYSH, DEBORAH, ANPC</t>
  </si>
  <si>
    <t>E0000075</t>
  </si>
  <si>
    <t>WYDYSH DEBORAH</t>
  </si>
  <si>
    <t>WYDYSH, DEBORAH, ANP</t>
  </si>
  <si>
    <t>(716) 693-2423</t>
  </si>
  <si>
    <t>DWYDYSH@KALEIDAHEALTH.ORG</t>
  </si>
  <si>
    <t>WYDYSH DEBORAH ANN</t>
  </si>
  <si>
    <t>2980 SHERIDAN DR</t>
  </si>
  <si>
    <t>BOUCOUNIS, JENNIFER, MS</t>
  </si>
  <si>
    <t>WILLIAMS,  JENNIFER, SR COUN QHP - H</t>
  </si>
  <si>
    <t>BOUCOUNIS JENNIFER MS.</t>
  </si>
  <si>
    <t>KORNBERG, ALLAN, MD</t>
  </si>
  <si>
    <t>E0224044</t>
  </si>
  <si>
    <t>KORNBERG ALLAN ERIC MD</t>
  </si>
  <si>
    <t>KORNBERG , ALLAN, MD</t>
  </si>
  <si>
    <t>(508) 879-8350</t>
  </si>
  <si>
    <t>AKORNBERG@UPA.CHOB.EDU</t>
  </si>
  <si>
    <t>KORNBERG ALLAN</t>
  </si>
  <si>
    <t>KORNBERG ALLAN ERIC</t>
  </si>
  <si>
    <t>NORTH TONAWANDA CITY SCHOOL DISTRICT</t>
  </si>
  <si>
    <t>E0162162</t>
  </si>
  <si>
    <t>NORTH TONAWANDA CITY SCHOOL</t>
  </si>
  <si>
    <t>(716) 807-3565</t>
  </si>
  <si>
    <t>NORTH TONAWANDA CITY SCHOOL DIST</t>
  </si>
  <si>
    <t>455 MEADOW DR</t>
  </si>
  <si>
    <t>RAY, SHARON, LCSWR</t>
  </si>
  <si>
    <t>RAY, SHARON ANNE, LCSW-R</t>
  </si>
  <si>
    <t>SRAY@CATSWNY.ORG</t>
  </si>
  <si>
    <t>RAY SHARON MRS.</t>
  </si>
  <si>
    <t>1487 MAIN STREET</t>
  </si>
  <si>
    <t>YOUNGER, CHARLES, MD</t>
  </si>
  <si>
    <t>E0036995</t>
  </si>
  <si>
    <t>YOUNGER CHARLES M MD</t>
  </si>
  <si>
    <t>CYOUNGER@KALEIDAHEALTH.ORG</t>
  </si>
  <si>
    <t>YOUNGER CHARLES</t>
  </si>
  <si>
    <t>CGF ANES ASSOC PC</t>
  </si>
  <si>
    <t>ARMSTRONG, JAMES, MD</t>
  </si>
  <si>
    <t>E0114413</t>
  </si>
  <si>
    <t>ARMSTRONG JAMES B MD</t>
  </si>
  <si>
    <t>JARMSTRONG@KALEIDAHEALTH.ORG</t>
  </si>
  <si>
    <t>ARMSTRONG JAMES</t>
  </si>
  <si>
    <t>NAPOLI, JOHN, PHD</t>
  </si>
  <si>
    <t>E0117869</t>
  </si>
  <si>
    <t>NAPOLI JOHN U MD</t>
  </si>
  <si>
    <t>NAPOLI, JOHN, MD</t>
  </si>
  <si>
    <t>(716) 835-9745</t>
  </si>
  <si>
    <t>NAPOLI JOHN</t>
  </si>
  <si>
    <t>3350 MCKINLEY PKWY</t>
  </si>
  <si>
    <t>SHEHATA, HANY, MD</t>
  </si>
  <si>
    <t>E0181705</t>
  </si>
  <si>
    <t>SHEHATA HANY R GEORGY MD</t>
  </si>
  <si>
    <t>HANY.SHEHATA@NIAGARACOUNTY.COM</t>
  </si>
  <si>
    <t>SHEHATA HANY MR.</t>
  </si>
  <si>
    <t>ASHBY, SUSAN, LCSW</t>
  </si>
  <si>
    <t>E0349961</t>
  </si>
  <si>
    <t>SPITTAL-ASHBY SUSAN</t>
  </si>
  <si>
    <t>SPITTAL-ASHBY, SUSAN, LCSW</t>
  </si>
  <si>
    <t>SPITTALS@SHSWNY.ORG</t>
  </si>
  <si>
    <t>ASHBY SUSAN</t>
  </si>
  <si>
    <t>ASHBY SUSAN SPITTAL</t>
  </si>
  <si>
    <t>SMITH, SHAJUANA, PA</t>
  </si>
  <si>
    <t>E0307803</t>
  </si>
  <si>
    <t>SMITH SHAJUANA TAKIA</t>
  </si>
  <si>
    <t>SHAJUANA SMITH, , PA</t>
  </si>
  <si>
    <t>DAY SHAJUANA MRS.</t>
  </si>
  <si>
    <t>DAY SHAJUANA T</t>
  </si>
  <si>
    <t>TWINING, JESSICA, LCSW</t>
  </si>
  <si>
    <t>E0377083</t>
  </si>
  <si>
    <t>TWINING JESSICA BERYL</t>
  </si>
  <si>
    <t>TWINING,  JESSICA, SR COUNSELOR LICENSED</t>
  </si>
  <si>
    <t>TWINING JESSICA</t>
  </si>
  <si>
    <t>SEMISA, LAUREN, LMSW</t>
  </si>
  <si>
    <t>LSEMISA@CATSWNY.ORG</t>
  </si>
  <si>
    <t>SEMISA LAUREN</t>
  </si>
  <si>
    <t>HENRY, VICTORIA, PA</t>
  </si>
  <si>
    <t>E0336280</t>
  </si>
  <si>
    <t>VICTORIA CHRISTINA HENRY PA</t>
  </si>
  <si>
    <t>(716) 909-3044</t>
  </si>
  <si>
    <t>VHENRY2@KALEIDAHEALTH.ORG</t>
  </si>
  <si>
    <t>HENRY VICTORIA</t>
  </si>
  <si>
    <t>HENRY VICTORIA CHRISTINA RPA</t>
  </si>
  <si>
    <t>GOODNOUGH, STEPHEN,</t>
  </si>
  <si>
    <t>E0194960</t>
  </si>
  <si>
    <t>GOODNOUGH STEPHEN R        MD</t>
  </si>
  <si>
    <t>GOODNOUGH, STEPHEN, MD</t>
  </si>
  <si>
    <t>SGOODNOUGH@KALEIDAHEALTH.ORG</t>
  </si>
  <si>
    <t>GOODNOUGH STEPHEN DR.</t>
  </si>
  <si>
    <t>GOODNOUGH STEPHEN ROBERT</t>
  </si>
  <si>
    <t>FAHRBACH, JOHN, MD</t>
  </si>
  <si>
    <t>E0009729</t>
  </si>
  <si>
    <t>FAHRBACH JOHN MD</t>
  </si>
  <si>
    <t>JFAHRBACH@KALEIDAHEALTH.ORG</t>
  </si>
  <si>
    <t>FAHRBACH JOHN DR.</t>
  </si>
  <si>
    <t>JAIN, SHILPA, MDMPH</t>
  </si>
  <si>
    <t>E0383431</t>
  </si>
  <si>
    <t>JAIN SHILPA</t>
  </si>
  <si>
    <t>JAIN, SHILPA, MD</t>
  </si>
  <si>
    <t>(412) 647-3087</t>
  </si>
  <si>
    <t>SJAIN@KALEIDAHEALTH.ORG</t>
  </si>
  <si>
    <t>JAIN SHILPA DR.</t>
  </si>
  <si>
    <t>AMBRUSKO, STEVEN, MD</t>
  </si>
  <si>
    <t>E0009880</t>
  </si>
  <si>
    <t>AMBRUSKO STEVEN J MDMS</t>
  </si>
  <si>
    <t>AMBRUSKO , STEVEN  , MD</t>
  </si>
  <si>
    <t>SAMBRUSKO@UPA.CHOB.EDU</t>
  </si>
  <si>
    <t>AMBRUSKO STEVEN DR.</t>
  </si>
  <si>
    <t>WILSON, JULIANA, DO</t>
  </si>
  <si>
    <t>E0335766</t>
  </si>
  <si>
    <t>WILSON JULIANA E</t>
  </si>
  <si>
    <t>(716) 859-3000</t>
  </si>
  <si>
    <t>WILSON JULIANA</t>
  </si>
  <si>
    <t>WILSON JULIANA ELIZABETH</t>
  </si>
  <si>
    <t>CORNELL, HEIDI, NP</t>
  </si>
  <si>
    <t>E0297003</t>
  </si>
  <si>
    <t>CORNELL HEIDI A</t>
  </si>
  <si>
    <t>CORNELL, HEIDI, ANP</t>
  </si>
  <si>
    <t>HCORNELL@KALEIDAHEALTH.ORG</t>
  </si>
  <si>
    <t>CORNELL HEIDI</t>
  </si>
  <si>
    <t>MRKALL, BRENDA, ANPBC</t>
  </si>
  <si>
    <t>E0301187</t>
  </si>
  <si>
    <t>MRKALL BRENDA ANN</t>
  </si>
  <si>
    <t>MRKALL, BRENDA, ANP</t>
  </si>
  <si>
    <t>(716) 632-0416</t>
  </si>
  <si>
    <t>BMRKALL@KALEIDAHEALTH.ORG</t>
  </si>
  <si>
    <t>MRKALL BRENDA MS.</t>
  </si>
  <si>
    <t>E0169568</t>
  </si>
  <si>
    <t>CATTARAUGUS REHAB CTR</t>
  </si>
  <si>
    <t>483 PROSPECT AVE # C/7924430/PROSPECT</t>
  </si>
  <si>
    <t>VANBOURGONDIEN, LEAH,</t>
  </si>
  <si>
    <t>VAN BOURGONDIEN,  LEAH , SR COUNSELOR LICENSED</t>
  </si>
  <si>
    <t>VANBOURGONDIEN LEAH</t>
  </si>
  <si>
    <t>BUELL, AMANDA,</t>
  </si>
  <si>
    <t>E0301532</t>
  </si>
  <si>
    <t>BUELL AMANDA</t>
  </si>
  <si>
    <t>BUELL, AMANDA, FNP</t>
  </si>
  <si>
    <t>(716) 583-1457</t>
  </si>
  <si>
    <t>ABUELL@KALEIDAHEALTH.ORG</t>
  </si>
  <si>
    <t>BUELL AMANDA S</t>
  </si>
  <si>
    <t>HARTLEY-MCANDREW, MICHELLE, MD</t>
  </si>
  <si>
    <t>E0283373</t>
  </si>
  <si>
    <t>HARTLEY-MCANDREW MICHELLE ELENA MD</t>
  </si>
  <si>
    <t>MHARTLEY-MCANDREW@KALEIDAHEALTH.ORG</t>
  </si>
  <si>
    <t>HARTLEY-MCANDREW MICHELLE DR.</t>
  </si>
  <si>
    <t>RAMBARRAN, BRIAN, MDMPH</t>
  </si>
  <si>
    <t>E0319001</t>
  </si>
  <si>
    <t>RAMBARRAN BRIAN DAVID</t>
  </si>
  <si>
    <t>RAMBARRAN, BRIAN, MD</t>
  </si>
  <si>
    <t>BRAMBARRAN@KALEIDAHEALTH.ORG</t>
  </si>
  <si>
    <t>RAMBARRAN BRIAN DR.</t>
  </si>
  <si>
    <t>CAMBRIA</t>
  </si>
  <si>
    <t>FINCH, VIRGINIA, NP</t>
  </si>
  <si>
    <t>E0283489</t>
  </si>
  <si>
    <t>FINCH VIRGINIA</t>
  </si>
  <si>
    <t>FINCH VIRGINIA MRS.</t>
  </si>
  <si>
    <t>(716) 837-9673</t>
  </si>
  <si>
    <t>FINCH VIRGINIA M NP</t>
  </si>
  <si>
    <t>ZHANG, NAN, MDPHD</t>
  </si>
  <si>
    <t>E0390827</t>
  </si>
  <si>
    <t>ZHANG NAN</t>
  </si>
  <si>
    <t>ZHANG, NAN, MD</t>
  </si>
  <si>
    <t>(310) 954-7039</t>
  </si>
  <si>
    <t>NZHANG@KALEIDAHEALTH.ORG</t>
  </si>
  <si>
    <t>ZHANG NAN DR.</t>
  </si>
  <si>
    <t>SORKIN, GRANT, MD</t>
  </si>
  <si>
    <t>E0385529</t>
  </si>
  <si>
    <t>SORKIN GRANT C</t>
  </si>
  <si>
    <t>(716) 887-5600</t>
  </si>
  <si>
    <t>GSORKIN@KALEIDAHEALTH.ORG</t>
  </si>
  <si>
    <t>SORKIN GRANT DR.</t>
  </si>
  <si>
    <t>1445 PORTLAND AVE STE 304</t>
  </si>
  <si>
    <t>LEINWEBER, SANDRA, RN</t>
  </si>
  <si>
    <t>LEINWEBER, SANDRA, CMHN</t>
  </si>
  <si>
    <t>(716) 885-2261</t>
  </si>
  <si>
    <t>SANDRA.LEINWEBER@OMH.NY.GOV</t>
  </si>
  <si>
    <t>LEINWEBER SANDRA</t>
  </si>
  <si>
    <t>5820 MAIN ST STE 204</t>
  </si>
  <si>
    <t>BREBNOR, ANGELLE,</t>
  </si>
  <si>
    <t>E0382421</t>
  </si>
  <si>
    <t>BREBNOR ANGELLE AVIAN DENISE</t>
  </si>
  <si>
    <t>BREBNOR, ANGELLE, MD</t>
  </si>
  <si>
    <t>(202) 487-6683</t>
  </si>
  <si>
    <t>ABREBNOR@KALEIDAHEALTH.ORG</t>
  </si>
  <si>
    <t>BREBNOR ANGELLE MISS</t>
  </si>
  <si>
    <t>6161 TRANSIT RD STE 5</t>
  </si>
  <si>
    <t>HAWK, JOHN, NPADULT</t>
  </si>
  <si>
    <t>E0310618</t>
  </si>
  <si>
    <t>HAWK JOHN</t>
  </si>
  <si>
    <t>HAWK, JOHN, ANP</t>
  </si>
  <si>
    <t>JHAWK@KALEIDAHEALTH.ORG</t>
  </si>
  <si>
    <t>HAWK JOHN MR.</t>
  </si>
  <si>
    <t>CAPOTE, HORACIO, MD</t>
  </si>
  <si>
    <t>E0126849</t>
  </si>
  <si>
    <t>CAPOTE HORACIO A MD</t>
  </si>
  <si>
    <t>HCAPOTE@KALEIDAHEALTH.ORG</t>
  </si>
  <si>
    <t>CAPOTE HORACIO</t>
  </si>
  <si>
    <t>MICHIGAN AVE</t>
  </si>
  <si>
    <t>BAGNARELLO, CAROLA, MD</t>
  </si>
  <si>
    <t>E0016969</t>
  </si>
  <si>
    <t>ROBINSON CAROLA E</t>
  </si>
  <si>
    <t>CBAGNARELLO@KALEIDAHEALTH.ORG</t>
  </si>
  <si>
    <t>ROBINSON CAROLA DR.</t>
  </si>
  <si>
    <t>MOSER, REUVEN, MD</t>
  </si>
  <si>
    <t>E0296585</t>
  </si>
  <si>
    <t>MOSER REUVEN</t>
  </si>
  <si>
    <t>RMOSER@KALEIDAHEALTH.ORG</t>
  </si>
  <si>
    <t>ORLEANS COUNTY HEALTH DEPT PSHSP</t>
  </si>
  <si>
    <t>ORLEANS CO HEALTH DEPT PSSHSP</t>
  </si>
  <si>
    <t>14012 ROUTE 31 WEST</t>
  </si>
  <si>
    <t>HAWKINS, ERIN, MSCASAC</t>
  </si>
  <si>
    <t>HAWKINS,  JENNA, COUNSELOR III</t>
  </si>
  <si>
    <t>(916) 649-6793</t>
  </si>
  <si>
    <t>HAWKINS ERIN</t>
  </si>
  <si>
    <t>2515 H ST</t>
  </si>
  <si>
    <t>SACRAMENTO</t>
  </si>
  <si>
    <t>DUQUIN, THOMAS, MD</t>
  </si>
  <si>
    <t>E0306293</t>
  </si>
  <si>
    <t>DUQUIN THOMAS RICHARD</t>
  </si>
  <si>
    <t>(716) 898-3810</t>
  </si>
  <si>
    <t>TDUQUIN@KALEIDAHEALTH.ORG</t>
  </si>
  <si>
    <t>DUQUIN THOMAS DR.</t>
  </si>
  <si>
    <t>YOUNG, SUSAN, LPN</t>
  </si>
  <si>
    <t>E0376535</t>
  </si>
  <si>
    <t>YOUNG SUSAN A</t>
  </si>
  <si>
    <t>SUSAN.YOUNG@NIAGARACOUNTY.COM</t>
  </si>
  <si>
    <t>YOUNG SUSAN MRS.</t>
  </si>
  <si>
    <t>5467 UPPER MOUNTAIN RD STE 200</t>
  </si>
  <si>
    <t>CHOPKO, MICHAEL, MD</t>
  </si>
  <si>
    <t>E0308129</t>
  </si>
  <si>
    <t>CHOPKO MICHAEL</t>
  </si>
  <si>
    <t>MCHOPKO@KALEIDAHEALTH.ORG</t>
  </si>
  <si>
    <t>CHOPKO MICHAEL DR.</t>
  </si>
  <si>
    <t>CHOPKO MICHAEL STEPHEN</t>
  </si>
  <si>
    <t>462 GRIDER ST-MILLER BLDG</t>
  </si>
  <si>
    <t>SCHULTE, MARK, MD</t>
  </si>
  <si>
    <t>E0297197</t>
  </si>
  <si>
    <t>SCHULTE MARK</t>
  </si>
  <si>
    <t>MSCHULTE@KALEIDAHEALTH.ORG</t>
  </si>
  <si>
    <t>SCHULTE MARK DR.</t>
  </si>
  <si>
    <t>SCHULTE MARK EVERETT</t>
  </si>
  <si>
    <t>NAIR, JAYASREE, MBBS</t>
  </si>
  <si>
    <t>E0340554</t>
  </si>
  <si>
    <t>NAIR JAYASREE</t>
  </si>
  <si>
    <t>NAIR , JAYASREE, MD</t>
  </si>
  <si>
    <t>(716) 884-2580</t>
  </si>
  <si>
    <t>JNAIR@UPA.CHOB.EDU</t>
  </si>
  <si>
    <t>NAIR JAYASREE DR.</t>
  </si>
  <si>
    <t>ELDERWOOD ASSISTED LIVING AT HEATHW</t>
  </si>
  <si>
    <t>E0432679</t>
  </si>
  <si>
    <t>HEATHWOOD ASSISTED LIVING AT WILLIA</t>
  </si>
  <si>
    <t>ERIE COUNTY CHAPTER NYSARC INC B2H</t>
  </si>
  <si>
    <t>E0327073</t>
  </si>
  <si>
    <t>PEOPLE INC ICS</t>
  </si>
  <si>
    <t>E0330720</t>
  </si>
  <si>
    <t>PEOPLE INC PFW</t>
  </si>
  <si>
    <t>POPPENBERG, KRISTIN, MD</t>
  </si>
  <si>
    <t>E0294572</t>
  </si>
  <si>
    <t>POPPENBERG KRISTIN ELIZABETH</t>
  </si>
  <si>
    <t>POPPENBERG-DUQUETTE, KRISTIN, MD</t>
  </si>
  <si>
    <t>KPOPPENBERGDUQUETTE@KALEIDAHEALTH.ORG</t>
  </si>
  <si>
    <t>POPPENBERG KRISTIN DR.</t>
  </si>
  <si>
    <t>POPPENBERG DUQUETTE KRISTIN E</t>
  </si>
  <si>
    <t>3560 N BUFFALO RD</t>
  </si>
  <si>
    <t>RAZA SHAFI</t>
  </si>
  <si>
    <t>E0321337</t>
  </si>
  <si>
    <t>PRATT, REBECCA, MD</t>
  </si>
  <si>
    <t>E0385416</t>
  </si>
  <si>
    <t>PRATT REBECCA E</t>
  </si>
  <si>
    <t>(585) 275-6096</t>
  </si>
  <si>
    <t>RPRATT@KALEIDAHEALTH.ORG</t>
  </si>
  <si>
    <t>PRATT REBECCA DR.</t>
  </si>
  <si>
    <t>936 DELAWARE AVE STE 100</t>
  </si>
  <si>
    <t>ANZALONE, ADRIANNA, LMSW</t>
  </si>
  <si>
    <t>ANZALONEA@SHSWNY.ORG</t>
  </si>
  <si>
    <t>ANZALONE ADRIANNA</t>
  </si>
  <si>
    <t>SINGH, JOSHNA, MD</t>
  </si>
  <si>
    <t>E0383179</t>
  </si>
  <si>
    <t>SINGH JOSHNA</t>
  </si>
  <si>
    <t>(718) 413-0652</t>
  </si>
  <si>
    <t>JSINGH@KALEIDAHEALTH.ORG</t>
  </si>
  <si>
    <t>SINGH JOSHNA DR.</t>
  </si>
  <si>
    <t>PHIPPS, ANDREA, PA</t>
  </si>
  <si>
    <t>E0359524</t>
  </si>
  <si>
    <t>PHIPPS ANDREA ELIZABETH</t>
  </si>
  <si>
    <t>APHIPPS@KALEIDAHEALTH.ORG</t>
  </si>
  <si>
    <t>PHIPPS ANDREA MRS.</t>
  </si>
  <si>
    <t>CARLTON BUILDING, ELM AND CARLTON STREET</t>
  </si>
  <si>
    <t>Wyoming County Community Health System-Nursing Home</t>
  </si>
  <si>
    <t>E0267703</t>
  </si>
  <si>
    <t>WYOMING COUNTY COMM HOSP SNF</t>
  </si>
  <si>
    <t>PEOPLE SERVICES TO THE DD INC</t>
  </si>
  <si>
    <t>E0195066</t>
  </si>
  <si>
    <t>2128 ELMWOOD AVE</t>
  </si>
  <si>
    <t>RIVERSHORE INC HCBS</t>
  </si>
  <si>
    <t>E0150900</t>
  </si>
  <si>
    <t># VPA0172</t>
  </si>
  <si>
    <t>UCPA NIAGARA CO INC HCBS</t>
  </si>
  <si>
    <t>E0150772</t>
  </si>
  <si>
    <t>9812 LOCKPORT RD # VPA0275</t>
  </si>
  <si>
    <t>BAKER VICTORY SERVICES HCBS</t>
  </si>
  <si>
    <t>E0150563</t>
  </si>
  <si>
    <t>780 RIDGE RD # VPB0286</t>
  </si>
  <si>
    <t>CATT REHAB CENTER INC HCBS</t>
  </si>
  <si>
    <t>E0148905</t>
  </si>
  <si>
    <t>1439 BUFFALO ST # VAB0288</t>
  </si>
  <si>
    <t>CATTARAUGUS REHAB STR TBI</t>
  </si>
  <si>
    <t>E0145714</t>
  </si>
  <si>
    <t>ASPIRE OF WNY INC</t>
  </si>
  <si>
    <t>E0144935</t>
  </si>
  <si>
    <t>7 COMMUNITY DR</t>
  </si>
  <si>
    <t>CANTALICIAN CTR LEARN HCBS2</t>
  </si>
  <si>
    <t>E0120946</t>
  </si>
  <si>
    <t>3233 MAIN ST # VVA1315</t>
  </si>
  <si>
    <t>ASPIRE OF WNY HCBS 6</t>
  </si>
  <si>
    <t>E0110174</t>
  </si>
  <si>
    <t>7 COMMUNITY DR # VWA0001</t>
  </si>
  <si>
    <t>CARING ENTERPRISES INC.</t>
  </si>
  <si>
    <t>E0100845</t>
  </si>
  <si>
    <t>NADLER, JAMIE, MD</t>
  </si>
  <si>
    <t>E0321808</t>
  </si>
  <si>
    <t>NADLER JAMIE NORMAN</t>
  </si>
  <si>
    <t>(716) 866-8242</t>
  </si>
  <si>
    <t>JNADLER@KALEIDAHEALTH.ORG</t>
  </si>
  <si>
    <t>NADLER JAMIE DR.</t>
  </si>
  <si>
    <t>OMOP LLC</t>
  </si>
  <si>
    <t>E0359836</t>
  </si>
  <si>
    <t>OMOP,LLC</t>
  </si>
  <si>
    <t>DAVE DENNY</t>
  </si>
  <si>
    <t>(585) 798-4100</t>
  </si>
  <si>
    <t>DDENNY@ORCHARDMANOR.COM</t>
  </si>
  <si>
    <t>OMOP, LLC</t>
  </si>
  <si>
    <t>600 BATES RD</t>
  </si>
  <si>
    <t>ALISANKUS, ANTON,</t>
  </si>
  <si>
    <t>ALISANKUS, ANTON, CASAC</t>
  </si>
  <si>
    <t>ALISANKUSA@SHSWNY.ORG</t>
  </si>
  <si>
    <t>ALISANKUS ANTON</t>
  </si>
  <si>
    <t>272 THORN AVE</t>
  </si>
  <si>
    <t>ANDRZEJEWSKI, RENEE, ANP</t>
  </si>
  <si>
    <t>E0427117</t>
  </si>
  <si>
    <t>ANDRZEJEWSKI RENEE</t>
  </si>
  <si>
    <t>(716) 859-4223</t>
  </si>
  <si>
    <t>RANDRZEJEWSKI@KALEIDAHEALTH.ORG</t>
  </si>
  <si>
    <t>ANDRZEJEWSKI RENEE LYNN</t>
  </si>
  <si>
    <t>PAUL PETTIT</t>
  </si>
  <si>
    <t>PAUL.PETTIT@ORLEANSNY.COM</t>
  </si>
  <si>
    <t>ORLEANS COUNTY DEPT OF HEALTH</t>
  </si>
  <si>
    <t>14012 ROUTE 31</t>
  </si>
  <si>
    <t>SHARMA, NISHA, MD</t>
  </si>
  <si>
    <t>E0038968</t>
  </si>
  <si>
    <t>SHARMA NISHA MD</t>
  </si>
  <si>
    <t>SHARMA NISHA</t>
  </si>
  <si>
    <t>(716) 934-4400</t>
  </si>
  <si>
    <t>12657 SENECA RD</t>
  </si>
  <si>
    <t>SALZMANN, PAMELA, DO</t>
  </si>
  <si>
    <t>E0047952</t>
  </si>
  <si>
    <t>SALZMANN PAMELA TERESA DO</t>
  </si>
  <si>
    <t>SALZMANN PAMELA</t>
  </si>
  <si>
    <t>SALZMANN PAMELA TERESA</t>
  </si>
  <si>
    <t>LIEBERMAN, JEFFREY,</t>
  </si>
  <si>
    <t>E0138409</t>
  </si>
  <si>
    <t>LIEBERMAN JEFFREY L MD</t>
  </si>
  <si>
    <t>(716) 662-0293</t>
  </si>
  <si>
    <t>LIEBERMAN JEFFREY</t>
  </si>
  <si>
    <t>539 CLEVELAND DR PH Y</t>
  </si>
  <si>
    <t>Thompson, Tammy, University Pediatric Denistry, PC</t>
  </si>
  <si>
    <t>E0373326</t>
  </si>
  <si>
    <t>THOMPSON TAMMY L</t>
  </si>
  <si>
    <t>Roseann McAnulty</t>
  </si>
  <si>
    <t>(716) 650-7095</t>
  </si>
  <si>
    <t>RMcAnulty@updwny.com</t>
  </si>
  <si>
    <t>THOMPSON TAMMY DR.</t>
  </si>
  <si>
    <t>Ali, Munzer, University Psychiatric Practice, Inc.</t>
  </si>
  <si>
    <t>Amy Berek</t>
  </si>
  <si>
    <t>(716) 898-5941</t>
  </si>
  <si>
    <t>akuzale@buffalo.edu</t>
  </si>
  <si>
    <t>ALI MUNEER DR.</t>
  </si>
  <si>
    <t>5901 PEACHTREE DUNWOODY RD, BUILDING C, SUITE 65</t>
  </si>
  <si>
    <t>ATLANTA</t>
  </si>
  <si>
    <t>GA</t>
  </si>
  <si>
    <t>Anker, Jeffrey, University Psychiatric Practice, Inc.</t>
  </si>
  <si>
    <t>E0307494</t>
  </si>
  <si>
    <t>ANKER JEFFREY LAWRENCE</t>
  </si>
  <si>
    <t>ANKER JEFFREY</t>
  </si>
  <si>
    <t>Arana, Belito, University Psychiatric Practice, Inc.</t>
  </si>
  <si>
    <t>E0283504</t>
  </si>
  <si>
    <t>ARANA BELITO</t>
  </si>
  <si>
    <t>ARANA BELITO JEX MD</t>
  </si>
  <si>
    <t>Brooks, Victoria, University Psychiatric Practice, Inc.</t>
  </si>
  <si>
    <t>E0024457</t>
  </si>
  <si>
    <t>BROOKS VICTORIA LYNN MD</t>
  </si>
  <si>
    <t>BROOKS VICTORIA</t>
  </si>
  <si>
    <t>Cerrantes, Ana N., University Psychiatric Practice, Inc.</t>
  </si>
  <si>
    <t>E0296859</t>
  </si>
  <si>
    <t>ANA NATASHA CERVANTES</t>
  </si>
  <si>
    <t>CERVANTES ANA DR.</t>
  </si>
  <si>
    <t>CERVANTES ANA NATASHA</t>
  </si>
  <si>
    <t>Chapin, Thomas, University Psychiatric Practice, Inc.</t>
  </si>
  <si>
    <t>E0310969</t>
  </si>
  <si>
    <t>CHAPIN V THOMAS</t>
  </si>
  <si>
    <t>CHAPIN V. THOMAS MR.</t>
  </si>
  <si>
    <t>Corey, Leidenfrost, University Psychiatric Practice, Inc.</t>
  </si>
  <si>
    <t>LEIDENFROST COREY</t>
  </si>
  <si>
    <t>Ghosh, Biswarup, University Psychiatric Practice, Inc.</t>
  </si>
  <si>
    <t>E0336277</t>
  </si>
  <si>
    <t>GHOSH BISWARUP MANOJKUMAR</t>
  </si>
  <si>
    <t>GHOSH BISWARUP DR.</t>
  </si>
  <si>
    <t>Gokhale, Vinayak, University Psychiatric Practice, Inc.</t>
  </si>
  <si>
    <t>E0086188</t>
  </si>
  <si>
    <t>GOKHALE VINAYAK S MD</t>
  </si>
  <si>
    <t>GOKHALE VINAYAK DR.</t>
  </si>
  <si>
    <t>Hernandez, Sergio, University Psychiatric Practice, Inc.</t>
  </si>
  <si>
    <t>E0307667</t>
  </si>
  <si>
    <t>HERNANDEZ SERGIO MD</t>
  </si>
  <si>
    <t>HERNANDEZ SERGIO DR.</t>
  </si>
  <si>
    <t>Improta, John, University Psychiatric Practice, Inc.</t>
  </si>
  <si>
    <t>E0031125</t>
  </si>
  <si>
    <t>IMPROTA JOHN MICHAEL MD</t>
  </si>
  <si>
    <t>IMPROTA JOHN DR.</t>
  </si>
  <si>
    <t>Kothari, Khyati, University Psychiatric Practice, Inc.</t>
  </si>
  <si>
    <t>E0379505</t>
  </si>
  <si>
    <t>KOTHARI KHYATI NIRMIT</t>
  </si>
  <si>
    <t>KOTHARI KHYATI</t>
  </si>
  <si>
    <t>Marshall, Dori, University Psychiatric Practice, Inc.</t>
  </si>
  <si>
    <t>E0022278</t>
  </si>
  <si>
    <t>MARSHALL-HOBIKA DORI  MD</t>
  </si>
  <si>
    <t>MARSHALL-HOBIKA DORI DR.</t>
  </si>
  <si>
    <t>Misir, DeviNalini, University Psychiatric Practice, Inc.</t>
  </si>
  <si>
    <t>E0335755</t>
  </si>
  <si>
    <t>KAMARAJ DEVINALINI</t>
  </si>
  <si>
    <t>MISIR DEVINALINI DR.</t>
  </si>
  <si>
    <t>MISIR DEVINALINI</t>
  </si>
  <si>
    <t>Multon, Holly, University Psychiatric Practice, Inc.</t>
  </si>
  <si>
    <t>E0015913</t>
  </si>
  <si>
    <t>MUTTON HOLLY BETH DO</t>
  </si>
  <si>
    <t>MUTTON HOLLY DR.</t>
  </si>
  <si>
    <t>Nagra, Balwant, University Psychiatric Practice, Inc.</t>
  </si>
  <si>
    <t>E0328467</t>
  </si>
  <si>
    <t>NAGRA BALWANT S</t>
  </si>
  <si>
    <t>NAGRA BALWANT DR.</t>
  </si>
  <si>
    <t>Park , Seung-Kyoon, University Psychiatric Practice, Inc.</t>
  </si>
  <si>
    <t>E0235428</t>
  </si>
  <si>
    <t>PARK SEUNG KYOON           MD</t>
  </si>
  <si>
    <t>PARK SEUNG-KYOON DR.</t>
  </si>
  <si>
    <t>462 GRIDER ST FL 5</t>
  </si>
  <si>
    <t>Park , Won Hoon, University Psychiatric Practice, Inc.</t>
  </si>
  <si>
    <t>E0211056</t>
  </si>
  <si>
    <t>PARK WONHOON               MD</t>
  </si>
  <si>
    <t>PARK WONHOON DR.</t>
  </si>
  <si>
    <t>Pristach, Cynthia, University Psychiatric Practice, Inc.</t>
  </si>
  <si>
    <t>E0159752</t>
  </si>
  <si>
    <t>PRISTACH CYNTHIA A</t>
  </si>
  <si>
    <t>PRISTACH CYNTHIA DR.</t>
  </si>
  <si>
    <t>Romero, Ricardo, University Psychiatric Practice, Inc.</t>
  </si>
  <si>
    <t>ROMERO RICARDO</t>
  </si>
  <si>
    <t>1028 MAIN ST</t>
  </si>
  <si>
    <t>Ruggier, Matthew, University Psychiatric Practice, Inc.</t>
  </si>
  <si>
    <t>E0369423</t>
  </si>
  <si>
    <t>RUGGIERI MATTHEW L</t>
  </si>
  <si>
    <t>RUGGIERI MATTHEW</t>
  </si>
  <si>
    <t>Yu, Hong, University Psychiatric Practice, Inc.</t>
  </si>
  <si>
    <t>E0029462</t>
  </si>
  <si>
    <t>YU HONG MD</t>
  </si>
  <si>
    <t>YU HONG MS.</t>
  </si>
  <si>
    <t>Boon-Sabo, Cathy, Wayne ARC</t>
  </si>
  <si>
    <t>E0135731</t>
  </si>
  <si>
    <t>BOON-SABO CATHY J</t>
  </si>
  <si>
    <t>David Calhoun</t>
  </si>
  <si>
    <t>(315) 331-7741</t>
  </si>
  <si>
    <t>david.calhoun@waynearc.org</t>
  </si>
  <si>
    <t>BOON SABO CATHY</t>
  </si>
  <si>
    <t>42 VALLEY VIEW DR</t>
  </si>
  <si>
    <t>Cordaro, Thomas, Wayne ARC</t>
  </si>
  <si>
    <t>CORDARO THOMAS</t>
  </si>
  <si>
    <t>1200 E AND WEST RD</t>
  </si>
  <si>
    <t>DiGiocco, Susan, Wayne ARC</t>
  </si>
  <si>
    <t>150 Van Buren Street</t>
  </si>
  <si>
    <t>Newark</t>
  </si>
  <si>
    <t>Johnson, Sharon, Wayne ARC</t>
  </si>
  <si>
    <t>JOHNSON SHARON</t>
  </si>
  <si>
    <t>Lehman, Mark, Wayne ARC</t>
  </si>
  <si>
    <t>LEHMAN MARK</t>
  </si>
  <si>
    <t>Richenberg, Amanda, Wayne ARC</t>
  </si>
  <si>
    <t>RICHENBERG AMANDA</t>
  </si>
  <si>
    <t>215 WASHINGTON ST</t>
  </si>
  <si>
    <t>Wholen, Monica, Wayne ARC</t>
  </si>
  <si>
    <t>WHALEN MONICA</t>
  </si>
  <si>
    <t>150 VAN BUREN ST</t>
  </si>
  <si>
    <t>NEWARK</t>
  </si>
  <si>
    <t>Gleason, Kristin, Westfield Family Physicians, PC</t>
  </si>
  <si>
    <t>E0383482</t>
  </si>
  <si>
    <t>GLEASON KIRSTIN</t>
  </si>
  <si>
    <t>Doanld F. Brautigam</t>
  </si>
  <si>
    <t>GLEASON KIRSTIN CADY</t>
  </si>
  <si>
    <t>Przybelinski, Krista, Westfield Family Physicians, PC</t>
  </si>
  <si>
    <t>E0362255</t>
  </si>
  <si>
    <t>PRZYBELINSKI KRISTA</t>
  </si>
  <si>
    <t>PRZYBELINSKI KRISTA M</t>
  </si>
  <si>
    <t>15 S MAIN ST STE 150</t>
  </si>
  <si>
    <t>Abbasey, Salman, Wyoming County Community Health System</t>
  </si>
  <si>
    <t>E0288303</t>
  </si>
  <si>
    <t>SALMAN NASIR ABBASEY</t>
  </si>
  <si>
    <t>Michael Corcimiglia</t>
  </si>
  <si>
    <t>mcorcimiglia@wcchs.net</t>
  </si>
  <si>
    <t>ABBASEY SALMAN</t>
  </si>
  <si>
    <t>ABBASEY SALMAN NASIR MD</t>
  </si>
  <si>
    <t>4263 LAKEVILLE RD</t>
  </si>
  <si>
    <t>GENESEO</t>
  </si>
  <si>
    <t>Collins, Gregory, Wyoming County Community Health System</t>
  </si>
  <si>
    <t>E0007052</t>
  </si>
  <si>
    <t>COLLINS GREGORY JAMES MD</t>
  </si>
  <si>
    <t>COLLINS GREGORY</t>
  </si>
  <si>
    <t>6 MAIN STREET</t>
  </si>
  <si>
    <t>WYOMING</t>
  </si>
  <si>
    <t>GRIFFITHS, ELIZABETH, MD</t>
  </si>
  <si>
    <t>E0299567</t>
  </si>
  <si>
    <t>GRIFFITHS ELIZABETH ALICE</t>
  </si>
  <si>
    <t>EGRIFFITHS@KALEIDAHEALTH.ORG</t>
  </si>
  <si>
    <t>GRIFFITHS ELIZABETH</t>
  </si>
  <si>
    <t>GRIFFITHS ELIZABETH ALICE MD</t>
  </si>
  <si>
    <t>CHEN, WILLIAM, MD</t>
  </si>
  <si>
    <t>E0371550</t>
  </si>
  <si>
    <t>CHEN WILLIAM CHUN-YING</t>
  </si>
  <si>
    <t>WCHEN@KALEIDAHEALTH.ORG</t>
  </si>
  <si>
    <t>CHEN WILLIAM DR.</t>
  </si>
  <si>
    <t>45 SPINDRIFT DR</t>
  </si>
  <si>
    <t>SHON, ALYSSA, MD</t>
  </si>
  <si>
    <t>E0334560</t>
  </si>
  <si>
    <t>SHON ALYSSA SO YOUNG</t>
  </si>
  <si>
    <t>(716) 898-4119</t>
  </si>
  <si>
    <t>SHON ALYSSA DR.</t>
  </si>
  <si>
    <t>Transitional Services Inc</t>
  </si>
  <si>
    <t>Ina Chapman</t>
  </si>
  <si>
    <t>(716) 574-7700</t>
  </si>
  <si>
    <t>wecgod@verizon.net</t>
  </si>
  <si>
    <t>34 Benwood Avenue</t>
  </si>
  <si>
    <t>Baptist Minister Conference</t>
  </si>
  <si>
    <t xml:space="preserve">Black Chamber of Commerce of WNY </t>
  </si>
  <si>
    <t>Belmont Management Corp</t>
  </si>
  <si>
    <t>ECIDA Family Real Estate Dev Services</t>
  </si>
  <si>
    <t>HEART Helping Empower At Risk Teens</t>
  </si>
  <si>
    <t>Network Knight Inc</t>
  </si>
  <si>
    <t>Outsource Center for Human Services Inc</t>
  </si>
  <si>
    <t>Turner Construction Company</t>
  </si>
  <si>
    <t>WNY Information Network Association</t>
  </si>
  <si>
    <t>St John Fruit Belf CDC</t>
  </si>
  <si>
    <t>SJ Market</t>
  </si>
  <si>
    <t>Oak Michigan Housing Development Fund Corp</t>
  </si>
  <si>
    <t>Virginia Michigan Development Corp</t>
  </si>
  <si>
    <t>St John Christian Academy</t>
  </si>
  <si>
    <t>Project Gift</t>
  </si>
  <si>
    <t>St John United FCU</t>
  </si>
  <si>
    <t>MC Creative Thinkers</t>
  </si>
  <si>
    <t>Blessed the Lord Ministries</t>
  </si>
  <si>
    <t>St John Baptist Church Chapman Foundation</t>
  </si>
  <si>
    <t>Fruit Belt United Inc</t>
  </si>
  <si>
    <t>Hope for Humanity CDC and Tabernacle of Praise inc</t>
  </si>
  <si>
    <t>LUCID</t>
  </si>
  <si>
    <t>MAD DADS of Greater Buffalo</t>
  </si>
  <si>
    <t>National Black Diabetes Association</t>
  </si>
  <si>
    <t>100 Mighty Men Ministries</t>
  </si>
  <si>
    <t>Religious Organization</t>
  </si>
  <si>
    <t>WNY Law Enforcement Association</t>
  </si>
  <si>
    <t>The National Witness Project</t>
  </si>
  <si>
    <t>First Ladies of WNY</t>
  </si>
  <si>
    <t>Compass House</t>
  </si>
  <si>
    <t xml:space="preserve">Lisa Freeman </t>
  </si>
  <si>
    <t>(716) 886-1351</t>
  </si>
  <si>
    <t>lisafreeman@roadrunner.com</t>
  </si>
  <si>
    <t>1451 Main Street</t>
  </si>
  <si>
    <t>Burmese Community Services Inc</t>
  </si>
  <si>
    <t>Steven Sanyu</t>
  </si>
  <si>
    <t>(716) 308-4338(716) 533-7027</t>
  </si>
  <si>
    <t>steven.sanyu@yahoo.com</t>
  </si>
  <si>
    <t xml:space="preserve">81 Albany Street </t>
  </si>
  <si>
    <t>Renaissance Addiction Services Inc</t>
  </si>
  <si>
    <t>Robin A Clouden</t>
  </si>
  <si>
    <t>(716) 827-9462</t>
  </si>
  <si>
    <t>Rclouden@ked.org</t>
  </si>
  <si>
    <t>920 Harlem Road</t>
  </si>
  <si>
    <t>West Seneca</t>
  </si>
  <si>
    <t>Meals on Wheels</t>
  </si>
  <si>
    <t>Christine Procknal</t>
  </si>
  <si>
    <t>(716) 822-2002</t>
  </si>
  <si>
    <t>cprocknal@mealsonwheelsforwny.org</t>
  </si>
  <si>
    <t>MEALS ON WHEELS FOR WESTERN NEW YORK, INC.</t>
  </si>
  <si>
    <t>100 JAMES E CASEY DR</t>
  </si>
  <si>
    <t>Cornell Cooperative Extension of Erie County</t>
  </si>
  <si>
    <t>Diane Held</t>
  </si>
  <si>
    <t>(716) 652-5400</t>
  </si>
  <si>
    <t>dbh24@cornell.edu</t>
  </si>
  <si>
    <t>215 Grove Street</t>
  </si>
  <si>
    <t>East Aurora</t>
  </si>
  <si>
    <t>SKIP of New York</t>
  </si>
  <si>
    <t>Margaret Mikol</t>
  </si>
  <si>
    <t>(212) 268-5999</t>
  </si>
  <si>
    <t>mmikol@SKIPofNY.org</t>
  </si>
  <si>
    <t>8205 Main Street Suite 3</t>
  </si>
  <si>
    <t>Williamsville</t>
  </si>
  <si>
    <t>The Buffalo Center for the Arts and Technology</t>
  </si>
  <si>
    <t>Amber Dixon</t>
  </si>
  <si>
    <t>(716) 259-1680</t>
  </si>
  <si>
    <t>adixon@bufcat.org</t>
  </si>
  <si>
    <t>1221 Main Street</t>
  </si>
  <si>
    <t>International Institute of Buffalo</t>
  </si>
  <si>
    <t>Eva Hassett</t>
  </si>
  <si>
    <t>(716) 883-1900</t>
  </si>
  <si>
    <t>ehassett@iibuff.org</t>
  </si>
  <si>
    <t>864 Delaware Avenue</t>
  </si>
  <si>
    <t>Mobile Safety-Net Team</t>
  </si>
  <si>
    <t>Jeffrey Pirrone</t>
  </si>
  <si>
    <t>(716) 854-3494</t>
  </si>
  <si>
    <t>jeffpirrone@hotmail.com</t>
  </si>
  <si>
    <t xml:space="preserve">119 William St. </t>
  </si>
  <si>
    <t>SCHLISSERMAN, ALBERT, MD</t>
  </si>
  <si>
    <t>E0229796</t>
  </si>
  <si>
    <t>SCHLISSERMAN ALBERT        MD</t>
  </si>
  <si>
    <t>SCHLISSERMAN ALBERT DR.</t>
  </si>
  <si>
    <t>(716) 674-6030</t>
  </si>
  <si>
    <t>3075 SOUTHWESTERN BLVD</t>
  </si>
  <si>
    <t>DZIULKO, AMEY, PHYSICIAN</t>
  </si>
  <si>
    <t>E0092577</t>
  </si>
  <si>
    <t>DZIULKO AMEY ROSE PA</t>
  </si>
  <si>
    <t>DZIULKO, AMEY, PA</t>
  </si>
  <si>
    <t>ADZIULKO@KALEIDAHEALTH.ORG</t>
  </si>
  <si>
    <t>DZIULKO AMEY</t>
  </si>
  <si>
    <t>BUFFALO CARD&amp;PULMON</t>
  </si>
  <si>
    <t>CHOPRA, PREM, MD</t>
  </si>
  <si>
    <t>E0238699</t>
  </si>
  <si>
    <t>CHOPRA PREM K              MD</t>
  </si>
  <si>
    <t>PCHOPRA@KALEIDAHEALTH.ORG</t>
  </si>
  <si>
    <t>CHOPRA PREM DR.</t>
  </si>
  <si>
    <t>CHOPRA PREM K</t>
  </si>
  <si>
    <t>Lane, Jennifer, Niagara Cerebral Palsy</t>
  </si>
  <si>
    <t>Jeffrey Parson</t>
  </si>
  <si>
    <t>jpaterson@niagaracp.org</t>
  </si>
  <si>
    <t>LANE JENNIFER</t>
  </si>
  <si>
    <t>4255 BEETOW DR</t>
  </si>
  <si>
    <t>Lewis, Linda, Niagara Cerebral Palsy</t>
  </si>
  <si>
    <t>LEWIS LINDA</t>
  </si>
  <si>
    <t>5655 WEST BLUFF RD</t>
  </si>
  <si>
    <t>OLCOTT</t>
  </si>
  <si>
    <t>McMillan, Sandra, Niagara Cerebral Palsy</t>
  </si>
  <si>
    <t>MCMILLAN SANDRA MS.</t>
  </si>
  <si>
    <t>200 SENECA ST</t>
  </si>
  <si>
    <t>Merkel, Andrea, Niagara Cerebral Palsy</t>
  </si>
  <si>
    <t>E0348482</t>
  </si>
  <si>
    <t>MERKEL ANDREA</t>
  </si>
  <si>
    <t>MERKEL ANDREA MS.</t>
  </si>
  <si>
    <t>Morreale, Marilyn, Niagara Cerebral Palsy</t>
  </si>
  <si>
    <t>MORREALE MARILYN</t>
  </si>
  <si>
    <t>3404 WALNUT AVE</t>
  </si>
  <si>
    <t>Newton, Kim , Niagara Cerebral Palsy</t>
  </si>
  <si>
    <t>NEWTON KIM MS.</t>
  </si>
  <si>
    <t>481 WITMER RD</t>
  </si>
  <si>
    <t>Owen, Paula, Niagara Cerebral Palsy</t>
  </si>
  <si>
    <t>E0350242</t>
  </si>
  <si>
    <t>OWEN PAULA</t>
  </si>
  <si>
    <t>OWEN PAULA MS.</t>
  </si>
  <si>
    <t>6167 W QUAKER ST</t>
  </si>
  <si>
    <t>Page, Scott, Niagara Cerebral Palsy</t>
  </si>
  <si>
    <t>PAGE SCOTT MR.</t>
  </si>
  <si>
    <t>451 MEMORIAL PKWY</t>
  </si>
  <si>
    <t>Raimondo, Jennifer, Niagara Cerebral Palsy</t>
  </si>
  <si>
    <t>RAIMONDO JENNIFER</t>
  </si>
  <si>
    <t>19 SKYLARK LN</t>
  </si>
  <si>
    <t>Schug, Loretta, Niagara Cerebral Palsy</t>
  </si>
  <si>
    <t>GODFREY LORETTA</t>
  </si>
  <si>
    <t>2434 WILLOW AVE</t>
  </si>
  <si>
    <t>Scott, Amy, Niagara Cerebral Palsy</t>
  </si>
  <si>
    <t>SCOTT AMY</t>
  </si>
  <si>
    <t>1814 MICHIGAN AVE</t>
  </si>
  <si>
    <t>Scozzaro, Corinna, Niagara Cerebral Palsy</t>
  </si>
  <si>
    <t>SCOZZARO CORINNA MRS.</t>
  </si>
  <si>
    <t>159 JOSEPH DR</t>
  </si>
  <si>
    <t>Secic, Nancy, Niagara Cerebral Palsy</t>
  </si>
  <si>
    <t>SECIC NANCY</t>
  </si>
  <si>
    <t>120 COUNCIL ST</t>
  </si>
  <si>
    <t>Senay, Michele, Niagara Cerebral Palsy</t>
  </si>
  <si>
    <t>SENAY MICHELE MS.</t>
  </si>
  <si>
    <t>6393 ERNA DR</t>
  </si>
  <si>
    <t>Sidoti, Michele, Niagara Cerebral Palsy</t>
  </si>
  <si>
    <t>SIDOTI MICHELE</t>
  </si>
  <si>
    <t>36 MITCHELL DR</t>
  </si>
  <si>
    <t>Smith, Michelle, Niagara Cerebral Palsy</t>
  </si>
  <si>
    <t>SMITH MICHELLE MS.</t>
  </si>
  <si>
    <t>2282 CENTER CT N APT 2</t>
  </si>
  <si>
    <t>Snyder, Laura, Niagara Cerebral Palsy</t>
  </si>
  <si>
    <t>SNYDER LAURA</t>
  </si>
  <si>
    <t>1158 NIAGARA AVE</t>
  </si>
  <si>
    <t>Southworth, Lori , Niagara Cerebral Palsy</t>
  </si>
  <si>
    <t>SOUTHWORTH LORI</t>
  </si>
  <si>
    <t>1112 INDIAN CHURCH RD, # 27</t>
  </si>
  <si>
    <t>Trapasso, Kit, Niagara Cerebral Palsy</t>
  </si>
  <si>
    <t>TRAPASSO KIT MR.</t>
  </si>
  <si>
    <t>1117 WEST AVE</t>
  </si>
  <si>
    <t>Violante III, Mario, Niagara Cerebral Palsy</t>
  </si>
  <si>
    <t>E0301394</t>
  </si>
  <si>
    <t>MARIO J VIOLANTE III DDS</t>
  </si>
  <si>
    <t>VIOLANTE MARIO DR.</t>
  </si>
  <si>
    <t>VIOLANTE MARIO JOSEPH III DDS</t>
  </si>
  <si>
    <t>1 COLOMBA DR STE 6</t>
  </si>
  <si>
    <t>Wedge, Laura, Niagara Cerebral Palsy</t>
  </si>
  <si>
    <t>E0349247</t>
  </si>
  <si>
    <t>WEDGE LAURA REAHANN</t>
  </si>
  <si>
    <t>PIECHOWSKI LAURA MS.</t>
  </si>
  <si>
    <t>Winger, Denise, Niagara Cerebral Palsy</t>
  </si>
  <si>
    <t>WINGER DENISE MRS.</t>
  </si>
  <si>
    <t>Wolcott, Susan, Niagara Cerebral Palsy</t>
  </si>
  <si>
    <t>WOLCOTT SUSAN</t>
  </si>
  <si>
    <t>4311 PLANK RD</t>
  </si>
  <si>
    <t>Deeks, Timothy, Niagara County Department of Mental Health</t>
  </si>
  <si>
    <t>Laura J. Keleman</t>
  </si>
  <si>
    <t>NCDMH@niagaracounty.com</t>
  </si>
  <si>
    <t>DEEKS TIMOTHY MR.</t>
  </si>
  <si>
    <t>5467 UPPER MOUNTAIN ROAD, SUITE 200</t>
  </si>
  <si>
    <t>Harding, Laura, Niagara County Department of Mental Health</t>
  </si>
  <si>
    <t>HARDING LAURA MRS.</t>
  </si>
  <si>
    <t>Marinello, Erin, Niagara County Department of Mental Health</t>
  </si>
  <si>
    <t>MARINELLO ERIN</t>
  </si>
  <si>
    <t>McKay, Jodi, Niagara County Department of Mental Health</t>
  </si>
  <si>
    <t>MCKAY JODI MRS.</t>
  </si>
  <si>
    <t>Swift, James, Niagara County Department of Mental Health</t>
  </si>
  <si>
    <t>SWIFT JAMES</t>
  </si>
  <si>
    <t>Admoz, Lord, Northpointe Council, Inc.</t>
  </si>
  <si>
    <t>Gina Pfohl</t>
  </si>
  <si>
    <t>gpfohl@northpointecouncil.org</t>
  </si>
  <si>
    <t>800 Main St., Ste. 2A</t>
  </si>
  <si>
    <t>Niagara Falls</t>
  </si>
  <si>
    <t>Artim, Thomas, Northpointe Council, Inc.</t>
  </si>
  <si>
    <t>E0210789</t>
  </si>
  <si>
    <t>ARTIM THOMAS S             MD</t>
  </si>
  <si>
    <t>ARTIM THOMAS MR.</t>
  </si>
  <si>
    <t>Atherinis, Camilla, Northpointe Council, Inc.</t>
  </si>
  <si>
    <t>Auricchio, Lisa, Northpointe Council, Inc.</t>
  </si>
  <si>
    <t>AURICCHIO LISA</t>
  </si>
  <si>
    <t>780 RIDGE RD, BAKER VICTORY SERVICES</t>
  </si>
  <si>
    <t>Bak , Kenneth, Northpointe Council, Inc.</t>
  </si>
  <si>
    <t>Bednarz, Sandra Ann, Northpointe Council, Inc.</t>
  </si>
  <si>
    <t>BEDNARZ SANDRA MRS.</t>
  </si>
  <si>
    <t>41 MAIN ST STE 201</t>
  </si>
  <si>
    <t>COMMUNITY MISSIONS NIAGARA</t>
  </si>
  <si>
    <t>E0156687</t>
  </si>
  <si>
    <t>COMM MISSION NIAGARA FRONTIER</t>
  </si>
  <si>
    <t>ROYN KRUEGER</t>
  </si>
  <si>
    <t>FOCUS/IPRT</t>
  </si>
  <si>
    <t>MARTIN, JARED, PA</t>
  </si>
  <si>
    <t>E0057121</t>
  </si>
  <si>
    <t>MARTIN JARED D RPA</t>
  </si>
  <si>
    <t>(716) 362-9730</t>
  </si>
  <si>
    <t>JMARTIN2@KALEIDAHEALTH.ORG</t>
  </si>
  <si>
    <t>MARTIN JARED MR.</t>
  </si>
  <si>
    <t>3580 SHERIDAN DR</t>
  </si>
  <si>
    <t>GALLAGHER, JACQUELINE, ACNP</t>
  </si>
  <si>
    <t>E0331354</t>
  </si>
  <si>
    <t>GALLAGHER JACQUELINE ANN</t>
  </si>
  <si>
    <t>GALLAGHER, JACQUELINE, ANP, DNP</t>
  </si>
  <si>
    <t>(716) 684-9434</t>
  </si>
  <si>
    <t>JGALLAGHER@KALEIDAHEALTH.ORG</t>
  </si>
  <si>
    <t>GALLAGHER JACQUELINE</t>
  </si>
  <si>
    <t>TUKOV, MAGDALENE, ANPBC</t>
  </si>
  <si>
    <t>E0302700</t>
  </si>
  <si>
    <t>TUKOV MAGDALENE SHUSER</t>
  </si>
  <si>
    <t>TUKOV, MAGDALENE, ANP</t>
  </si>
  <si>
    <t>MTUKOV@KALEIDAHEALTH.ORG</t>
  </si>
  <si>
    <t>TUKOV MAGDALENE MS.</t>
  </si>
  <si>
    <t>BRODERICK, KEENAN,</t>
  </si>
  <si>
    <t>BRODERICK, KEENAN, LMSW</t>
  </si>
  <si>
    <t>BRODERICKK@SHSWNY.ORG</t>
  </si>
  <si>
    <t>BRODERICK KEENAN</t>
  </si>
  <si>
    <t>NOSWORTHY, ELENA,</t>
  </si>
  <si>
    <t>NOSWORTHY,  ELENA, ADMISSION SPECIALIST II</t>
  </si>
  <si>
    <t>NOSWORTHY ELENA MRS.</t>
  </si>
  <si>
    <t>50 DELAWARE AVE, SUITE 400</t>
  </si>
  <si>
    <t>SCHLEMM, LAURA, LPN</t>
  </si>
  <si>
    <t>E0363563</t>
  </si>
  <si>
    <t>SCHLEMM LAURA M</t>
  </si>
  <si>
    <t>SCHLEMML@SHSWNY.ORG</t>
  </si>
  <si>
    <t>SCHLEMM LAURA</t>
  </si>
  <si>
    <t>SZARZANOWICZ, TADDEUS, MD</t>
  </si>
  <si>
    <t>E0079121</t>
  </si>
  <si>
    <t>SZARZANOWICZ THADDEUS E MD</t>
  </si>
  <si>
    <t>SZARZANOWICZ, THADDEUS, MD</t>
  </si>
  <si>
    <t>TSZARZANOWICZ@KALEIDAHEALTH.ORG</t>
  </si>
  <si>
    <t>SZARZANOWICZ TADDEUS DR.</t>
  </si>
  <si>
    <t>BURNS, TERRANCE, MD</t>
  </si>
  <si>
    <t>E0139193</t>
  </si>
  <si>
    <t>BURNS TERRENCE ROBERT MD</t>
  </si>
  <si>
    <t>BURNS, TERRENCE, MD</t>
  </si>
  <si>
    <t>TBURNS@KALEIDAHEALTH.ORG</t>
  </si>
  <si>
    <t>BURNS TERRANCE DR.</t>
  </si>
  <si>
    <t>KALEIDA HLTH MILLARD</t>
  </si>
  <si>
    <t>UNIVERSITY EMERGENCY MEDICAL SERVICES INC.</t>
  </si>
  <si>
    <t>E0126989</t>
  </si>
  <si>
    <t>UNIVERSITY EMERGENCY MED SVCS</t>
  </si>
  <si>
    <t>O BRIEN, MATTHEW, MD</t>
  </si>
  <si>
    <t>E0235233</t>
  </si>
  <si>
    <t>OBRIEN MATTHEW J           MD</t>
  </si>
  <si>
    <t>O'BRIEN, MATTHEW, MD</t>
  </si>
  <si>
    <t>MO'BRIEN2@KALEIDAHEALTH.ORG</t>
  </si>
  <si>
    <t>O BRIEN MATTHEW DR.</t>
  </si>
  <si>
    <t>OBRIEN MATTHEW J MD</t>
  </si>
  <si>
    <t>VUKAS, STEVEN, DMDM</t>
  </si>
  <si>
    <t>E0043714</t>
  </si>
  <si>
    <t>VUKAS STEVEN DMD</t>
  </si>
  <si>
    <t>VUKAS, STEVEN, DMD, MD</t>
  </si>
  <si>
    <t>SVUKAS@KALEIDAHEALTH.ORG</t>
  </si>
  <si>
    <t>VUKAS STEVEN DR.</t>
  </si>
  <si>
    <t>VUKAS STEVEN</t>
  </si>
  <si>
    <t>SFEIR, NORMAN, MD</t>
  </si>
  <si>
    <t>E0210463</t>
  </si>
  <si>
    <t>SFEIR NORMAN JOHN MD</t>
  </si>
  <si>
    <t>(716) 566-1850</t>
  </si>
  <si>
    <t>NSFEIR@KALEIDAHEALTH.ORG</t>
  </si>
  <si>
    <t>SFEIR NORMAN</t>
  </si>
  <si>
    <t>CHUNG, CHARLES, MD</t>
  </si>
  <si>
    <t>E0124376</t>
  </si>
  <si>
    <t>CHUNG CHARLES JIHUN MD</t>
  </si>
  <si>
    <t>CCHUNG@KALEIDAHEALTH.ORG</t>
  </si>
  <si>
    <t>CHUNG CHARLES DR.</t>
  </si>
  <si>
    <t>KRACKOW, KENNETH, MD</t>
  </si>
  <si>
    <t>E0161096</t>
  </si>
  <si>
    <t>KRACKOW KENNETH A MD</t>
  </si>
  <si>
    <t>(716) 859-1256</t>
  </si>
  <si>
    <t>KKRACKOW@KALEIDAHEALTH.ORG</t>
  </si>
  <si>
    <t>KRACKOW KENNETH</t>
  </si>
  <si>
    <t>BUFFALO G H ORTH DEP</t>
  </si>
  <si>
    <t>YASIN, GHOUS, MD</t>
  </si>
  <si>
    <t>E0107253</t>
  </si>
  <si>
    <t>YASIN GHOUS A MD</t>
  </si>
  <si>
    <t>YASIN, GHOUS, MBBS</t>
  </si>
  <si>
    <t>(716) 690-2291</t>
  </si>
  <si>
    <t>GYASIN@KALEIDAHEALTH.ORG</t>
  </si>
  <si>
    <t>YASIN GHOUS DR.</t>
  </si>
  <si>
    <t>PATEL, JANKI, MD</t>
  </si>
  <si>
    <t>E0352795</t>
  </si>
  <si>
    <t>PATEL JANKI ASHOK</t>
  </si>
  <si>
    <t>PATEL JANKI</t>
  </si>
  <si>
    <t>WARD, CARRIE, MS</t>
  </si>
  <si>
    <t>WARD,  CARRIE, SR COUNSELOR QHP</t>
  </si>
  <si>
    <t>(716) 834-6401</t>
  </si>
  <si>
    <t>WARD CARRIE MISS</t>
  </si>
  <si>
    <t>MATA, BRIAN, MD</t>
  </si>
  <si>
    <t>E0352037</t>
  </si>
  <si>
    <t>MATA BRIAN</t>
  </si>
  <si>
    <t>MATA BRIAN DR.</t>
  </si>
  <si>
    <t>HUANG, MIRIAM, MD</t>
  </si>
  <si>
    <t>E0339170</t>
  </si>
  <si>
    <t>HUANG MIRIAM</t>
  </si>
  <si>
    <t>MHUANG@KALEIDAHEALTH.ORG</t>
  </si>
  <si>
    <t>VOHWINKEL, STACY,</t>
  </si>
  <si>
    <t>E0317634</t>
  </si>
  <si>
    <t>VOHWINKEL STACY ANN</t>
  </si>
  <si>
    <t>VOHWINKEL, STACY, PA</t>
  </si>
  <si>
    <t>(716) 400-9577</t>
  </si>
  <si>
    <t>SVOHWINKEL@KALEIDAHEALTH.ORG</t>
  </si>
  <si>
    <t>VOHWINKEL STACY</t>
  </si>
  <si>
    <t>HASELEY, LAURA, LMSW</t>
  </si>
  <si>
    <t>(716) 304-6066</t>
  </si>
  <si>
    <t>LAURA.HASELEY@NIAGARACOUNTY.COM</t>
  </si>
  <si>
    <t>HASELEY LAURA MS.</t>
  </si>
  <si>
    <t>Mas, Eddie, Center for Ambulatroy Surgery Inc</t>
  </si>
  <si>
    <t>E0166768</t>
  </si>
  <si>
    <t>MAS EDDIE MD</t>
  </si>
  <si>
    <t>Michael T. Grant</t>
  </si>
  <si>
    <t>(716) 677-4421</t>
  </si>
  <si>
    <t>tjfaith@ascbuffalo.com</t>
  </si>
  <si>
    <t>MAS EDDIE DR.</t>
  </si>
  <si>
    <t>172 SLADE AVE</t>
  </si>
  <si>
    <t>Michael Grant, President/CEO, Center for Ambulatroy Surgery Inc</t>
  </si>
  <si>
    <t>E0081753</t>
  </si>
  <si>
    <t>CENTER FOR AMBULATORY SURGERY</t>
  </si>
  <si>
    <t>(716) 677-4422</t>
  </si>
  <si>
    <t>CENTER FOR AMBULATORY SURGERY LLC</t>
  </si>
  <si>
    <t>Moore, George, Center for Ambulatroy Surgery Inc</t>
  </si>
  <si>
    <t>E0236193</t>
  </si>
  <si>
    <t>MOORE GEORGE BARRY MD</t>
  </si>
  <si>
    <t>(716) 677-4423</t>
  </si>
  <si>
    <t>MOORE GEORGE</t>
  </si>
  <si>
    <t>5811 S PARK AVE</t>
  </si>
  <si>
    <t>Myers, David, Center for Ambulatroy Surgery Inc</t>
  </si>
  <si>
    <t>E0177664</t>
  </si>
  <si>
    <t>MYERS DAVID P  MD</t>
  </si>
  <si>
    <t>(716) 677-4424</t>
  </si>
  <si>
    <t>MYERS DAVID DR.</t>
  </si>
  <si>
    <t>Napieralski, Alyssa, Center for Ambulatroy Surgery Inc</t>
  </si>
  <si>
    <t>(716) 677-4425</t>
  </si>
  <si>
    <t>550 Orchard Park Rd</t>
  </si>
  <si>
    <t>Penn, Howard, Center for Ambulatroy Surgery Inc</t>
  </si>
  <si>
    <t>E0164627</t>
  </si>
  <si>
    <t>PENN HOWARD ARON DPM</t>
  </si>
  <si>
    <t>(716) 677-4426</t>
  </si>
  <si>
    <t>PENN HOWARD</t>
  </si>
  <si>
    <t>PENN HOWARD ARON</t>
  </si>
  <si>
    <t>1271 RIDGE RD</t>
  </si>
  <si>
    <t>PAWKETT, MICHELLE,</t>
  </si>
  <si>
    <t>PAWKETT,  MICHELLE, SR COUNSELOR LICENSED</t>
  </si>
  <si>
    <t>PAWKETT MICHELLE</t>
  </si>
  <si>
    <t>PARENTE, JULIE,</t>
  </si>
  <si>
    <t>E0369221</t>
  </si>
  <si>
    <t>PARENTE JULIANNE</t>
  </si>
  <si>
    <t>NAPOR JULIANNE MRS.</t>
  </si>
  <si>
    <t>NAPOR JULIANNE</t>
  </si>
  <si>
    <t>3950 EAST ROBINSON R</t>
  </si>
  <si>
    <t>Ashley Sajdak, PA</t>
  </si>
  <si>
    <t>E0352092</t>
  </si>
  <si>
    <t>SAJDAK ASHLEY A</t>
  </si>
  <si>
    <t>SAJDAK ASHLEY</t>
  </si>
  <si>
    <t>SANDS, MARK, MD</t>
  </si>
  <si>
    <t>E0189140</t>
  </si>
  <si>
    <t>SANDS MARK F MD</t>
  </si>
  <si>
    <t>MSANDS@KALEIDAHEALTH.ORG</t>
  </si>
  <si>
    <t>SANDS MARK DR.</t>
  </si>
  <si>
    <t>MORRISON, KATHARINE, MD</t>
  </si>
  <si>
    <t>E0191091</t>
  </si>
  <si>
    <t>MORRISON KATHARINE V MD</t>
  </si>
  <si>
    <t>(716) 835-2510</t>
  </si>
  <si>
    <t>KMORRISON@KALEIDAHEALTH.ORG</t>
  </si>
  <si>
    <t>MORRISON KATHARINE MS.</t>
  </si>
  <si>
    <t>WOLIN, RICHARD, MD</t>
  </si>
  <si>
    <t>E0128484</t>
  </si>
  <si>
    <t>WOLIN RICHARD ELLIOT MD</t>
  </si>
  <si>
    <t>WOLIN,  RICHARD , PSYCHIATRIST</t>
  </si>
  <si>
    <t>WOLIN RICHARD DR.</t>
  </si>
  <si>
    <t>REGENBOGEN, VICTOR, MD</t>
  </si>
  <si>
    <t>E0195422</t>
  </si>
  <si>
    <t>REGENBOGEN VICTOR S        MD</t>
  </si>
  <si>
    <t>VREGENBOGEN@KALEIDAHEALTH.ORG</t>
  </si>
  <si>
    <t>REGENBOGEN VICTOR DR.</t>
  </si>
  <si>
    <t>REGENBOGEN VICTOR S MD</t>
  </si>
  <si>
    <t>STACK, CATHERINE, CNM</t>
  </si>
  <si>
    <t>E0057044</t>
  </si>
  <si>
    <t>STACK CATHERINE C</t>
  </si>
  <si>
    <t>(716) 745-7357</t>
  </si>
  <si>
    <t>CSTACK@KALEIDAHEALTH.ORG</t>
  </si>
  <si>
    <t>STACK CATHERINE MRS.</t>
  </si>
  <si>
    <t>SERGHANY JOSEPH</t>
  </si>
  <si>
    <t>E0137509</t>
  </si>
  <si>
    <t>SERGHANY JOSEPH EMILE MD</t>
  </si>
  <si>
    <t>E0251988</t>
  </si>
  <si>
    <t>SCHOFIELD RESIDENCE</t>
  </si>
  <si>
    <t>3333 ELMWOOD AVE</t>
  </si>
  <si>
    <t>PIECHOWSKI, DENISE, PNP</t>
  </si>
  <si>
    <t>E0057094</t>
  </si>
  <si>
    <t>PIECHOWSKI DENISE M</t>
  </si>
  <si>
    <t>(716) 693-2104</t>
  </si>
  <si>
    <t>DPIECHOWSKI@KALEIDAHEALTH.ORG</t>
  </si>
  <si>
    <t>PIECHOWSKI DENISE MRS.</t>
  </si>
  <si>
    <t>ANDERS, MARK, MD</t>
  </si>
  <si>
    <t>E0184799</t>
  </si>
  <si>
    <t>ANDERS MARK JEFFREY MD</t>
  </si>
  <si>
    <t>MANDERS@KALEIDAHEALTH.ORG</t>
  </si>
  <si>
    <t>ANDERS MARK</t>
  </si>
  <si>
    <t>CRUZ, LOURDES, MD</t>
  </si>
  <si>
    <t>E0204580</t>
  </si>
  <si>
    <t>CRUZ LOURDES F             MD</t>
  </si>
  <si>
    <t>(716) 832-3111</t>
  </si>
  <si>
    <t>LCRUZ@KALEIDAHEALTH.ORG</t>
  </si>
  <si>
    <t>CRUZ LOURDES DR.</t>
  </si>
  <si>
    <t>CRUZ LOURDES F MD</t>
  </si>
  <si>
    <t>71 KENMORE AVE</t>
  </si>
  <si>
    <t>SIAW, PATRICK, MD</t>
  </si>
  <si>
    <t>E0111439</t>
  </si>
  <si>
    <t>SIAW PATRICK A MD</t>
  </si>
  <si>
    <t>SIAW, PATRICK, MBBS</t>
  </si>
  <si>
    <t>(716) 862-1984</t>
  </si>
  <si>
    <t>PSIAW@KALEIDAHEALTH.ORG</t>
  </si>
  <si>
    <t>SIAW PATRICK</t>
  </si>
  <si>
    <t>DELAWARE HEIGHTS</t>
  </si>
  <si>
    <t>BALLUZ, RULA, MD</t>
  </si>
  <si>
    <t>E0020587</t>
  </si>
  <si>
    <t>BALLUZ RULA</t>
  </si>
  <si>
    <t>BALLUZ , RULA, MD</t>
  </si>
  <si>
    <t>(215) 427-4816</t>
  </si>
  <si>
    <t>RBALLUZ@UPA.CHOB.EDU</t>
  </si>
  <si>
    <t>BALLUZ RULA DR.</t>
  </si>
  <si>
    <t>BALLUZ RULA SALIM</t>
  </si>
  <si>
    <t>3601 A ST SCPA HEART CENTER</t>
  </si>
  <si>
    <t>RAGHU, BELLAMKONDA, MD</t>
  </si>
  <si>
    <t>E0115717</t>
  </si>
  <si>
    <t>RAGHU BELLAMKOND SUNDARA V MD</t>
  </si>
  <si>
    <t>(716) 839-0500</t>
  </si>
  <si>
    <t>BRAGHU@KALEIDAHEALTH.ORG</t>
  </si>
  <si>
    <t>RAGHU BELLAMKONDA</t>
  </si>
  <si>
    <t>NIAGARA REHAB NH</t>
  </si>
  <si>
    <t>DIMITROFF, GRACE, MD</t>
  </si>
  <si>
    <t>E0156397</t>
  </si>
  <si>
    <t>DIMITROFF GRACE D MD</t>
  </si>
  <si>
    <t>(716) 536-4216</t>
  </si>
  <si>
    <t>GDIMITROFF@KALEIDAHEALTH.ORG</t>
  </si>
  <si>
    <t>DIMITROFF GRACE DR.</t>
  </si>
  <si>
    <t>PASSMORE, NATALIE, ANP</t>
  </si>
  <si>
    <t>E0035015</t>
  </si>
  <si>
    <t>PASSMORE NATALIE ANN</t>
  </si>
  <si>
    <t>NPASSMORE@KALEIDAHEALTH.ORG</t>
  </si>
  <si>
    <t>PASSMORE NATALIE</t>
  </si>
  <si>
    <t>3682 SOUTHWESTERN BLVD</t>
  </si>
  <si>
    <t>E0153468</t>
  </si>
  <si>
    <t>ELMWOOD HEALTH CENTER</t>
  </si>
  <si>
    <t>FRANK AZZARELLI</t>
  </si>
  <si>
    <t>FAZZARELLI@PEOPLE-INC.ORG</t>
  </si>
  <si>
    <t>HOGAN, HARRIETTE, MD</t>
  </si>
  <si>
    <t>E0160092</t>
  </si>
  <si>
    <t>HOGAN HARRIETTE F</t>
  </si>
  <si>
    <t>HHOGAN@KALEIDAHEALTH.ORG</t>
  </si>
  <si>
    <t>HOGAN HARRIETTE MRS.</t>
  </si>
  <si>
    <t>ZIONTS, MICHAEL, MD</t>
  </si>
  <si>
    <t>E0082052</t>
  </si>
  <si>
    <t>ZIONTS MICHAEL EVAN MD</t>
  </si>
  <si>
    <t>MZIONTS@KALEIDAHEALTH.ORG</t>
  </si>
  <si>
    <t>ZIONTS MICHAEL</t>
  </si>
  <si>
    <t>BITTLES, MARK, MD</t>
  </si>
  <si>
    <t>MBITTLES@KALEIDAHEALTH.ORG</t>
  </si>
  <si>
    <t>BITTLES MARK DR.</t>
  </si>
  <si>
    <t>501 6TH AVE S</t>
  </si>
  <si>
    <t>ST PETERSBURG</t>
  </si>
  <si>
    <t>E0241419</t>
  </si>
  <si>
    <t>TLC HLTH NETWORK LAKE SHORE S</t>
  </si>
  <si>
    <t>TLC HLTH NETWORK LAKE SHORE HOSP NR</t>
  </si>
  <si>
    <t>ADMINISTRATOR</t>
  </si>
  <si>
    <t>GOLUBSKI, JULIE,</t>
  </si>
  <si>
    <t>E0119614</t>
  </si>
  <si>
    <t>GOLUBSKI JULIE ANN</t>
  </si>
  <si>
    <t>GOLUBSKI, JULIE, NP</t>
  </si>
  <si>
    <t>GOLUBSKI JULIE</t>
  </si>
  <si>
    <t>5290 MILITARY RD</t>
  </si>
  <si>
    <t>E0251917</t>
  </si>
  <si>
    <t>BUFFALO                    PC</t>
  </si>
  <si>
    <t># 12/19/87</t>
  </si>
  <si>
    <t>DRABIK, CHERYL, PNP</t>
  </si>
  <si>
    <t>E0067744</t>
  </si>
  <si>
    <t>DRABIK CHERYL</t>
  </si>
  <si>
    <t>DRABIK,  CHERYL    , NP</t>
  </si>
  <si>
    <t>CDRABIK@UPA.CHOB.EDU</t>
  </si>
  <si>
    <t>MILLER, BRUCE, MD</t>
  </si>
  <si>
    <t>E0174619</t>
  </si>
  <si>
    <t>MILLER BRUCE D MD</t>
  </si>
  <si>
    <t>(585) 742-2444</t>
  </si>
  <si>
    <t>BMILLER3@KALEIDAHEALTH.ORG</t>
  </si>
  <si>
    <t>MILLER BRUCE</t>
  </si>
  <si>
    <t>KARKUT, CHRISTOPHER,</t>
  </si>
  <si>
    <t>E0343876</t>
  </si>
  <si>
    <t>KARKUT CHRISTOPHER JOHN</t>
  </si>
  <si>
    <t>KARKUT CHRISTOPHER DR.</t>
  </si>
  <si>
    <t>Hayes, Sarah, Erie Chapter NYSARC Inc bda Heritage Centers</t>
  </si>
  <si>
    <t>William L. McHugh</t>
  </si>
  <si>
    <t>(716) 856-4201</t>
  </si>
  <si>
    <t>wmchugh@heritagecenters.org</t>
  </si>
  <si>
    <t>HAYES SARAH MRS.</t>
  </si>
  <si>
    <t>60 RUSSELL ST</t>
  </si>
  <si>
    <t>Boarman, Shondra, Northpointe Council, Inc.</t>
  </si>
  <si>
    <t>Campanella, Mary Ann, Northpointe Council, Inc.</t>
  </si>
  <si>
    <t>Clare, Carrie, Northpointe Council, Inc.</t>
  </si>
  <si>
    <t>E0338413</t>
  </si>
  <si>
    <t>NEW VISION SERVICES INC NHTD</t>
  </si>
  <si>
    <t>92 FAIRMOUNT AVE</t>
  </si>
  <si>
    <t>ASPIRE OF WNY ICS</t>
  </si>
  <si>
    <t>E0346215</t>
  </si>
  <si>
    <t>COMMUNITY SERVICES FOR THE DD FSR 1</t>
  </si>
  <si>
    <t>E0346210</t>
  </si>
  <si>
    <t>52 DIXON DR</t>
  </si>
  <si>
    <t>RIVERSHORE ICS</t>
  </si>
  <si>
    <t>E0351202</t>
  </si>
  <si>
    <t>765 CAYUGA ST</t>
  </si>
  <si>
    <t>RESOURCE CENTER CHAUTAUQUA ARC ICS</t>
  </si>
  <si>
    <t>E0360232</t>
  </si>
  <si>
    <t>(716) 483-2344</t>
  </si>
  <si>
    <t>LORIGO, RAYMOND, LMSW</t>
  </si>
  <si>
    <t>LORIGO RAYMOND MR.</t>
  </si>
  <si>
    <t>SHEA, LISA, FNP</t>
  </si>
  <si>
    <t>E0310455</t>
  </si>
  <si>
    <t>FITTING LISA NICOLE</t>
  </si>
  <si>
    <t>(716) 859-7814</t>
  </si>
  <si>
    <t>LSHEA@KALEIDAHEALTH.ORG</t>
  </si>
  <si>
    <t>SHEA LISA MRS.</t>
  </si>
  <si>
    <t>SHEA LISA NICOLE</t>
  </si>
  <si>
    <t>HUGHES SHARON</t>
  </si>
  <si>
    <t>E0364120</t>
  </si>
  <si>
    <t>HUGHES SHARON B.</t>
  </si>
  <si>
    <t>DYMOND, MELISSA, DO</t>
  </si>
  <si>
    <t>E0290530</t>
  </si>
  <si>
    <t>DYMOND MELISSA</t>
  </si>
  <si>
    <t>MDYMOND@KALEIDAHEALTH.ORG</t>
  </si>
  <si>
    <t>80TH ST AND 41ST AVE</t>
  </si>
  <si>
    <t>LIU, CICI, MD</t>
  </si>
  <si>
    <t>E0383308</t>
  </si>
  <si>
    <t>LIU CICI</t>
  </si>
  <si>
    <t>(585) 200-7673</t>
  </si>
  <si>
    <t>CLIU@KALEIDAHEALTH.ORG</t>
  </si>
  <si>
    <t>SNYDER, KENNETH, MDPHD</t>
  </si>
  <si>
    <t>E0317547</t>
  </si>
  <si>
    <t>SNYDER KENNETH V MD</t>
  </si>
  <si>
    <t>SNYDER, KENNETH, MD</t>
  </si>
  <si>
    <t>KSNYDER3@KALEIDAHEALTH.ORG</t>
  </si>
  <si>
    <t>SNYDER KENNETH DR.</t>
  </si>
  <si>
    <t>HEYDEN, AMY, RNMSAN</t>
  </si>
  <si>
    <t>E0303747</t>
  </si>
  <si>
    <t>HEYDEN AMY L</t>
  </si>
  <si>
    <t>HEYDEN AMY</t>
  </si>
  <si>
    <t>3775 SENECA ST</t>
  </si>
  <si>
    <t>CHMIELOWIEC, KAITLYN, LMSW</t>
  </si>
  <si>
    <t>CHMIELOWIECK@SHSWNY.ORG</t>
  </si>
  <si>
    <t>CHMIELOWIEC KAITLYN</t>
  </si>
  <si>
    <t>ADAMS, LINDSAY, FNP</t>
  </si>
  <si>
    <t>E0343007</t>
  </si>
  <si>
    <t>BURGLER LINDSAY MARIE</t>
  </si>
  <si>
    <t>(716) 433-5393</t>
  </si>
  <si>
    <t>LADAMS2@KALEIDAHEALTH.ORG</t>
  </si>
  <si>
    <t>ADAMS LINDSAY MRS.</t>
  </si>
  <si>
    <t>ADAMS LINDSAY MARIE</t>
  </si>
  <si>
    <t>KIBLER, ASHLEY, PA</t>
  </si>
  <si>
    <t>E0339317</t>
  </si>
  <si>
    <t>KIBLER ASHLEY MARIE</t>
  </si>
  <si>
    <t>AKIBLER@KALEIDAHEALTH.ORG</t>
  </si>
  <si>
    <t>BROWN ASHLEY</t>
  </si>
  <si>
    <t>BROWN ASHLEY MARIE</t>
  </si>
  <si>
    <t>KURTZ, MEGHAN, RPAC</t>
  </si>
  <si>
    <t>E0334573</t>
  </si>
  <si>
    <t>MEGHAN JOAN KURTZ</t>
  </si>
  <si>
    <t>KURTZ, MEGHAN, PA</t>
  </si>
  <si>
    <t>MKURTZ@KALEIDAHEALTH.ORG</t>
  </si>
  <si>
    <t>KURTZ MEGHAN</t>
  </si>
  <si>
    <t>KURTZ MEGHAN JOAN</t>
  </si>
  <si>
    <t>SNODGRASS, DARRESS, CRNA</t>
  </si>
  <si>
    <t>DSNODGRASS@KALEIDAHEALTH.ORG</t>
  </si>
  <si>
    <t>SNODGRASS DARRESS</t>
  </si>
  <si>
    <t>THROM, SUZANNE, CASAC</t>
  </si>
  <si>
    <t>THROM SUZANNE</t>
  </si>
  <si>
    <t>BUTSKI, CRYSTAL, FNP</t>
  </si>
  <si>
    <t>E0359329</t>
  </si>
  <si>
    <t>BUTSKI CRYSTAL M</t>
  </si>
  <si>
    <t>CBUTSKI@KALEIDAHEALTH.ORG</t>
  </si>
  <si>
    <t>BUTSKI CRYSTAL</t>
  </si>
  <si>
    <t>ALMYROUDIS, NIKOLAOS, MD</t>
  </si>
  <si>
    <t>E0043713</t>
  </si>
  <si>
    <t>ALMYROUDIS NIKOLAOS MD</t>
  </si>
  <si>
    <t>NALMYROUDIS@KALEIDAHEALTH.ORG</t>
  </si>
  <si>
    <t>ALMYROUDIS NIKOLAOS</t>
  </si>
  <si>
    <t>THE DALE ASSOCIATION, INC.</t>
  </si>
  <si>
    <t>E0235834</t>
  </si>
  <si>
    <t>DALE ASSOCIATION,INC THE</t>
  </si>
  <si>
    <t>MAUREEN A. WENDT</t>
  </si>
  <si>
    <t>(716) 433-4440</t>
  </si>
  <si>
    <t>MAUREEN.WENDT@DALEASSOCIATION.COM</t>
  </si>
  <si>
    <t>624 RIVER RD STE 6, 8</t>
  </si>
  <si>
    <t>KAMISETTI, DHANANJAYA, MD</t>
  </si>
  <si>
    <t>E0202174</t>
  </si>
  <si>
    <t>KAMISETTI DHANANJAYA MD</t>
  </si>
  <si>
    <t>DKAMISETTI@KALEIDAHEALTH.ORG</t>
  </si>
  <si>
    <t>KAMISETTI DHANANJAYA DR.</t>
  </si>
  <si>
    <t>MaryBeth Earl, NP</t>
  </si>
  <si>
    <t>E0032764</t>
  </si>
  <si>
    <t>EARL MARY E</t>
  </si>
  <si>
    <t>EARL MARY MRS.</t>
  </si>
  <si>
    <t>SLATER, MICHAEL, DO</t>
  </si>
  <si>
    <t>E0024934</t>
  </si>
  <si>
    <t>SLATER MICHAEL D DO</t>
  </si>
  <si>
    <t>(716) 881-2170</t>
  </si>
  <si>
    <t>MSLATER@KALEIDAHEALTH.ORG</t>
  </si>
  <si>
    <t>SLATER MICHAEL</t>
  </si>
  <si>
    <t>91 GRANT ST</t>
  </si>
  <si>
    <t>LOFTUS, RANDALL, MD</t>
  </si>
  <si>
    <t>E0112926</t>
  </si>
  <si>
    <t>LOFTUS RANDALL J MD</t>
  </si>
  <si>
    <t>LOFTUS RANDALL DR.</t>
  </si>
  <si>
    <t>UNIV RAD @ ECMC</t>
  </si>
  <si>
    <t>HARTNETT, CHRISTINE, PA</t>
  </si>
  <si>
    <t>E0065490</t>
  </si>
  <si>
    <t>HARTNETT CHRISTINE MARIE</t>
  </si>
  <si>
    <t>HARTNETT, CHRISTINE, PA-C</t>
  </si>
  <si>
    <t>(716) 332-2121</t>
  </si>
  <si>
    <t>CHARTNETT@KALEIDAHEALTH.ORG</t>
  </si>
  <si>
    <t>HARTNETT CHRISTINE</t>
  </si>
  <si>
    <t>640 ELLICOTT ST STE 105</t>
  </si>
  <si>
    <t>NOVOTNY, MARGARET, MD</t>
  </si>
  <si>
    <t>E0141378</t>
  </si>
  <si>
    <t>NOVOTNY MARGARET MD</t>
  </si>
  <si>
    <t>MNOVOTNY@KALEIDAHEALTH.ORG</t>
  </si>
  <si>
    <t>NOVOTNY MARGARET DR.</t>
  </si>
  <si>
    <t>MERAS, LARISA, MD</t>
  </si>
  <si>
    <t>E0133510</t>
  </si>
  <si>
    <t>MERAS LARISA MD</t>
  </si>
  <si>
    <t>LMERASMD@YAHOO.COM</t>
  </si>
  <si>
    <t>MERAS LARISA</t>
  </si>
  <si>
    <t>BEECHWOOD NRSING HOM</t>
  </si>
  <si>
    <t>Peterson, Andrew, Center for Ambulatroy Surgery Inc</t>
  </si>
  <si>
    <t>E0296115</t>
  </si>
  <si>
    <t>PETERSON ANDREW CRAIG</t>
  </si>
  <si>
    <t>(716) 677-4427</t>
  </si>
  <si>
    <t>PETERSON ANDREW MR.</t>
  </si>
  <si>
    <t>Plotkin, Scott, Center for Ambulatroy Surgery Inc</t>
  </si>
  <si>
    <t>E0181076</t>
  </si>
  <si>
    <t>PLOTKIN SCOTT N  MD</t>
  </si>
  <si>
    <t>(716) 677-4428</t>
  </si>
  <si>
    <t>PLOTKIN SCOTT DR.</t>
  </si>
  <si>
    <t>PO BOX 67</t>
  </si>
  <si>
    <t>Previglian, Tonya, Center for Ambulatroy Surgery Inc</t>
  </si>
  <si>
    <t>(716) 677-4429</t>
  </si>
  <si>
    <t>PREVIGLIAN TONYA</t>
  </si>
  <si>
    <t>4185 SENECA ST, SUITE 11</t>
  </si>
  <si>
    <t>Pula, David, Center for Ambulatroy Surgery Inc</t>
  </si>
  <si>
    <t>(716) 677-4430</t>
  </si>
  <si>
    <t>DAVID PULA MD PC</t>
  </si>
  <si>
    <t>3673 SOUTHWESTERN BLVD</t>
  </si>
  <si>
    <t>Radolinski, Adam, Center for Ambulatroy Surgery Inc</t>
  </si>
  <si>
    <t>E0209928</t>
  </si>
  <si>
    <t>RADOLINSKI ADAM MD</t>
  </si>
  <si>
    <t>(716) 677-4431</t>
  </si>
  <si>
    <t>RADOLINSKI ADAM DR.</t>
  </si>
  <si>
    <t>Reed, Karen , Center for Ambulatroy Surgery Inc</t>
  </si>
  <si>
    <t>E0141345</t>
  </si>
  <si>
    <t>ASSOC ANES FINGER LAKES LLP</t>
  </si>
  <si>
    <t>(716) 677-4432</t>
  </si>
  <si>
    <t>ASSOCIATED ANESTHESIOLOGISTS OF THE FINGER LAKES, L.L.P.</t>
  </si>
  <si>
    <t>Resetarits, Christopher, Center for Ambulatroy Surgery Inc</t>
  </si>
  <si>
    <t>(716) 677-4433</t>
  </si>
  <si>
    <t>Robillard, Kevin, Center for Ambulatroy Surgery Inc</t>
  </si>
  <si>
    <t>E0036299</t>
  </si>
  <si>
    <t>ROBILLARD  KEVIN MD</t>
  </si>
  <si>
    <t>(716) 677-4434</t>
  </si>
  <si>
    <t>ROBILLARD KEVIN DR.</t>
  </si>
  <si>
    <t>260 RED TAIL LN</t>
  </si>
  <si>
    <t>Sands Jr, Robert, Center for Ambulatroy Surgery Inc</t>
  </si>
  <si>
    <t>E0143571</t>
  </si>
  <si>
    <t>SANDS ROBERT P JR MD</t>
  </si>
  <si>
    <t>(716) 677-4435</t>
  </si>
  <si>
    <t>SANDS ROBERT DR.</t>
  </si>
  <si>
    <t>Sansano Jr, Michael, Center for Ambulatroy Surgery Inc</t>
  </si>
  <si>
    <t>E0185892</t>
  </si>
  <si>
    <t>SANSANO MICHAEL JR MD</t>
  </si>
  <si>
    <t>(716) 677-4436</t>
  </si>
  <si>
    <t>SANSANO MICHAEL DR.</t>
  </si>
  <si>
    <t>MILLARD FILLMORE CLI</t>
  </si>
  <si>
    <t>Scarbinsky, Aislinn, Center for Ambulatroy Surgery Inc</t>
  </si>
  <si>
    <t>E0353500</t>
  </si>
  <si>
    <t>SCARBINSKY AISLINN MARIE</t>
  </si>
  <si>
    <t>(716) 677-4437</t>
  </si>
  <si>
    <t>SCARBINSKY AISLINN DR.</t>
  </si>
  <si>
    <t>310 STERLING DR STE 105</t>
  </si>
  <si>
    <t>Schaus, Benjamin, Center for Ambulatroy Surgery Inc</t>
  </si>
  <si>
    <t>E0321950</t>
  </si>
  <si>
    <t>SCHAUS BENJAMIN</t>
  </si>
  <si>
    <t>(716) 677-4438</t>
  </si>
  <si>
    <t>Seaner, Lauren, Center for Ambulatroy Surgery Inc</t>
  </si>
  <si>
    <t>(716) 677-4439</t>
  </si>
  <si>
    <t>SEANER LAUREN MS.</t>
  </si>
  <si>
    <t>550 ORCHARD PARK RD, SUITE 101B</t>
  </si>
  <si>
    <t>Shapiro, David, Center for Ambulatroy Surgery Inc</t>
  </si>
  <si>
    <t>E0080919</t>
  </si>
  <si>
    <t>SHAPIRO DAVID I MD</t>
  </si>
  <si>
    <t>(716) 677-4440</t>
  </si>
  <si>
    <t>SHAPIRO DAVID DR.</t>
  </si>
  <si>
    <t>DEPT OF ANESTHESIA</t>
  </si>
  <si>
    <t>Smith, Beth Ann, Center for Ambulatroy Surgery Inc</t>
  </si>
  <si>
    <t>E0033889</t>
  </si>
  <si>
    <t>SMITH BETH ALISON MD</t>
  </si>
  <si>
    <t>(716) 677-4441</t>
  </si>
  <si>
    <t>SMITH BETH</t>
  </si>
  <si>
    <t>Smith, Tina, Center for Ambulatroy Surgery Inc</t>
  </si>
  <si>
    <t>E0109079</t>
  </si>
  <si>
    <t>SMITH TINA MARIE</t>
  </si>
  <si>
    <t>(716) 677-4442</t>
  </si>
  <si>
    <t>SMITH TINA MS.</t>
  </si>
  <si>
    <t>4363 AMBOY RD</t>
  </si>
  <si>
    <t>Sohal, Kunwardeep, Center for Ambulatroy Surgery Inc</t>
  </si>
  <si>
    <t>E0362222</t>
  </si>
  <si>
    <t>SOHAL KUNWARDEEP</t>
  </si>
  <si>
    <t>(716) 677-4443</t>
  </si>
  <si>
    <t>260 RED TAIL RD</t>
  </si>
  <si>
    <t>St Marie, Mark, Center for Ambulatroy Surgery Inc</t>
  </si>
  <si>
    <t>E0221718</t>
  </si>
  <si>
    <t>ST MARIE MARK S            MD</t>
  </si>
  <si>
    <t>(716) 677-4444</t>
  </si>
  <si>
    <t>ST. MARIE MARK</t>
  </si>
  <si>
    <t>ST MARIE MARK S</t>
  </si>
  <si>
    <t>Steinig, Jeffrey, Center for Ambulatroy Surgery Inc</t>
  </si>
  <si>
    <t>E0143850</t>
  </si>
  <si>
    <t>STEINIG JEFFREY PAUL MD</t>
  </si>
  <si>
    <t>(716) 677-4445</t>
  </si>
  <si>
    <t>STEINIG JEFFREY DR.</t>
  </si>
  <si>
    <t>JEFFREY PAUL MD</t>
  </si>
  <si>
    <t>Syed, Masroor, Center for Ambulatroy Surgery Inc</t>
  </si>
  <si>
    <t>E0089488</t>
  </si>
  <si>
    <t>SYED MASROOR AHMED MD</t>
  </si>
  <si>
    <t>(716) 677-4446</t>
  </si>
  <si>
    <t>SYED MASROOR DR.</t>
  </si>
  <si>
    <t>WNY PERI OPERATIVE C</t>
  </si>
  <si>
    <t>Tiberia, Nicholas, Center for Ambulatroy Surgery Inc</t>
  </si>
  <si>
    <t>E0225429</t>
  </si>
  <si>
    <t>TIBERIA NICHOLAS DPM</t>
  </si>
  <si>
    <t>(716) 677-4447</t>
  </si>
  <si>
    <t>TIBERIA NICHOLAS DR.</t>
  </si>
  <si>
    <t>TIBERIA NICHOLAS</t>
  </si>
  <si>
    <t>3085 SOUTHWESTERN BLVD STE 203</t>
  </si>
  <si>
    <t>Troy, Amy, Center for Ambulatroy Surgery Inc</t>
  </si>
  <si>
    <t>(716) 677-4448</t>
  </si>
  <si>
    <t>TROY AMY MS.</t>
  </si>
  <si>
    <t>Wacker, Timothy, Center for Ambulatroy Surgery Inc</t>
  </si>
  <si>
    <t>E0177930</t>
  </si>
  <si>
    <t>WACKER TIMOTHY R MD</t>
  </si>
  <si>
    <t>(716) 677-4449</t>
  </si>
  <si>
    <t>WACKER TIMOTHY DR.</t>
  </si>
  <si>
    <t>WACKER TIMOTHY ROBERT</t>
  </si>
  <si>
    <t>Wood , Michael, Center for Ambulatroy Surgery Inc</t>
  </si>
  <si>
    <t>E0175859</t>
  </si>
  <si>
    <t>WOOD MICHAEL W MD</t>
  </si>
  <si>
    <t>(716) 677-4450</t>
  </si>
  <si>
    <t>WOOD MICHAEL DR.</t>
  </si>
  <si>
    <t>Zaiter, Marie-Eve, Center for Ambulatroy Surgery Inc</t>
  </si>
  <si>
    <t>E0428447</t>
  </si>
  <si>
    <t>SIMON MARIE</t>
  </si>
  <si>
    <t>(716) 677-4451</t>
  </si>
  <si>
    <t>Zhan, Su, Center for Ambulatroy Surgery Inc</t>
  </si>
  <si>
    <t>E0294761</t>
  </si>
  <si>
    <t>ZHAN SU</t>
  </si>
  <si>
    <t>(716) 677-4452</t>
  </si>
  <si>
    <t xml:space="preserve">Sacks, Andrew, Center for Ambulatroy Surgery Inc </t>
  </si>
  <si>
    <t>E0195595</t>
  </si>
  <si>
    <t>SACKS ANDREW               MD</t>
  </si>
  <si>
    <t>(716) 677-4453</t>
  </si>
  <si>
    <t>SACKS ANDREW DR.</t>
  </si>
  <si>
    <t>BFLO GEN HOSPITAL</t>
  </si>
  <si>
    <t>Ash, Adam, Center for Remote Medical Management</t>
  </si>
  <si>
    <t>Dr. Alexander Ross Chiu MD</t>
  </si>
  <si>
    <t>45 East Main Street, Suite 7</t>
  </si>
  <si>
    <t>East Islsp</t>
  </si>
  <si>
    <t>Desal, Vikas, Center for Remote Medical Management</t>
  </si>
  <si>
    <t>(510) 912-3637</t>
  </si>
  <si>
    <t>Hassan, Joseph, Center for Remote Medical Management</t>
  </si>
  <si>
    <t>E0308610</t>
  </si>
  <si>
    <t>HASSAN JOSEPH GEORGE</t>
  </si>
  <si>
    <t>(510) 912-3638</t>
  </si>
  <si>
    <t>HASSAN JOSEPH DR.</t>
  </si>
  <si>
    <t>DAVIS AVE AT E POST RD</t>
  </si>
  <si>
    <t>WHITE PLAINS</t>
  </si>
  <si>
    <t>Dar , Gutubuddin, Wyoming County Community Health System</t>
  </si>
  <si>
    <t>E0114384</t>
  </si>
  <si>
    <t>QUTUBUDDIN K DAR</t>
  </si>
  <si>
    <t>DAR QUTUBUDDIN DR.</t>
  </si>
  <si>
    <t>QUTUBUDDIN K DAR MD</t>
  </si>
  <si>
    <t>Khan, Musktaq, Wyoming County Community Health System</t>
  </si>
  <si>
    <t>E0107919</t>
  </si>
  <si>
    <t>KHAN MUSHTAQ H MD</t>
  </si>
  <si>
    <t>KHAN MUSHTAQ</t>
  </si>
  <si>
    <t>Lanigan, James Joseph, Wyoming County Community Health System</t>
  </si>
  <si>
    <t>E0247471</t>
  </si>
  <si>
    <t>LANIGAN JOSEPH J           MD</t>
  </si>
  <si>
    <t>LANIGAN JAMES DR.</t>
  </si>
  <si>
    <t>O'Brien, Brendan, Wyoming County Community Health System</t>
  </si>
  <si>
    <t>E0379077</t>
  </si>
  <si>
    <t>OBRIEN BRENDAN M</t>
  </si>
  <si>
    <t>O'BRIEN BRENDAN</t>
  </si>
  <si>
    <t>990 SOUTH AVE STE 207</t>
  </si>
  <si>
    <t>Treutlein, Scott, Wyoming County Community Health System</t>
  </si>
  <si>
    <t>E0043053</t>
  </si>
  <si>
    <t>TREUTLEIN SCOTT MD</t>
  </si>
  <si>
    <t>TREUTLEIN SCOTT DR.</t>
  </si>
  <si>
    <t>121 S MAIN ST</t>
  </si>
  <si>
    <t>Childrens Clinic at St. Lawrence</t>
  </si>
  <si>
    <t>Patricia Dyer</t>
  </si>
  <si>
    <t>(716) 308-6302</t>
  </si>
  <si>
    <t>patriciadyernp@gmail.com</t>
  </si>
  <si>
    <t>1520 East Delavan Avenue</t>
  </si>
  <si>
    <t>Hnat, Cathie jo, Erie Chapter NYSARC Inc bda Heritage Centers</t>
  </si>
  <si>
    <t>E0356610</t>
  </si>
  <si>
    <t>MALINOWSKI-HNAT CATHIE JO</t>
  </si>
  <si>
    <t>HNAT CATHIE JO MRS.</t>
  </si>
  <si>
    <t>777 MARYVALE DR</t>
  </si>
  <si>
    <t>Hoffman, Ginny, Erie Chapter NYSARC Inc bda Heritage Centers</t>
  </si>
  <si>
    <t>HOFFMAN GINNY MRS.</t>
  </si>
  <si>
    <t>12 SCHIMWOOD CT</t>
  </si>
  <si>
    <t>Januchowski, Jennifer, Erie Chapter NYSARC Inc bda Heritage Centers</t>
  </si>
  <si>
    <t>JANUCHOWSKI JENNIFER MRS.</t>
  </si>
  <si>
    <t>279 SUNDOWN TRL</t>
  </si>
  <si>
    <t>Kelley, Ryan, Erie Chapter NYSARC Inc bda Heritage Centers</t>
  </si>
  <si>
    <t>E0301520</t>
  </si>
  <si>
    <t>KELLEY RYAN</t>
  </si>
  <si>
    <t>KELLEY RYAN PATRICK</t>
  </si>
  <si>
    <t>Kershner, Libby, Erie Chapter NYSARC Inc bda Heritage Centers</t>
  </si>
  <si>
    <t>KERSHNER LIBBY</t>
  </si>
  <si>
    <t>8842 STATE ROUTE 90 N</t>
  </si>
  <si>
    <t>KING FERRY</t>
  </si>
  <si>
    <t>Kinney, Katherine, Erie Chapter NYSARC Inc bda Heritage Centers</t>
  </si>
  <si>
    <t>E0419990</t>
  </si>
  <si>
    <t>KINNEY KATHERINE NICOLE</t>
  </si>
  <si>
    <t>KINNEY KATHERINE</t>
  </si>
  <si>
    <t>2545 SHERIDAN DR</t>
  </si>
  <si>
    <t>Kowalski, Julie, Erie Chapter NYSARC Inc bda Heritage Centers</t>
  </si>
  <si>
    <t>E0348703</t>
  </si>
  <si>
    <t>KOWALSKI JULIE A</t>
  </si>
  <si>
    <t>KOWALSKI JULIE MRS.</t>
  </si>
  <si>
    <t>4242 RIDGE LEA RD STE 2</t>
  </si>
  <si>
    <t>Logel, Amy, Erie Chapter NYSARC Inc bda Heritage Centers</t>
  </si>
  <si>
    <t>E0321923</t>
  </si>
  <si>
    <t>PARRY AMY L</t>
  </si>
  <si>
    <t>PARRY AMY</t>
  </si>
  <si>
    <t>50 E NORTH ST</t>
  </si>
  <si>
    <t>Majchrowicz, Julie, Erie Chapter NYSARC Inc bda Heritage Centers</t>
  </si>
  <si>
    <t>E0356347</t>
  </si>
  <si>
    <t>MAJCHROWICZ JULIE A</t>
  </si>
  <si>
    <t>MAJCHROWICZ JULIE MS.</t>
  </si>
  <si>
    <t>92 RIVERVIEW CT</t>
  </si>
  <si>
    <t>Maloy, Margaret, Erie Chapter NYSARC Inc bda Heritage Centers</t>
  </si>
  <si>
    <t>E0012714</t>
  </si>
  <si>
    <t>MALOY MARGARET S</t>
  </si>
  <si>
    <t>MALOY MARGARET</t>
  </si>
  <si>
    <t>101 OAK ST STE 1</t>
  </si>
  <si>
    <t>Marinaccio, Gail, Erie Chapter NYSARC Inc bda Heritage Centers</t>
  </si>
  <si>
    <t>MARINACCIO GAIL MRS.</t>
  </si>
  <si>
    <t>502 APPLEWOOD DR</t>
  </si>
  <si>
    <t>Millane, Judith, Erie Chapter NYSARC Inc bda Heritage Centers</t>
  </si>
  <si>
    <t>E0356544</t>
  </si>
  <si>
    <t>MILLANE JUDITH L</t>
  </si>
  <si>
    <t>MILLANE JUDITH MRS.</t>
  </si>
  <si>
    <t>205 YORKSHIRE RD</t>
  </si>
  <si>
    <t>Miller, Bethany, Erie Chapter NYSARC Inc bda Heritage Centers</t>
  </si>
  <si>
    <t>E0356184</t>
  </si>
  <si>
    <t>MILLER BETHANY A</t>
  </si>
  <si>
    <t>MILLER BETHANY MISS</t>
  </si>
  <si>
    <t>Miller, Gavin Christopher, Erie Chapter NYSARC Inc bda Heritage Centers</t>
  </si>
  <si>
    <t>MILLER GAVIN DR.</t>
  </si>
  <si>
    <t>229 PILGRIM RD</t>
  </si>
  <si>
    <t>Newton, Dawn, Erie Chapter NYSARC Inc bda Heritage Centers</t>
  </si>
  <si>
    <t>NEWTON DAWN</t>
  </si>
  <si>
    <t>199 DALE DR</t>
  </si>
  <si>
    <t>Nitsche, Michelle, Erie Chapter NYSARC Inc bda Heritage Centers</t>
  </si>
  <si>
    <t>NITSCHE MICHELLE DR.</t>
  </si>
  <si>
    <t>69 HARRIET ST</t>
  </si>
  <si>
    <t>Ochs, Paul, Erie Chapter NYSARC Inc bda Heritage Centers</t>
  </si>
  <si>
    <t>E0356836</t>
  </si>
  <si>
    <t>OCHS PAUL M</t>
  </si>
  <si>
    <t>OCHS PAUL MR.</t>
  </si>
  <si>
    <t>Olson, Dana, Erie Chapter NYSARC Inc bda Heritage Centers</t>
  </si>
  <si>
    <t>E0354920</t>
  </si>
  <si>
    <t>OLSON DANA L</t>
  </si>
  <si>
    <t>OLSON DANA</t>
  </si>
  <si>
    <t>Osiadio, Kim, Erie Chapter NYSARC Inc bda Heritage Centers</t>
  </si>
  <si>
    <t>E0354958</t>
  </si>
  <si>
    <t>OSIADLO KIM MARIE</t>
  </si>
  <si>
    <t>OSIADLO KIM MS.</t>
  </si>
  <si>
    <t>Park, Emily, Erie Chapter NYSARC Inc bda Heritage Centers</t>
  </si>
  <si>
    <t>E0356541</t>
  </si>
  <si>
    <t>PARK EMILY BETH</t>
  </si>
  <si>
    <t>PARK EMILY</t>
  </si>
  <si>
    <t>Powenski, Patricia, Erie Chapter NYSARC Inc bda Heritage Centers</t>
  </si>
  <si>
    <t>E0348942</t>
  </si>
  <si>
    <t>POWENSKI PATRICIA A</t>
  </si>
  <si>
    <t>POWENSKI PATRICIA MRS.</t>
  </si>
  <si>
    <t>Sell, Maria, Erie Chapter NYSARC Inc bda Heritage Centers</t>
  </si>
  <si>
    <t>E0365754</t>
  </si>
  <si>
    <t>SELL MARIA</t>
  </si>
  <si>
    <t>SELL MARIA MRS.</t>
  </si>
  <si>
    <t>Smith, Katherine, Erie Chapter NYSARC Inc bda Heritage Centers</t>
  </si>
  <si>
    <t>SMITH KATHERINE</t>
  </si>
  <si>
    <t>Tartick-Chudy, Janet, Erie Chapter NYSARC Inc bda Heritage Centers</t>
  </si>
  <si>
    <t>TARTICK-CHUDY JANET MS.</t>
  </si>
  <si>
    <t>449 COLVIN AVE</t>
  </si>
  <si>
    <t>Wasserman, Marc, Erie Chapter NYSARC Inc bda Heritage Centers</t>
  </si>
  <si>
    <t>E0385624</t>
  </si>
  <si>
    <t>WASSERMAN MARC D</t>
  </si>
  <si>
    <t>WASSERMAN MARC</t>
  </si>
  <si>
    <t>Wiechec, Robert, Erie Chapter NYSARC Inc bda Heritage Centers</t>
  </si>
  <si>
    <t>WIECHEC ROBERT MR.</t>
  </si>
  <si>
    <t>51 BRUNDAGE AVE</t>
  </si>
  <si>
    <t>Wojnowski, Diane, Erie Chapter NYSARC Inc bda Heritage Centers</t>
  </si>
  <si>
    <t>E0057013</t>
  </si>
  <si>
    <t>WOJNOWSKI DIANE M</t>
  </si>
  <si>
    <t>WOJNOWSKI DIANE MS.</t>
  </si>
  <si>
    <t>Woodley, Amy, Erie Chapter NYSARC Inc bda Heritage Centers</t>
  </si>
  <si>
    <t>WOODLEY AMY MRS.</t>
  </si>
  <si>
    <t>205 YORKSHIRE ROAD, HERITAGE EDUCATION PROGRAM</t>
  </si>
  <si>
    <t>Zon, Bonnie, Erie Chapter NYSARC Inc bda Heritage Centers</t>
  </si>
  <si>
    <t>E0354761</t>
  </si>
  <si>
    <t>ZON BONNIE J</t>
  </si>
  <si>
    <t>ZON BONNIE MRS.</t>
  </si>
  <si>
    <t>Osawa, Ryosuke, Erie County Department of Health</t>
  </si>
  <si>
    <t>Gale Burstein</t>
  </si>
  <si>
    <t>(716) 858-6976</t>
  </si>
  <si>
    <t>gale.burstein@erie.gov</t>
  </si>
  <si>
    <t>95 Franklin Street, 9th Floor</t>
  </si>
  <si>
    <t>O'Leary, Jane, Erie County Department of Health</t>
  </si>
  <si>
    <t>Rutecki, Amy, Erie County Department of Health</t>
  </si>
  <si>
    <t>E0295428</t>
  </si>
  <si>
    <t>RUTECKI AMY LYNN</t>
  </si>
  <si>
    <t>CORSON AMY</t>
  </si>
  <si>
    <t>CORSON AMY LYNN</t>
  </si>
  <si>
    <t>Tato, Young, Erie County Department of Health</t>
  </si>
  <si>
    <t>E0043700</t>
  </si>
  <si>
    <t>TATO YOUNG H</t>
  </si>
  <si>
    <t>TATO YOUNG MS.</t>
  </si>
  <si>
    <t>Niagara Community Action Program, Inc.</t>
  </si>
  <si>
    <t>Suzanne Shears</t>
  </si>
  <si>
    <t>(716) 285-9681</t>
  </si>
  <si>
    <t>niagaracap@prodigy.net</t>
  </si>
  <si>
    <t xml:space="preserve">1521 Main St. </t>
  </si>
  <si>
    <t>ARBABZADEH, MASSOUD, MD</t>
  </si>
  <si>
    <t>E0057244</t>
  </si>
  <si>
    <t>ARBABZADEH MASSOUD MD</t>
  </si>
  <si>
    <t>(516) 547-4739</t>
  </si>
  <si>
    <t>MARBABZADEH@KALEIDAHEALTH.ORG</t>
  </si>
  <si>
    <t>ARBABZADEH MASSOUD DR.</t>
  </si>
  <si>
    <t>VASCULAR INTER ASSC</t>
  </si>
  <si>
    <t>BRYAN, AMY, DDS</t>
  </si>
  <si>
    <t>E0185873</t>
  </si>
  <si>
    <t>BRYAN AMY R DDS</t>
  </si>
  <si>
    <t>ABRYAN@KALEIDAHEALTH.ORG</t>
  </si>
  <si>
    <t>BRYAN AMY DR.</t>
  </si>
  <si>
    <t>BRYAN AMY RUTH</t>
  </si>
  <si>
    <t>PETERS, NANCY, MD</t>
  </si>
  <si>
    <t>E0164241</t>
  </si>
  <si>
    <t>PETERS NANCY J MD</t>
  </si>
  <si>
    <t>PETERS NANCY DR.</t>
  </si>
  <si>
    <t>BORTON, JASON, MD</t>
  </si>
  <si>
    <t>E0065579</t>
  </si>
  <si>
    <t>BORTON JASON A MD</t>
  </si>
  <si>
    <t>JBORTON@KALEIDAHEALTH.ORG</t>
  </si>
  <si>
    <t>BORTON JASON DR.</t>
  </si>
  <si>
    <t>JEWISH FAMILY SERVICE OF BUFFALO AND ERIE COUNTY</t>
  </si>
  <si>
    <t>E0230880</t>
  </si>
  <si>
    <t>JEWISH FAMILY SVC PSY CLINIC</t>
  </si>
  <si>
    <t>MARLENE SCHILLINGER</t>
  </si>
  <si>
    <t>MSCHILLINGER@JFSBUFFALO.ORG</t>
  </si>
  <si>
    <t>Packianathan, Emmanuel</t>
  </si>
  <si>
    <t>E0139477</t>
  </si>
  <si>
    <t>PACKIANATHAN EMMANUEL MD</t>
  </si>
  <si>
    <t>PACKIANATHAN EMMANUEL</t>
  </si>
  <si>
    <t>KHANAM, RASHIDA, MD</t>
  </si>
  <si>
    <t>E0090705</t>
  </si>
  <si>
    <t>KHANAM RASHIDA MD</t>
  </si>
  <si>
    <t>RASHIDA.KHANAM@OMH.NY.GOV</t>
  </si>
  <si>
    <t>KHANAM RASHIDA</t>
  </si>
  <si>
    <t>HOLMES, LUCY, MD</t>
  </si>
  <si>
    <t>E0136133</t>
  </si>
  <si>
    <t>HOLMES LUCY C-Y H MD</t>
  </si>
  <si>
    <t>LHOLMES@KALEIDAHEALTH.ORG</t>
  </si>
  <si>
    <t>HOLMES LUCY DR.</t>
  </si>
  <si>
    <t>FARHI, ELI, MD</t>
  </si>
  <si>
    <t>E0186903</t>
  </si>
  <si>
    <t>FARHI ELI MD</t>
  </si>
  <si>
    <t>EFARHI@KALEIDAHEALTH.ORG</t>
  </si>
  <si>
    <t>FARHI ELI DR.</t>
  </si>
  <si>
    <t>50 CARY FARBER SHERM</t>
  </si>
  <si>
    <t>ROSE, KELLY, DDS</t>
  </si>
  <si>
    <t>E0046911</t>
  </si>
  <si>
    <t>ROSE KELLY SUE DDS</t>
  </si>
  <si>
    <t>KROSE2@KALEIDAHEALTH.ORG</t>
  </si>
  <si>
    <t>ROSE KELLY DR.</t>
  </si>
  <si>
    <t>CLOSE, BEVERLY, PA</t>
  </si>
  <si>
    <t>E0049415</t>
  </si>
  <si>
    <t>WETZEL BEVERLY A RPA</t>
  </si>
  <si>
    <t>BCLOSE@KALEIDAHEALTH.ORG</t>
  </si>
  <si>
    <t>CLOSE BEVERLY</t>
  </si>
  <si>
    <t>CLOSE BEVERLY ANN RPA</t>
  </si>
  <si>
    <t>WIND, WILLIAM, MD</t>
  </si>
  <si>
    <t>E0061429</t>
  </si>
  <si>
    <t>WIND WILLIAM MICHAEL MD</t>
  </si>
  <si>
    <t>(716) 204-9463</t>
  </si>
  <si>
    <t>WWIND@KALEIDAHEALTH.ORG</t>
  </si>
  <si>
    <t>WIND WILLIAM</t>
  </si>
  <si>
    <t>UNIV OF ORTHO SRV</t>
  </si>
  <si>
    <t>LAJEUNESSE, SUZETTE, MD</t>
  </si>
  <si>
    <t>E0033876</t>
  </si>
  <si>
    <t>LAJEUNESSE SUZETTE MARIE MD</t>
  </si>
  <si>
    <t>SLAJEUNESSE@KALEIDAHEALTH.ORG</t>
  </si>
  <si>
    <t>LAJEUNESSE SUZETTE DR.</t>
  </si>
  <si>
    <t>DRYJSKI, MACIEJ, MDPHD</t>
  </si>
  <si>
    <t>E0142955</t>
  </si>
  <si>
    <t>DRYJSKI MACIEJ L MD</t>
  </si>
  <si>
    <t>DRYJSKI, MACIEJ, MD</t>
  </si>
  <si>
    <t>MDRYJSKI@KALEIDAHEALTH.ORG</t>
  </si>
  <si>
    <t>DRYJSKI MACIEJ DR.</t>
  </si>
  <si>
    <t>HELM, THOMAS, MD</t>
  </si>
  <si>
    <t>E0139526</t>
  </si>
  <si>
    <t>HELM THOMAS N MD</t>
  </si>
  <si>
    <t>THELM@KALEIDAHEALTH.ORG</t>
  </si>
  <si>
    <t>HELM THOMAS DR.</t>
  </si>
  <si>
    <t>KENYON, MARK, MD</t>
  </si>
  <si>
    <t>E0059222</t>
  </si>
  <si>
    <t>KENYON MARK ANTHONY MD</t>
  </si>
  <si>
    <t>KENYON,  MARK      , MD</t>
  </si>
  <si>
    <t>MKENYON@UPA.CHOB.EDU</t>
  </si>
  <si>
    <t>KENYON MARK</t>
  </si>
  <si>
    <t>CHILDREN HSP BUFFALO</t>
  </si>
  <si>
    <t>FREUNDEL, ANTHONY, MD</t>
  </si>
  <si>
    <t>E0157646</t>
  </si>
  <si>
    <t>FREUNDEL ANTHONY D MD</t>
  </si>
  <si>
    <t>(716) 639-7620</t>
  </si>
  <si>
    <t>AFREUNDEL@KALEIDAHEALTH.ORG</t>
  </si>
  <si>
    <t>FREUNDEL ANTHONY DR.</t>
  </si>
  <si>
    <t>FREUNDEL ANTHONY DOUGLAS</t>
  </si>
  <si>
    <t>ST LUKES-ROOSEVELT</t>
  </si>
  <si>
    <t>BEDMUTHA, SHANTIKUMAR, MD</t>
  </si>
  <si>
    <t>E0143853</t>
  </si>
  <si>
    <t>BEDMUTHA SHANTIKUMAR D MD</t>
  </si>
  <si>
    <t>(716) 636-5877</t>
  </si>
  <si>
    <t>BEDMUTHA SHANTIKUMAR DR.</t>
  </si>
  <si>
    <t>QUATTRIN, TERESA, MD</t>
  </si>
  <si>
    <t>E0184518</t>
  </si>
  <si>
    <t>QUATTRIN TERESA MD</t>
  </si>
  <si>
    <t>QUATTRIN , TERESA , MD</t>
  </si>
  <si>
    <t>TQUATTRIN@UPA.CHOB.EDU</t>
  </si>
  <si>
    <t>QUATTRIN TERESA DR.</t>
  </si>
  <si>
    <t>GUNDROO, AIJAZ, MD</t>
  </si>
  <si>
    <t>E0026038</t>
  </si>
  <si>
    <t>GUNDROO AIJAZ  MD</t>
  </si>
  <si>
    <t>EMILIE CAMMILLERI</t>
  </si>
  <si>
    <t>GUNDROO AIJAZ DR.</t>
  </si>
  <si>
    <t>KOCH, SHARON, NP</t>
  </si>
  <si>
    <t>E0097755</t>
  </si>
  <si>
    <t>KOCH SHARON A</t>
  </si>
  <si>
    <t>KOCH, SHARON, NNP</t>
  </si>
  <si>
    <t>SAKOCH@KALEIDAHEALTH.ORG</t>
  </si>
  <si>
    <t>KOCH SHARON</t>
  </si>
  <si>
    <t>MAMNOON, SAMEER, MD</t>
  </si>
  <si>
    <t>E0072782</t>
  </si>
  <si>
    <t>MAMNOON SAMEER SHAMOON MD</t>
  </si>
  <si>
    <t>(716) 276-8726</t>
  </si>
  <si>
    <t>SMAMNOON@KALEIDAHEALTH.ORG</t>
  </si>
  <si>
    <t>MAMNOON SAMEER DR.</t>
  </si>
  <si>
    <t>Sarah Minnie Badger Foster Care Agency</t>
  </si>
  <si>
    <t>Marra Williams</t>
  </si>
  <si>
    <t>(716) 884-3622</t>
  </si>
  <si>
    <t>info@smbfostercare.com</t>
  </si>
  <si>
    <t xml:space="preserve">1377 Main Street </t>
  </si>
  <si>
    <t>Erie Niagara Area Health Education Center Inc</t>
  </si>
  <si>
    <t>Mary Craig</t>
  </si>
  <si>
    <t>(716) 835-9356</t>
  </si>
  <si>
    <t>craigme@enahec.org</t>
  </si>
  <si>
    <t>Cazenovia Recovery Systems Inc</t>
  </si>
  <si>
    <t>Suzanne Bissonette</t>
  </si>
  <si>
    <t>(716) 852-4331</t>
  </si>
  <si>
    <t>Bissonette@cazenoviarecovery.org</t>
  </si>
  <si>
    <t>CAZENOVIA RECOVERY SYSTEMS, INC.</t>
  </si>
  <si>
    <t>200 ALBANY ST</t>
  </si>
  <si>
    <t>Casa Di Vita CRSI</t>
  </si>
  <si>
    <t>(716) 882-2108</t>
  </si>
  <si>
    <t>200 Albany Street</t>
  </si>
  <si>
    <t>Cazenovia Manor CRSI</t>
  </si>
  <si>
    <t>E0451738</t>
  </si>
  <si>
    <t>CAZENOVIA RECOVERY SYSTEMS INC</t>
  </si>
  <si>
    <t>(716) 822-8923</t>
  </si>
  <si>
    <t>Housing CRSI</t>
  </si>
  <si>
    <t>1430 MAIN ST</t>
  </si>
  <si>
    <t>Ivy house CRSI</t>
  </si>
  <si>
    <t>(716) 893-1652</t>
  </si>
  <si>
    <t>Liberty Hall CRSI</t>
  </si>
  <si>
    <t>(585) 343-3094</t>
  </si>
  <si>
    <t>222 RICHMOND AVE</t>
  </si>
  <si>
    <t>New Beginnings CRSI</t>
  </si>
  <si>
    <t>(716) 884-4952</t>
  </si>
  <si>
    <t>Supportive Living CRSI</t>
  </si>
  <si>
    <t>(716) 894-7274</t>
  </si>
  <si>
    <t>605 FILLMORE AVE</t>
  </si>
  <si>
    <t>Turning Point House CRSI</t>
  </si>
  <si>
    <t>(716) 992-4972</t>
  </si>
  <si>
    <t>9136 SANDROCK RD</t>
  </si>
  <si>
    <t>Filmore Leroy Area Residents Inc</t>
  </si>
  <si>
    <t>Wendy Anderson</t>
  </si>
  <si>
    <t>(716) 838-6740</t>
  </si>
  <si>
    <t>Wanderson@flarecenter.org</t>
  </si>
  <si>
    <t>307 Leroy Area</t>
  </si>
  <si>
    <t>It Takes A Village Action Organization</t>
  </si>
  <si>
    <t>Beverly Newkirk</t>
  </si>
  <si>
    <t>(716) 541-7413</t>
  </si>
  <si>
    <t>beverlynewkirk58@yahoo.com</t>
  </si>
  <si>
    <t xml:space="preserve">3610 Main Street </t>
  </si>
  <si>
    <t>Amherst</t>
  </si>
  <si>
    <t>Audiology on Demand</t>
  </si>
  <si>
    <t>Pamela Fleming</t>
  </si>
  <si>
    <t>(716) 297-4444</t>
  </si>
  <si>
    <t>Pam@audiologyondemand.com</t>
  </si>
  <si>
    <t>2919 Millitary Road</t>
  </si>
  <si>
    <t>Ardent Solutions Inc</t>
  </si>
  <si>
    <t>Carrie Whitwood</t>
  </si>
  <si>
    <t>(585) 593-5223</t>
  </si>
  <si>
    <t>whitwood@ardentnetwork.org</t>
  </si>
  <si>
    <t>85 North Main</t>
  </si>
  <si>
    <t>Wellsville</t>
  </si>
  <si>
    <t>Erie Regional Development Corporation</t>
  </si>
  <si>
    <t>Lucy Candelario</t>
  </si>
  <si>
    <t>(716) 845-0485</t>
  </si>
  <si>
    <t>lcandelairo@thebellecenter.org</t>
  </si>
  <si>
    <t>104 Maryland Street</t>
  </si>
  <si>
    <t>Literacy New York Buffalo Niagara Inc</t>
  </si>
  <si>
    <t>Tara Vogel</t>
  </si>
  <si>
    <t>(716) 876-8991</t>
  </si>
  <si>
    <t>tara.vogel@literacybuffalo.org</t>
  </si>
  <si>
    <t>1 Lafayette square</t>
  </si>
  <si>
    <t>Western New York Rural Area Health Education Center Inc</t>
  </si>
  <si>
    <t>Kenneth Oakley</t>
  </si>
  <si>
    <t>(585) 786-6275</t>
  </si>
  <si>
    <t>center@r-ahec.org</t>
  </si>
  <si>
    <t>20 Duncan Street PO Box 152</t>
  </si>
  <si>
    <t>Warsaw</t>
  </si>
  <si>
    <t>Gerard Place</t>
  </si>
  <si>
    <t>David Zapfel</t>
  </si>
  <si>
    <t>(716) 897-9948</t>
  </si>
  <si>
    <t>khzuppa@gerardplace.org</t>
  </si>
  <si>
    <t>2515 Bailey Avenue</t>
  </si>
  <si>
    <t>The Rural Outreach Center</t>
  </si>
  <si>
    <t>Frank Cerny</t>
  </si>
  <si>
    <t>(716) 474-4194</t>
  </si>
  <si>
    <t>frank.cerny@verizon.net</t>
  </si>
  <si>
    <t xml:space="preserve">PO Box 447, </t>
  </si>
  <si>
    <t>Hispanic Heritage Council of WNY Inc</t>
  </si>
  <si>
    <t>Casimiro D. Rodriguez Sr</t>
  </si>
  <si>
    <t>(716) 402-1442</t>
  </si>
  <si>
    <t>info@hisoanicheritagewny.org</t>
  </si>
  <si>
    <t xml:space="preserve">PO Box 361 </t>
  </si>
  <si>
    <t>True Community Development Corporation</t>
  </si>
  <si>
    <t>Janice White</t>
  </si>
  <si>
    <t>(716) 895-7019</t>
  </si>
  <si>
    <t>truecdc@gmail.com</t>
  </si>
  <si>
    <t>594 Winslow Avenue</t>
  </si>
  <si>
    <t>The Way Christian Community</t>
  </si>
  <si>
    <t>Denene Alvarez</t>
  </si>
  <si>
    <t>(716) 909-6060</t>
  </si>
  <si>
    <t>info.thewaycc@gmail.com</t>
  </si>
  <si>
    <t>1066 East Ferry Street</t>
  </si>
  <si>
    <t>All Metro Health Care</t>
  </si>
  <si>
    <t>Richard Keller</t>
  </si>
  <si>
    <t>(917) 763-6945</t>
  </si>
  <si>
    <t>rkeller@all-metro.com</t>
  </si>
  <si>
    <t>170 Franklin Street</t>
  </si>
  <si>
    <t>YMCA of the Twin Tiers</t>
  </si>
  <si>
    <t>Steven Jackson</t>
  </si>
  <si>
    <t>(716) 373-2400</t>
  </si>
  <si>
    <t>SteveJ@YourYMCA.org</t>
  </si>
  <si>
    <t>1020 Reed Street</t>
  </si>
  <si>
    <t>Olean</t>
  </si>
  <si>
    <t>Olean Family YMCA</t>
  </si>
  <si>
    <t>Wellsville YMCA</t>
  </si>
  <si>
    <t>Bradford Family YMCA</t>
  </si>
  <si>
    <t>Ephesus</t>
  </si>
  <si>
    <t>Rev. Jeff Carter</t>
  </si>
  <si>
    <t>(716) 510-3612</t>
  </si>
  <si>
    <t>chapjc@aol.com</t>
  </si>
  <si>
    <t>341 Grider Street</t>
  </si>
  <si>
    <t>Olmstead Center for Sight</t>
  </si>
  <si>
    <t>Tamara Owen</t>
  </si>
  <si>
    <t>(716) 892-1025</t>
  </si>
  <si>
    <t>towen@olmstedcenter.org</t>
  </si>
  <si>
    <t>1170 Main Street</t>
  </si>
  <si>
    <t>St. Philip's Episcopal Church Community Outreach</t>
  </si>
  <si>
    <t>Gloria Payne-Carter</t>
  </si>
  <si>
    <t>(716) 833-0442</t>
  </si>
  <si>
    <t>geepcar@hotmail.com</t>
  </si>
  <si>
    <t>15 Fernhill Avenue</t>
  </si>
  <si>
    <t>St Phillip's Community Center Community Outreach</t>
  </si>
  <si>
    <t>Bishop Holly UBE Chapter Community Outreach</t>
  </si>
  <si>
    <t>Food For All  Program of Network Relgious Communities</t>
  </si>
  <si>
    <t>Kelly Kowalski</t>
  </si>
  <si>
    <t>(716) 882-7705</t>
  </si>
  <si>
    <t>ffanrc@gmail.com</t>
  </si>
  <si>
    <t>1272 Delaware Avenue</t>
  </si>
  <si>
    <t>MCCONNELL, MARY, LMSW</t>
  </si>
  <si>
    <t>E0339693</t>
  </si>
  <si>
    <t>MCCONNELL MARY E</t>
  </si>
  <si>
    <t>MCCONNELL, MARY, LCSW-R</t>
  </si>
  <si>
    <t>MMCCONNELL@JFSBUFFALO.ORG</t>
  </si>
  <si>
    <t>MCCONNELL MARY</t>
  </si>
  <si>
    <t>SCHWARTZ, RONALD, DDS</t>
  </si>
  <si>
    <t>E0209609</t>
  </si>
  <si>
    <t>SCHWARTZ RONALD LOUIS     DDS</t>
  </si>
  <si>
    <t>(716) 282-1402</t>
  </si>
  <si>
    <t>DRSCHWARTZGEDEON@VERIZON.NET</t>
  </si>
  <si>
    <t>SCHWARTZ RONALD DR.</t>
  </si>
  <si>
    <t>SCHWARTZ RONALD LOUIS</t>
  </si>
  <si>
    <t>DANAHER, PATRICIA, MD</t>
  </si>
  <si>
    <t>E0066566</t>
  </si>
  <si>
    <t>DANAHER HAAG PATRICIA JOAN MD</t>
  </si>
  <si>
    <t>(716) 778-8627</t>
  </si>
  <si>
    <t>DANAHER PATRICIA</t>
  </si>
  <si>
    <t>2735 MAIN ST</t>
  </si>
  <si>
    <t>VAZQUEZ, RAUL, MD</t>
  </si>
  <si>
    <t>E0164048</t>
  </si>
  <si>
    <t>VAZQUEZ RAUL  MD</t>
  </si>
  <si>
    <t>RVAZQUEZ@KALEIDAHEALTH.ORG</t>
  </si>
  <si>
    <t>VAZQUEZ RAUL DR.</t>
  </si>
  <si>
    <t>BUFFALO COLUMBUS HSP</t>
  </si>
  <si>
    <t>DEBERNY, DAVID, MD</t>
  </si>
  <si>
    <t>E0152977</t>
  </si>
  <si>
    <t>DEBERNY DAVID ROBERT MD</t>
  </si>
  <si>
    <t>DDEBERNY@KALEIDAHEALTH.ORG</t>
  </si>
  <si>
    <t>DEBERNY DAVID DR.</t>
  </si>
  <si>
    <t>Alzheimer's Association, Western New York Chapter</t>
  </si>
  <si>
    <t>Leilani Pelleher</t>
  </si>
  <si>
    <t>(716) 626-0600</t>
  </si>
  <si>
    <t>Lpelletier@alz.org</t>
  </si>
  <si>
    <t>2805 Wehrle Drive</t>
  </si>
  <si>
    <t>VETERANS ONE-STOP CENTER OF WNY, INC.</t>
  </si>
  <si>
    <t>ROGER L. WOODWORTH 716-898-0110</t>
  </si>
  <si>
    <t>VETERANSFIRST@VOCWNY.ORG</t>
  </si>
  <si>
    <t>1280 Main Street, suite 204</t>
  </si>
  <si>
    <t>Agape Partents' Fellowship, Inc.</t>
  </si>
  <si>
    <t>Donna Roberts</t>
  </si>
  <si>
    <t>(716) 827-5407</t>
  </si>
  <si>
    <t>droberts@agapeparentsfellowship.org</t>
  </si>
  <si>
    <t xml:space="preserve">3280 South Park Ave. </t>
  </si>
  <si>
    <t>Wegmans Food Markets Pharmacy</t>
  </si>
  <si>
    <t>E0230566</t>
  </si>
  <si>
    <t>WEGMANS FOOD MARKETS INC 180</t>
  </si>
  <si>
    <t>Brian Pompo</t>
  </si>
  <si>
    <t>(180) 093-46367</t>
  </si>
  <si>
    <t>katie.niles@wegmans.com</t>
  </si>
  <si>
    <t>WEGMANS FOOD MARKETS, INC.</t>
  </si>
  <si>
    <t>WEGMANS PHARMACY #080</t>
  </si>
  <si>
    <t>651 DICK RD</t>
  </si>
  <si>
    <t>E0230565</t>
  </si>
  <si>
    <t>WEGMANS FOOD MARKETS INC 181</t>
  </si>
  <si>
    <t>WEGMANS PHARMACY #082</t>
  </si>
  <si>
    <t>675 ALBERTA DR</t>
  </si>
  <si>
    <t>E0210417</t>
  </si>
  <si>
    <t>WEGMANS FOOD MARKETS INC 183</t>
  </si>
  <si>
    <t>WEGMANS PHARMACY #083</t>
  </si>
  <si>
    <t>5275 SHERIDAN DR</t>
  </si>
  <si>
    <t>E0192416</t>
  </si>
  <si>
    <t>WEGMANS FOOD MARKETS INC 184</t>
  </si>
  <si>
    <t>WEGMANS PHARMACY #084</t>
  </si>
  <si>
    <t>S-3740 MCKINLEY PKWY</t>
  </si>
  <si>
    <t>E0151729</t>
  </si>
  <si>
    <t>WEGMANS FOOD MARKETS INC #0866</t>
  </si>
  <si>
    <t>WEGMANS PHARMACY #086</t>
  </si>
  <si>
    <t>3145 NIAGARA FALLS BLVD</t>
  </si>
  <si>
    <t>E0146511</t>
  </si>
  <si>
    <t>WEGMAN'S FOOD MARKETS INC#187</t>
  </si>
  <si>
    <t>WEGMANS PHARMACY #087</t>
  </si>
  <si>
    <t>4960 TRANSIT RD</t>
  </si>
  <si>
    <t>E0144764</t>
  </si>
  <si>
    <t>WEGMANS FOOD MARKETS INC 188</t>
  </si>
  <si>
    <t>WEGMANS PHARMACY #088</t>
  </si>
  <si>
    <t>945 FAIRMOUNT AVE</t>
  </si>
  <si>
    <t>E0230564</t>
  </si>
  <si>
    <t>WEGMANS FOOD MARKETS INC 189</t>
  </si>
  <si>
    <t>WEGMANS PHARMACY #089</t>
  </si>
  <si>
    <t>370 ORCHARD PARK RD</t>
  </si>
  <si>
    <t>E0131393</t>
  </si>
  <si>
    <t>WEGMANS FOOD MARKETS INC #190</t>
  </si>
  <si>
    <t>WEGMANS PHARMACY #090</t>
  </si>
  <si>
    <t>8270 TRANSIT RD</t>
  </si>
  <si>
    <t>E0121422</t>
  </si>
  <si>
    <t>WEGMANS FOOD MARKETS INC</t>
  </si>
  <si>
    <t>WEGMANS FOOD MARKETS, INC,</t>
  </si>
  <si>
    <t>WEGMANS PHARMACY #091</t>
  </si>
  <si>
    <t>601 AMHERST ST</t>
  </si>
  <si>
    <t>Metro CDC/DGCC</t>
  </si>
  <si>
    <t>Dolres W. Jacobs</t>
  </si>
  <si>
    <t>(716) 896-7021</t>
  </si>
  <si>
    <t>candacemoppins@yahoo.com</t>
  </si>
  <si>
    <t xml:space="preserve">877 E. Delavan Ave. </t>
  </si>
  <si>
    <t>Buffalo United Front, Inc.</t>
  </si>
  <si>
    <t>George Juhnsu</t>
  </si>
  <si>
    <t>(716) 818-3410</t>
  </si>
  <si>
    <t>georgebuf291@gmail.com</t>
  </si>
  <si>
    <t xml:space="preserve">291 E. Delavan Ave. </t>
  </si>
  <si>
    <t>Summit Educational Resources, Inc.</t>
  </si>
  <si>
    <t>Stephen R. Anderson</t>
  </si>
  <si>
    <t>(716) 629-3400</t>
  </si>
  <si>
    <t>sanderson@summited.org</t>
  </si>
  <si>
    <t>150 Stahl Rd.</t>
  </si>
  <si>
    <t>James Collier, MD</t>
  </si>
  <si>
    <t>E0180907</t>
  </si>
  <si>
    <t>COLLIER JAMES THOMAS  MD</t>
  </si>
  <si>
    <t>COLLIER JAMES DR.</t>
  </si>
  <si>
    <t>3018 MILITARY RD</t>
  </si>
  <si>
    <t>People Inc. Intermediate Care Facility</t>
  </si>
  <si>
    <t>E0177183</t>
  </si>
  <si>
    <t>PEOPLE INC BOSTON ICF</t>
  </si>
  <si>
    <t>Rhonda Frederick</t>
  </si>
  <si>
    <t>rfrederick@people-inc.com</t>
  </si>
  <si>
    <t>BOSTON ICF</t>
  </si>
  <si>
    <t>E0311046</t>
  </si>
  <si>
    <t>UCPA OF NIAGARA COUNTY INC</t>
  </si>
  <si>
    <t>SAWYER, ROBERT, MD</t>
  </si>
  <si>
    <t>E0288098</t>
  </si>
  <si>
    <t>SAWYER ROBERT NEWELL JR</t>
  </si>
  <si>
    <t>RSAWYER@KALEIDAHEALTH.ORG</t>
  </si>
  <si>
    <t>SAWYER ROBERT DR.</t>
  </si>
  <si>
    <t>PEYSER, MICHAEL, MD</t>
  </si>
  <si>
    <t>E0336332</t>
  </si>
  <si>
    <t>PEYSER MICHAEL BARDO</t>
  </si>
  <si>
    <t>(716) 626-6300</t>
  </si>
  <si>
    <t>MPEYSER@KALEIDAHEALTH.ORG</t>
  </si>
  <si>
    <t>PEYSER MICHAEL</t>
  </si>
  <si>
    <t>Curry, Ernie, Northpointe Council, Inc.</t>
  </si>
  <si>
    <t>Dabkowski, Joe, Northpointe Council, Inc.</t>
  </si>
  <si>
    <t>DABKOWSKI JOSEPH MR.</t>
  </si>
  <si>
    <t>D'Angelo, Valerie, Northpointe Council, Inc.</t>
  </si>
  <si>
    <t>Dunn, Shannon, Northpointe Council, Inc.</t>
  </si>
  <si>
    <t>Ecker, Ashley, Northpointe Council, Inc.</t>
  </si>
  <si>
    <t>ECKER ASHLEY</t>
  </si>
  <si>
    <t>Freeman, Veronica, Northpointe Council, Inc.</t>
  </si>
  <si>
    <t>Golden, Jeffrey, Northpointe Council, Inc.</t>
  </si>
  <si>
    <t>GOLDEN JEFFREY</t>
  </si>
  <si>
    <t>Green, Jahnae, Northpointe Council, Inc.</t>
  </si>
  <si>
    <t>Gromlovits, Caitlin, Northpointe Council, Inc.</t>
  </si>
  <si>
    <t>Hanson, Kevin, Northpointe Council, Inc.</t>
  </si>
  <si>
    <t>Horton, Mary Beth, Northpointe Council, Inc.</t>
  </si>
  <si>
    <t>Jones, Barry, Northpointe Council, Inc.</t>
  </si>
  <si>
    <t>Leminger, Megan, Northpointe Council, Inc.</t>
  </si>
  <si>
    <t>Manz, Katherine, Northpointe Council, Inc.</t>
  </si>
  <si>
    <t>Marcinelli, Dena, Northpointe Council, Inc.</t>
  </si>
  <si>
    <t>MARCINELLI DENA MS.</t>
  </si>
  <si>
    <t>Palmer, Christina, Northpointe Council, Inc.</t>
  </si>
  <si>
    <t>Pattison, Brooke, Northpointe Council, Inc.</t>
  </si>
  <si>
    <t>Peresie, Jeff , Northpointe Council, Inc.</t>
  </si>
  <si>
    <t>Petko, Charles, Northpointe Council, Inc.</t>
  </si>
  <si>
    <t>Rinehuls, Don , Northpointe Council, Inc.</t>
  </si>
  <si>
    <t>Robies, Cynthia, Northpointe Council, Inc.</t>
  </si>
  <si>
    <t>Rumbold, Jim, Northpointe Council, Inc.</t>
  </si>
  <si>
    <t>Schrack, Mimi, Northpointe Council, Inc.</t>
  </si>
  <si>
    <t>Seelbinder, Lynn, Northpointe Council, Inc.</t>
  </si>
  <si>
    <t>Shaughnessy, Timothy, Northpointe Council, Inc.</t>
  </si>
  <si>
    <t>Smith, Dylan, Northpointe Council, Inc.</t>
  </si>
  <si>
    <t>Smith, James, Northpointe Council, Inc.</t>
  </si>
  <si>
    <t>Thornton, Marlon, Northpointe Council, Inc.</t>
  </si>
  <si>
    <t>Ventrilla, Kathleen, Northpointe Council, Inc.</t>
  </si>
  <si>
    <t>VENTRILLA KATHLEEN MR.</t>
  </si>
  <si>
    <t>Vickers, Tara, Northpointe Council, Inc.</t>
  </si>
  <si>
    <t>Whipple, Sabra, Northpointe Council, Inc.</t>
  </si>
  <si>
    <t>Wilson, Ralph, Northpointe Council, Inc.</t>
  </si>
  <si>
    <t>Yerger, Kristi , Northpointe Council, Inc.</t>
  </si>
  <si>
    <t>Zucco, Brittany, Northpointe Council, Inc.</t>
  </si>
  <si>
    <t>Achey, Seth, Olean General Hospital</t>
  </si>
  <si>
    <t>E0059404</t>
  </si>
  <si>
    <t>ACHEY SETH PATRICK</t>
  </si>
  <si>
    <t>Michele A. Mercer</t>
  </si>
  <si>
    <t>(716) 375-7514</t>
  </si>
  <si>
    <t>mmercer@uahs.org</t>
  </si>
  <si>
    <t>ACHEY SETH MR.</t>
  </si>
  <si>
    <t>BROOKS MEM</t>
  </si>
  <si>
    <t>Bliss, Peter, Olean General Hospital</t>
  </si>
  <si>
    <t>E0344652</t>
  </si>
  <si>
    <t>BLISS PETER T</t>
  </si>
  <si>
    <t>BLISS PETER DR.</t>
  </si>
  <si>
    <t>623 MAIN ST</t>
  </si>
  <si>
    <t>CONLEY, CHARLENE, FNP</t>
  </si>
  <si>
    <t>E0057212</t>
  </si>
  <si>
    <t>CONLEY CHARLENE L</t>
  </si>
  <si>
    <t>CONLEY CHARLENE</t>
  </si>
  <si>
    <t>CONLEY CHARLENE LICATA</t>
  </si>
  <si>
    <t>BOROWITZ, DRUCY, MD</t>
  </si>
  <si>
    <t>E0186918</t>
  </si>
  <si>
    <t>BOROWITZ DRUCY MD</t>
  </si>
  <si>
    <t>DBOROWITZ2@KALEIDAHEALTH.ORG</t>
  </si>
  <si>
    <t>BOROWITZ DRUCY</t>
  </si>
  <si>
    <t>SCHROEDER, EILEEN, NP</t>
  </si>
  <si>
    <t>E0096006</t>
  </si>
  <si>
    <t>SCHROEDER EILEEN MARGARET</t>
  </si>
  <si>
    <t>SCHROEDER, EILEEN, NNP</t>
  </si>
  <si>
    <t>ESCHROEDER@KALEIDAHEALTH.ORG</t>
  </si>
  <si>
    <t>SCHROEDER EILEEN</t>
  </si>
  <si>
    <t>KATZ, MICHAEL, MD</t>
  </si>
  <si>
    <t>E0174243</t>
  </si>
  <si>
    <t>KATZ MICHAEL ETHAN</t>
  </si>
  <si>
    <t>(561) 213-1112</t>
  </si>
  <si>
    <t>MKATZ@KALEIDAHEALTH.ORG</t>
  </si>
  <si>
    <t>KATZ MICHAEL DR.</t>
  </si>
  <si>
    <t>BAUGHMAN, RENEE, MD</t>
  </si>
  <si>
    <t>E0053915</t>
  </si>
  <si>
    <t>BAUGHMAN RENEE T MD</t>
  </si>
  <si>
    <t>RENEE BAUGHMAN, M.D.</t>
  </si>
  <si>
    <t>(716) 242-8240</t>
  </si>
  <si>
    <t>RENEE.BAUGHMAN@GMAIL.COM</t>
  </si>
  <si>
    <t>BAUGHMAN RENEE MRS.</t>
  </si>
  <si>
    <t>HICKS, WESLEY, MD</t>
  </si>
  <si>
    <t>E0156374</t>
  </si>
  <si>
    <t>HICKS WESLEY L JR MD</t>
  </si>
  <si>
    <t>WHICKS@KALEIDAHEALTH.ORG</t>
  </si>
  <si>
    <t>HICKS WESLEY</t>
  </si>
  <si>
    <t>NIAGARA COUNTY HEALHT DEPARTMENT</t>
  </si>
  <si>
    <t>NIAGARA COUNTY HEALTH DEPT EICM</t>
  </si>
  <si>
    <t>SCHOOL OF DENTAL MEDICINE SUNY AT BUFFALO</t>
  </si>
  <si>
    <t>E0128749</t>
  </si>
  <si>
    <t>DANIEL SQUIRE ORAL D &amp; T CTR</t>
  </si>
  <si>
    <t>(716) 829-2836</t>
  </si>
  <si>
    <t>Clinic:: Pharmacy</t>
  </si>
  <si>
    <t>108 SQUIRE/3435 MAIN</t>
  </si>
  <si>
    <t>BORK,  ELIZABETH , SR COUNSELOR LICENSED</t>
  </si>
  <si>
    <t>CARDIN,  MAUREEN, SPECIALIST - MEDICAL RECORDS</t>
  </si>
  <si>
    <t>McDermott, Briana, Center for Remote Medical Management</t>
  </si>
  <si>
    <t>E0294966</t>
  </si>
  <si>
    <t>MCDERMOTT BRIAN</t>
  </si>
  <si>
    <t>(510) 912-3639</t>
  </si>
  <si>
    <t>MCDERMOTT BRIAN DR.</t>
  </si>
  <si>
    <t>MCDERMOTT BRIAN P</t>
  </si>
  <si>
    <t>100 BROAD ST</t>
  </si>
  <si>
    <t>GLENS FALLS</t>
  </si>
  <si>
    <t>Perezalonso, Luls, Center for Remote Medical Management</t>
  </si>
  <si>
    <t>(510) 912-3640</t>
  </si>
  <si>
    <t>Rimmer, John, Center for Remote Medical Management</t>
  </si>
  <si>
    <t>E0448909</t>
  </si>
  <si>
    <t>RIMMER JOHN JOSEPH III</t>
  </si>
  <si>
    <t>(510) 912-3641</t>
  </si>
  <si>
    <t>RIMMER JOHN DR.</t>
  </si>
  <si>
    <t>Rose , Gabriel, Center for Remote Medical Management</t>
  </si>
  <si>
    <t>(510) 912-3642</t>
  </si>
  <si>
    <t>Sattler, Steve, Center for Remote Medical Management</t>
  </si>
  <si>
    <t>E0297470</t>
  </si>
  <si>
    <t>STEVEN SATTLER</t>
  </si>
  <si>
    <t>(510) 912-3643</t>
  </si>
  <si>
    <t>SATTLER STEVEN</t>
  </si>
  <si>
    <t>SATTLER STEVEN ROBERT DO</t>
  </si>
  <si>
    <t>Tlyyagura, Safish, Center for Remote Medical Management</t>
  </si>
  <si>
    <t>(510) 912-3644</t>
  </si>
  <si>
    <t>MEER, SHAHNAWAZ, MD</t>
  </si>
  <si>
    <t>E0331616</t>
  </si>
  <si>
    <t>MEER SHAHNAWAZ</t>
  </si>
  <si>
    <t>MEER SHAHNAWAZ DR.</t>
  </si>
  <si>
    <t>COOLEY-GUTH, CAROL, MD</t>
  </si>
  <si>
    <t>E0185477</t>
  </si>
  <si>
    <t>COOLEY-GUTH CAROL MARY MD</t>
  </si>
  <si>
    <t>CCOOLEYGUTH@KALEIDAHEALTH.ORG</t>
  </si>
  <si>
    <t>COOLEY-GUTH CAROL DR.</t>
  </si>
  <si>
    <t>WNY PEDIATRIC ASSOC</t>
  </si>
  <si>
    <t>HAITZ NANCY MRS.</t>
  </si>
  <si>
    <t>E0057166</t>
  </si>
  <si>
    <t>HAITZ NANCY</t>
  </si>
  <si>
    <t>DEAHN, DALE, MD</t>
  </si>
  <si>
    <t>E0228599</t>
  </si>
  <si>
    <t>DEAHN DALE L MD</t>
  </si>
  <si>
    <t>(585) 492-5088</t>
  </si>
  <si>
    <t>DEAHN DALE DR.</t>
  </si>
  <si>
    <t>DEAHN DALE LAVERNE</t>
  </si>
  <si>
    <t>401 MAIN ST</t>
  </si>
  <si>
    <t>ROZMUS, GRZEGORZ, MD</t>
  </si>
  <si>
    <t>E0048449</t>
  </si>
  <si>
    <t>ROZMUS GRZEGORZ PRZEMYSLAW MD</t>
  </si>
  <si>
    <t>GROZMUS@KALEIDAHEALTH.ORG</t>
  </si>
  <si>
    <t>ROZMUS GRZEGORZ</t>
  </si>
  <si>
    <t>CARDIO CLINIC GRP</t>
  </si>
  <si>
    <t>BRACH, JOHN, MD</t>
  </si>
  <si>
    <t>E0102871</t>
  </si>
  <si>
    <t>BRACH JOHN MD</t>
  </si>
  <si>
    <t>(716) 655-3846</t>
  </si>
  <si>
    <t>JBRACH@KALEIDAHEALTH.ORG</t>
  </si>
  <si>
    <t>BRACH JOHN</t>
  </si>
  <si>
    <t>WOOD, CATHERINE, LCSWR</t>
  </si>
  <si>
    <t>E0362748</t>
  </si>
  <si>
    <t>WOOD CATHERINE L</t>
  </si>
  <si>
    <t>WOOD, CATHERINE, LCSW-R</t>
  </si>
  <si>
    <t>WOODC@SHSWNY.ORG</t>
  </si>
  <si>
    <t>WOOD CATHERINE</t>
  </si>
  <si>
    <t>GORADIA, DHAWAL, MD</t>
  </si>
  <si>
    <t>E0296602</t>
  </si>
  <si>
    <t>GORADIA DHAWAL ARUN</t>
  </si>
  <si>
    <t>DGORADIA@KALEIDAHEALTH.ORG</t>
  </si>
  <si>
    <t>GORADIA DHAWAL DR.</t>
  </si>
  <si>
    <t>1422 S PLUM ST</t>
  </si>
  <si>
    <t>SEATTLE</t>
  </si>
  <si>
    <t>O'NEILL, CATHERINE, MD</t>
  </si>
  <si>
    <t>E0164504</t>
  </si>
  <si>
    <t>O'NEILL CATHERINE P MD</t>
  </si>
  <si>
    <t>CO'NEILL@KALEIDAHEALTH.ORG</t>
  </si>
  <si>
    <t>O'NEILL CATHERINE</t>
  </si>
  <si>
    <t>LOWENTHAL, KARIN, RPAC</t>
  </si>
  <si>
    <t>E0065515</t>
  </si>
  <si>
    <t>LOWENTHAL KARIN</t>
  </si>
  <si>
    <t>LOWENTHAL, KARIN, PA</t>
  </si>
  <si>
    <t>(716) 863-6906</t>
  </si>
  <si>
    <t>KLOWENTHAL@KALEIDAHEALTH.ORG</t>
  </si>
  <si>
    <t>LOWENTHAL KARIN MS.</t>
  </si>
  <si>
    <t>SMITH, KIRSTEN, RNMSNCN</t>
  </si>
  <si>
    <t>E0095465</t>
  </si>
  <si>
    <t>SMITH KIRSTEN ADELLE</t>
  </si>
  <si>
    <t>SMITH, KIRSTEN, WHNP</t>
  </si>
  <si>
    <t>(716) 646-4506</t>
  </si>
  <si>
    <t>KSMITH2@KALEIDAHEALTH.ORG</t>
  </si>
  <si>
    <t>SMITH KIRSTEN</t>
  </si>
  <si>
    <t>KACHUREK, DIANA, CPNP</t>
  </si>
  <si>
    <t>E0061305</t>
  </si>
  <si>
    <t>KACHUREK DIANA BEATRICE</t>
  </si>
  <si>
    <t>KACHUREK, DIANA, PNP</t>
  </si>
  <si>
    <t>DKACHUREK@KALEIDAHEALTH.ORG</t>
  </si>
  <si>
    <t>KACHUREK DIANA</t>
  </si>
  <si>
    <t>CHILD HOSP</t>
  </si>
  <si>
    <t>NIAGARA LUTHERAN HOME AND REHABILITATION CENTER.INC.</t>
  </si>
  <si>
    <t>NIAGARA LUTHERAN HM &amp; REHAB C</t>
  </si>
  <si>
    <t>64 HAGER ST</t>
  </si>
  <si>
    <t>TAMBAR, INDRA, MD</t>
  </si>
  <si>
    <t>E0231007</t>
  </si>
  <si>
    <t>TAMBAR INDRA               MD</t>
  </si>
  <si>
    <t>(716) 690-2367</t>
  </si>
  <si>
    <t>ITAMBAR@KALEIDAHEALTH.ORG</t>
  </si>
  <si>
    <t>TAMBAR INDRA</t>
  </si>
  <si>
    <t>585 DELAWARE ST</t>
  </si>
  <si>
    <t>BARTHOLOMEW, ANTHONY, MD</t>
  </si>
  <si>
    <t>E0177137</t>
  </si>
  <si>
    <t>BARTHOLOMEW ANTHONY O MD</t>
  </si>
  <si>
    <t>BARTHOLOMEW, ANTHONY ,</t>
  </si>
  <si>
    <t>BARTHOLOMEW ANTHONY</t>
  </si>
  <si>
    <t>BARTHOLOMEW ANTHONY ORLANDO</t>
  </si>
  <si>
    <t>BUDNY, JAMES, MD</t>
  </si>
  <si>
    <t>E0240820</t>
  </si>
  <si>
    <t>BUDNY JAMES L              MD</t>
  </si>
  <si>
    <t>JBUDNY2@KALEIDAHEALTH.ORG</t>
  </si>
  <si>
    <t>BUDNY JAMES DR.</t>
  </si>
  <si>
    <t>LEACH, CORINNE, MD</t>
  </si>
  <si>
    <t>E0191438</t>
  </si>
  <si>
    <t>LEACH CORINNE L</t>
  </si>
  <si>
    <t>LEACH , CORINNE   , MD</t>
  </si>
  <si>
    <t>CLEACH@UPA.CHOB.EDU</t>
  </si>
  <si>
    <t>LEACH CORINNE</t>
  </si>
  <si>
    <t>SUNDAY, BONNIE, MD</t>
  </si>
  <si>
    <t>E0165276</t>
  </si>
  <si>
    <t>SUNDAY BONNIE MD</t>
  </si>
  <si>
    <t>(716) 675-7443</t>
  </si>
  <si>
    <t>BSUNDAY@KALEIDAHEALTH.ORG</t>
  </si>
  <si>
    <t>SUNDAY BONNIE DR.</t>
  </si>
  <si>
    <t>OLV HOSPITAL</t>
  </si>
  <si>
    <t>CALABRESE, MICHAEL, MD</t>
  </si>
  <si>
    <t>E0215807</t>
  </si>
  <si>
    <t>CALABRESE MICHAEL D  MD PC</t>
  </si>
  <si>
    <t>(716) 883-0515</t>
  </si>
  <si>
    <t>MCALABRESE@KALEIDAHEALTH.ORG</t>
  </si>
  <si>
    <t>CALABRESE MICHAEL</t>
  </si>
  <si>
    <t>CALABRESE MICHAEL D  MD</t>
  </si>
  <si>
    <t>RIEGEL, BRIAN, MD</t>
  </si>
  <si>
    <t>E0057082</t>
  </si>
  <si>
    <t>RIEGEL BRIAN JAMES MD</t>
  </si>
  <si>
    <t>BRIEGEL@KALEIDAHEALTH.ORG</t>
  </si>
  <si>
    <t>RIEGEL BRIAN</t>
  </si>
  <si>
    <t>DABSKI, CHRISTOPHER, MD</t>
  </si>
  <si>
    <t>E0189998</t>
  </si>
  <si>
    <t>DABSKI CHRISTOPHER MD</t>
  </si>
  <si>
    <t>(716) 681-4800</t>
  </si>
  <si>
    <t>CDABSKI@KALEIDAHEALTH.ORG</t>
  </si>
  <si>
    <t>DABSKI CHRISTOPHER</t>
  </si>
  <si>
    <t>ACCOUNTS REC</t>
  </si>
  <si>
    <t>HOFFMAN, MARTIN, MD</t>
  </si>
  <si>
    <t>E0239351</t>
  </si>
  <si>
    <t>HOFFMAN MARTIN T           MD</t>
  </si>
  <si>
    <t>MHOFFMAN2@KALEIDAHEALTH.ORG</t>
  </si>
  <si>
    <t>Mental Health:: Practitioner - Primary Care Provider (PCP)</t>
  </si>
  <si>
    <t>HOFFMAN MARTIN</t>
  </si>
  <si>
    <t>Aquino, Michael, GBUAHN</t>
  </si>
  <si>
    <t>E0223428</t>
  </si>
  <si>
    <t>AQUINO MICHAEL D DPM</t>
  </si>
  <si>
    <t>Mamba Chia, MHA</t>
  </si>
  <si>
    <t>(716) 247-5282</t>
  </si>
  <si>
    <t>info@gbuahn .org</t>
  </si>
  <si>
    <t>AQUINO MICHAEL DR.</t>
  </si>
  <si>
    <t>Cappuccio, David, Olean General Hospital</t>
  </si>
  <si>
    <t>E0388460</t>
  </si>
  <si>
    <t>CAPPUCCIO DAVID MICHAEL</t>
  </si>
  <si>
    <t>CAPPUCCIO DAVID</t>
  </si>
  <si>
    <t>Gesek, Daniel, Olean General Hospital</t>
  </si>
  <si>
    <t>E0212520</t>
  </si>
  <si>
    <t>GESEK DANIEL JAMES</t>
  </si>
  <si>
    <t>GESEK DANIEL</t>
  </si>
  <si>
    <t>784 MAIN ST</t>
  </si>
  <si>
    <t>GILKAR, NAZIR AHMAD, MD</t>
  </si>
  <si>
    <t>E0239483</t>
  </si>
  <si>
    <t>GILKAR NAZIR A PC          MD</t>
  </si>
  <si>
    <t>NAZIR A. GILKAR, MD, PC</t>
  </si>
  <si>
    <t>(818) 837-5559</t>
  </si>
  <si>
    <t>GILKAR NAZIR AHMAD</t>
  </si>
  <si>
    <t>GILKAR NAZIR A</t>
  </si>
  <si>
    <t>FROST, MARC, MD</t>
  </si>
  <si>
    <t>E0135862</t>
  </si>
  <si>
    <t>FROST MARC STEVEN MD</t>
  </si>
  <si>
    <t>MFROST2@KALEIDAHEALTH.ORG</t>
  </si>
  <si>
    <t>FROST MARC</t>
  </si>
  <si>
    <t>CELLINO, MICHAEL, MD</t>
  </si>
  <si>
    <t>E0185897</t>
  </si>
  <si>
    <t>CELLINO MICHAEL R MD</t>
  </si>
  <si>
    <t>MCELLINO@KALEIDAHEALTH.ORG</t>
  </si>
  <si>
    <t>CELLINO MICHAEL DR.</t>
  </si>
  <si>
    <t>MOGAVERO, HERMAN, MD</t>
  </si>
  <si>
    <t>E0227511</t>
  </si>
  <si>
    <t>MOGAVERO HERMAN S JR       MD</t>
  </si>
  <si>
    <t>HMOGAVERO@KALEIDAHEALTH.ORG</t>
  </si>
  <si>
    <t>MOGAVERO HERMAN DR.</t>
  </si>
  <si>
    <t>MCLELLAN-DESAI, MARY ANGELA, MD</t>
  </si>
  <si>
    <t>E0054003</t>
  </si>
  <si>
    <t>MCLELLAN-DESAI MARY A MD</t>
  </si>
  <si>
    <t>MCLELLAN-DESAI MARY ANGELA</t>
  </si>
  <si>
    <t>STACHOWIAK, DONNA, CNP</t>
  </si>
  <si>
    <t>E0089646</t>
  </si>
  <si>
    <t>STACHOWIAK DONNA MARIE</t>
  </si>
  <si>
    <t>STACHOWIAK, DONNA, WNP</t>
  </si>
  <si>
    <t>DSTACHOWIAK@KALEIDAHEALTH.ORG</t>
  </si>
  <si>
    <t>STACHOWIAK DONNA MS.</t>
  </si>
  <si>
    <t>BARTELS, MATTHEW, MD</t>
  </si>
  <si>
    <t>E0060115</t>
  </si>
  <si>
    <t>BARTELS MATTHEW</t>
  </si>
  <si>
    <t>MBARTELS@KALEIDAHEALTH.ORG</t>
  </si>
  <si>
    <t>BARTELS MATTHEW FRANCIS</t>
  </si>
  <si>
    <t>MATTERN, RUTH, MD</t>
  </si>
  <si>
    <t>E0158726</t>
  </si>
  <si>
    <t>MATTERN RUTH M MD</t>
  </si>
  <si>
    <t>MATTERN, RUTH, MD PHD</t>
  </si>
  <si>
    <t>RMATTERN@KALEIDAHEALTH.ORG</t>
  </si>
  <si>
    <t>MATTERN RUTH</t>
  </si>
  <si>
    <t>FERGUSON, MICHAEL, MD</t>
  </si>
  <si>
    <t>E0133882</t>
  </si>
  <si>
    <t>FERGUSON MICHAEL SCOTT</t>
  </si>
  <si>
    <t>FERGUSON MICHAEL DR.</t>
  </si>
  <si>
    <t>HAQ, NADEEM, MD</t>
  </si>
  <si>
    <t>E0119508</t>
  </si>
  <si>
    <t>HAQ NADEEM UL MD</t>
  </si>
  <si>
    <t>(716) 741-9343</t>
  </si>
  <si>
    <t>NHAQ@KALEIDAHEALTH.ORG</t>
  </si>
  <si>
    <t>HAQ NADEEM DR.</t>
  </si>
  <si>
    <t>CARDIOL GRP OF WNY</t>
  </si>
  <si>
    <t>PISCATELLI, JAMES, MD</t>
  </si>
  <si>
    <t>E0137299</t>
  </si>
  <si>
    <t>PISCATELLI JAMES J MD</t>
  </si>
  <si>
    <t>JPISCATELLI@KALEIDAHEALTH.ORG</t>
  </si>
  <si>
    <t>PISCATELLI JAMES DR.</t>
  </si>
  <si>
    <t>BOHNE, KIM, CPNP</t>
  </si>
  <si>
    <t>BOHNE, KIM, PNP</t>
  </si>
  <si>
    <t>(706) 651-0808</t>
  </si>
  <si>
    <t>KBOHNE@KALEIDAHEALTH.ORG</t>
  </si>
  <si>
    <t>BOHNE KIM MRS.</t>
  </si>
  <si>
    <t>1061 HARMON AVE</t>
  </si>
  <si>
    <t>FORT STEWART</t>
  </si>
  <si>
    <t>IGOE, GERALD, MD</t>
  </si>
  <si>
    <t>E0115737</t>
  </si>
  <si>
    <t>IGOE GERALD MD</t>
  </si>
  <si>
    <t>IGOE GERALD</t>
  </si>
  <si>
    <t>RAMSDELL, ROBERT, MD</t>
  </si>
  <si>
    <t>E0018915</t>
  </si>
  <si>
    <t>RAMSDELL ROBERT JAMES MD</t>
  </si>
  <si>
    <t>(716) 832-6036</t>
  </si>
  <si>
    <t>RRAMSDELL@KALEIDAHEALTH.ORG</t>
  </si>
  <si>
    <t>RAMSDELL ROBERT DR.</t>
  </si>
  <si>
    <t>GAMBINO, ROBERT,</t>
  </si>
  <si>
    <t>E0091931</t>
  </si>
  <si>
    <t>GAMBINO ROBERT J PA</t>
  </si>
  <si>
    <t>GAMBINO, ROBERT, PA-C</t>
  </si>
  <si>
    <t>RGAMBINO@KALEIDAHEALTH.ORG</t>
  </si>
  <si>
    <t>GAMBINO ROBERT MR.</t>
  </si>
  <si>
    <t>BUFF THORAC SURG</t>
  </si>
  <si>
    <t>LIU-HELM, ARIES, MD</t>
  </si>
  <si>
    <t>E0090952</t>
  </si>
  <si>
    <t>LIU-HELM ARIES YUAN-PERNG MD</t>
  </si>
  <si>
    <t>ALIUHELM@KALEIDAHEALTH.ORG</t>
  </si>
  <si>
    <t>LIU-HELM ARIES DR.</t>
  </si>
  <si>
    <t>BUFFALO MEDICAL GRP</t>
  </si>
  <si>
    <t>CARDONE, LINDA, MD</t>
  </si>
  <si>
    <t>E0201953</t>
  </si>
  <si>
    <t>CARDONE LINDA ANN          MD</t>
  </si>
  <si>
    <t>LCARDONE@KALEIDAHEALTH.ORG</t>
  </si>
  <si>
    <t>CARDONE LINDA DR.</t>
  </si>
  <si>
    <t>HUGHES, DAVID, MD</t>
  </si>
  <si>
    <t>E0109846</t>
  </si>
  <si>
    <t>HUGHES DAVID P MD</t>
  </si>
  <si>
    <t>(716) 898-5925</t>
  </si>
  <si>
    <t>DHUGHES@KALEIDAHEALTH.ORG</t>
  </si>
  <si>
    <t>HUGHES DAVID</t>
  </si>
  <si>
    <t>HUGHES DAVID PAUL</t>
  </si>
  <si>
    <t>TURNER, JAMES, MD</t>
  </si>
  <si>
    <t>E0314978</t>
  </si>
  <si>
    <t>TURNER JAMES</t>
  </si>
  <si>
    <t>JTURNER@KALEIDAHEALTH.ORG</t>
  </si>
  <si>
    <t>16 GUION PL</t>
  </si>
  <si>
    <t>NEW ROCHELLE</t>
  </si>
  <si>
    <t>KRAWCZYK, JUSTINE, MD</t>
  </si>
  <si>
    <t>E0228921</t>
  </si>
  <si>
    <t>KRAWCZYK JUSTINE A         MD</t>
  </si>
  <si>
    <t>JKRAWCZYK@KALEIDAHEALTH.ORG</t>
  </si>
  <si>
    <t>KRAWCZYK JUSTINE</t>
  </si>
  <si>
    <t>LAPOINT, PAUL, DO</t>
  </si>
  <si>
    <t>E0127879</t>
  </si>
  <si>
    <t>LAPOINT PAUL JUSTIN MD</t>
  </si>
  <si>
    <t>PLAPOINT@KALEIDAHEALTH.ORG</t>
  </si>
  <si>
    <t>LAPOINT PAUL DR.</t>
  </si>
  <si>
    <t>1321 KENSINGTON AVE</t>
  </si>
  <si>
    <t>ULATOWSKI, JEROME, MD</t>
  </si>
  <si>
    <t>E0210974</t>
  </si>
  <si>
    <t>ULATOWSKI JEROME J II</t>
  </si>
  <si>
    <t>ULATOWSKI JEROME DR.</t>
  </si>
  <si>
    <t>COMMUNITY HEALTH CENTER OF BUFFALO, INC.</t>
  </si>
  <si>
    <t>E0095534</t>
  </si>
  <si>
    <t>COMM HLTH CTR BUFFALO INC</t>
  </si>
  <si>
    <t>DR. LAVONNE ANSARI</t>
  </si>
  <si>
    <t>LANSARI@CHCB.NET</t>
  </si>
  <si>
    <t>GELORMINI, JOSEPH, MD</t>
  </si>
  <si>
    <t>E0183088</t>
  </si>
  <si>
    <t>GELORMINI JOSEPH L MD</t>
  </si>
  <si>
    <t>JGELORMINI@KALEIDAHEALTH.ORG</t>
  </si>
  <si>
    <t>GELORMINI JOSEPH</t>
  </si>
  <si>
    <t>PHELAN, MARY, NP</t>
  </si>
  <si>
    <t>E0030228</t>
  </si>
  <si>
    <t>PHELAN MARY THERESA NP</t>
  </si>
  <si>
    <t>PHELAN, MARY, FNP</t>
  </si>
  <si>
    <t>MPHELAN@KALEIDAHEALTH.ORG</t>
  </si>
  <si>
    <t>PHELAN MARY</t>
  </si>
  <si>
    <t>PHELAN MARY THERESA</t>
  </si>
  <si>
    <t>CLAUSER, KEVIN, DDS</t>
  </si>
  <si>
    <t>E0021825</t>
  </si>
  <si>
    <t>CLAUSER KEVIN GREGORY DDS</t>
  </si>
  <si>
    <t>(716) 560-2383</t>
  </si>
  <si>
    <t>CLAUSER KEVIN DR.</t>
  </si>
  <si>
    <t>SELVADURAI, DEEPAN, MD</t>
  </si>
  <si>
    <t>E0310850</t>
  </si>
  <si>
    <t>SELVADURAI DEEPAN</t>
  </si>
  <si>
    <t>DSELVADURAI@KALEIDAHEALTH.ORG</t>
  </si>
  <si>
    <t>NAMASSIVAYA, ARUNDATHI, MD</t>
  </si>
  <si>
    <t>E0090202</t>
  </si>
  <si>
    <t>NAMASSIVAYA ARUNDATHI MD</t>
  </si>
  <si>
    <t>ANAMASSIVAYA@KALEIDAHEALTH.ORG</t>
  </si>
  <si>
    <t>NAMASSIVAYA ARUNDATHI</t>
  </si>
  <si>
    <t>2110 GENESEE ST</t>
  </si>
  <si>
    <t>Wolslau, Hans, Center for Remote Medical Management</t>
  </si>
  <si>
    <t>E0287410</t>
  </si>
  <si>
    <t>WOLSLAU  HANS JOHANN DO</t>
  </si>
  <si>
    <t>(510) 912-3645</t>
  </si>
  <si>
    <t>WOLSLAU HANS</t>
  </si>
  <si>
    <t>WOLSLAU HANS JOHANN DO</t>
  </si>
  <si>
    <t>4422 3RD AVE &amp; 183RD STREET</t>
  </si>
  <si>
    <t>Yee, Sau Yan, Center for Remote Medical Management</t>
  </si>
  <si>
    <t>E0131167</t>
  </si>
  <si>
    <t>YEE MEDICINE &amp; PEDIATRIC ASSO</t>
  </si>
  <si>
    <t>(510) 912-3646</t>
  </si>
  <si>
    <t>YEE SAU DR.</t>
  </si>
  <si>
    <t>YEE SAU YAN MD</t>
  </si>
  <si>
    <t>308 WILLOW AVE</t>
  </si>
  <si>
    <t>HOBOKEN</t>
  </si>
  <si>
    <t>Aldrich, Colleen, Chautauqua County Chapter NYSARC Inc/dba The Resource Center</t>
  </si>
  <si>
    <t>E0028674</t>
  </si>
  <si>
    <t>ALDRICH COLLEEN</t>
  </si>
  <si>
    <t>(716) 661-1042</t>
  </si>
  <si>
    <t>Anderson, Maureen, Chautauqua County Chapter NYSARC Inc/dba The Resource Center</t>
  </si>
  <si>
    <t>E0065879</t>
  </si>
  <si>
    <t>ANDERSON MAUREEN</t>
  </si>
  <si>
    <t>(716) 661-1043</t>
  </si>
  <si>
    <t>ANDERSON MAUREEN ANNE</t>
  </si>
  <si>
    <t>Aucoin, Deja, Chautauqua County Chapter NYSARC Inc/dba The Resource Center</t>
  </si>
  <si>
    <t>(716) 661-1044</t>
  </si>
  <si>
    <t>AUCOIN DEJA</t>
  </si>
  <si>
    <t>1680 WALDEN AVE</t>
  </si>
  <si>
    <t>Bergman, Dennis, Chautauqua County Chapter NYSARC Inc/dba The Resource Center</t>
  </si>
  <si>
    <t>(716) 661-1045</t>
  </si>
  <si>
    <t>BERGMAN DENNIS</t>
  </si>
  <si>
    <t>Bloomquist, Abigail, Chautauqua County Chapter NYSARC Inc/dba The Resource Center</t>
  </si>
  <si>
    <t>(716) 661-1046</t>
  </si>
  <si>
    <t>BLOOMQUIST ABIGAIL</t>
  </si>
  <si>
    <t>Bowler, William, Chautauqua County Chapter NYSARC Inc/dba The Resource Center</t>
  </si>
  <si>
    <t>E0032621</t>
  </si>
  <si>
    <t>BOWLER WILLIAM H</t>
  </si>
  <si>
    <t>(716) 661-1047</t>
  </si>
  <si>
    <t>BOWLER WILLIAM</t>
  </si>
  <si>
    <t>Carlson, Erin, Chautauqua County Chapter NYSARC Inc/dba The Resource Center</t>
  </si>
  <si>
    <t>(716) 661-1048</t>
  </si>
  <si>
    <t>CARLSON ERIN</t>
  </si>
  <si>
    <t>Clemente, Noel, Chautauqua County Chapter NYSARC Inc/dba The Resource Center</t>
  </si>
  <si>
    <t>E0362623</t>
  </si>
  <si>
    <t>CLEMENTE NOEL G</t>
  </si>
  <si>
    <t>(716) 661-1049</t>
  </si>
  <si>
    <t>CLEMENTE NOEL</t>
  </si>
  <si>
    <t>D&amp;T/Hearing Aids, , Chautauqua County Chapter NYSARC Inc/dba The Resource Center</t>
  </si>
  <si>
    <t>(716) 661-1050</t>
  </si>
  <si>
    <t>DeGolier, Madilynn, Chautauqua County Chapter NYSARC Inc/dba The Resource Center</t>
  </si>
  <si>
    <t>E0310438</t>
  </si>
  <si>
    <t>MADILYNN H DEGOLIER</t>
  </si>
  <si>
    <t>(716) 661-1051</t>
  </si>
  <si>
    <t>DEGOLIER MADILYNN MRS.</t>
  </si>
  <si>
    <t>DEGOLIER MADILYNN H</t>
  </si>
  <si>
    <t>Denise Jones, COO, Chautauqua County Chapter NYSARC Inc/dba The Resource Center</t>
  </si>
  <si>
    <t>(716) 661-1052</t>
  </si>
  <si>
    <t>Eccles, Sherri, Chautauqua County Chapter NYSARC Inc/dba The Resource Center</t>
  </si>
  <si>
    <t>(716) 661-1053</t>
  </si>
  <si>
    <t>ECCLES SHERRI</t>
  </si>
  <si>
    <t>Ellis, Robert, Chautauqua County Chapter NYSARC Inc/dba The Resource Center</t>
  </si>
  <si>
    <t>E0227329</t>
  </si>
  <si>
    <t>ELLIS ROBERT H            PHD</t>
  </si>
  <si>
    <t>(716) 661-1054</t>
  </si>
  <si>
    <t>ELLIS ROBERT</t>
  </si>
  <si>
    <t>75 JONES &amp; GIFFORD AVE</t>
  </si>
  <si>
    <t>Feeney, Lawrence, Chautauqua County Chapter NYSARC Inc/dba The Resource Center</t>
  </si>
  <si>
    <t>(716) 661-1055</t>
  </si>
  <si>
    <t>FEENEY LAWRENCE</t>
  </si>
  <si>
    <t>Fenton, Laurie, Chautauqua County Chapter NYSARC Inc/dba The Resource Center</t>
  </si>
  <si>
    <t>E0338929</t>
  </si>
  <si>
    <t>FENTAN LAURIE A</t>
  </si>
  <si>
    <t>(716) 661-1056</t>
  </si>
  <si>
    <t>FENTON LAURIE</t>
  </si>
  <si>
    <t>FENTON LAURIE A</t>
  </si>
  <si>
    <t>Gilbride, Mary Jane, Chautauqua County Chapter NYSARC Inc/dba The Resource Center</t>
  </si>
  <si>
    <t>E0321916</t>
  </si>
  <si>
    <t>GILBRIDE MARY JANE</t>
  </si>
  <si>
    <t>(716) 661-1057</t>
  </si>
  <si>
    <t>180 LAKE SHORE DR W</t>
  </si>
  <si>
    <t>Godfrey, Mary, Chautauqua County Chapter NYSARC Inc/dba The Resource Center</t>
  </si>
  <si>
    <t>E0443306</t>
  </si>
  <si>
    <t>GODFREY MARYJANE IRENE</t>
  </si>
  <si>
    <t>(716) 661-1058</t>
  </si>
  <si>
    <t>GODFREY MARY JANE MS.</t>
  </si>
  <si>
    <t>Harris, Peter, Chautauqua County Chapter NYSARC Inc/dba The Resource Center</t>
  </si>
  <si>
    <t>E0348430</t>
  </si>
  <si>
    <t>HARRIS PETER A</t>
  </si>
  <si>
    <t>(716) 661-1059</t>
  </si>
  <si>
    <t>HARRIS PETER DR.</t>
  </si>
  <si>
    <t>Hatfield, Rosanna, Chautauqua County Chapter NYSARC Inc/dba The Resource Center</t>
  </si>
  <si>
    <t>E0306995</t>
  </si>
  <si>
    <t>HATFIELD ROSANNA</t>
  </si>
  <si>
    <t>(716) 661-1060</t>
  </si>
  <si>
    <t>HATFIELD ROSANNA LEE</t>
  </si>
  <si>
    <t>Hedin, Anne, Chautauqua County Chapter NYSARC Inc/dba The Resource Center</t>
  </si>
  <si>
    <t>E0065884</t>
  </si>
  <si>
    <t>HEDIN ANNE K</t>
  </si>
  <si>
    <t>(716) 661-1061</t>
  </si>
  <si>
    <t>HEDIN ANNE</t>
  </si>
  <si>
    <t>75 JONES AND GIFFORD AVE FL 3</t>
  </si>
  <si>
    <t>Karimi, Mumtaz, Chautauqua County Chapter NYSARC Inc/dba The Resource Center</t>
  </si>
  <si>
    <t>E0095318</t>
  </si>
  <si>
    <t>KARIMI MUMTAZ</t>
  </si>
  <si>
    <t>(716) 661-1062</t>
  </si>
  <si>
    <t>KARIMI MUMTAZ DR.</t>
  </si>
  <si>
    <t>KARIMI MUMTAZ RAJABALI</t>
  </si>
  <si>
    <t>Kennelley, Danielle, Chautauqua County Chapter NYSARC Inc/dba The Resource Center</t>
  </si>
  <si>
    <t>E0385001</t>
  </si>
  <si>
    <t>KENNELLEY DANIELLE S</t>
  </si>
  <si>
    <t>(716) 661-1063</t>
  </si>
  <si>
    <t>ROSS DANIELLE MRS.</t>
  </si>
  <si>
    <t>ROSS DANIELLE SARA</t>
  </si>
  <si>
    <t>King, Tina, Chautauqua County Chapter NYSARC Inc/dba The Resource Center</t>
  </si>
  <si>
    <t>(716) 661-1064</t>
  </si>
  <si>
    <t>KING TINA</t>
  </si>
  <si>
    <t>Barcena , Merlie, GBUAHN</t>
  </si>
  <si>
    <t>E0369820</t>
  </si>
  <si>
    <t>BARCENA MERLIE M</t>
  </si>
  <si>
    <t>BARCENA MERLIE</t>
  </si>
  <si>
    <t>Comerford, Patrick, GBUAHN</t>
  </si>
  <si>
    <t>COMERFORD PATRICK DR.</t>
  </si>
  <si>
    <t>2470 WALDEN AVE, SUITE 2400</t>
  </si>
  <si>
    <t>Hermogenes, Alicia, GBUAHN</t>
  </si>
  <si>
    <t>E0144797</t>
  </si>
  <si>
    <t>HERMOGENES ALICIA W MD</t>
  </si>
  <si>
    <t>HERMOGENES ALICIA</t>
  </si>
  <si>
    <t>HERMOGENES ALICIA WONG</t>
  </si>
  <si>
    <t>2925 GENESEE ST</t>
  </si>
  <si>
    <t>Hubacher, Roger, GBUAHN</t>
  </si>
  <si>
    <t>E0235358</t>
  </si>
  <si>
    <t>COMPLETE HOMECARE</t>
  </si>
  <si>
    <t>COMPLETE HOMECARE, INC.</t>
  </si>
  <si>
    <t>COMPLETE HOME CARE INC</t>
  </si>
  <si>
    <t>60 BROAD ST</t>
  </si>
  <si>
    <t>Joshi, Anita, GBUAHN</t>
  </si>
  <si>
    <t>JOSHI ANITA MRS.</t>
  </si>
  <si>
    <t>3101 MAIN ST</t>
  </si>
  <si>
    <t>Medina, Rafael, GBUAHN</t>
  </si>
  <si>
    <t>E0088970</t>
  </si>
  <si>
    <t>MEDINA RAFAEL MD</t>
  </si>
  <si>
    <t>MEDINA RAFAEL DR.</t>
  </si>
  <si>
    <t>OPTHALMOLOGY WNY</t>
  </si>
  <si>
    <t>Rosario, Stephanie, GBUAHN</t>
  </si>
  <si>
    <t>E0354600</t>
  </si>
  <si>
    <t>ROSARIO STEPHANIE</t>
  </si>
  <si>
    <t>ROSARIO STEPHANIE MISS</t>
  </si>
  <si>
    <t>Ruth, Shap, GBUAHN</t>
  </si>
  <si>
    <t>E0326511</t>
  </si>
  <si>
    <t>SCHAP RUTH E</t>
  </si>
  <si>
    <t>SCHAP RUTH</t>
  </si>
  <si>
    <t>Vaillancourt, Tyler, GBUAHN</t>
  </si>
  <si>
    <t>E0391582</t>
  </si>
  <si>
    <t>VAILLANCOURT TYLOR R</t>
  </si>
  <si>
    <t>VAILLANCOURT TYLOR MR.</t>
  </si>
  <si>
    <t>VAILLANCOURT TYLOR ROBERT</t>
  </si>
  <si>
    <t>Irene Nye, Practice Manager, General Physician PC</t>
  </si>
  <si>
    <t>E0306380</t>
  </si>
  <si>
    <t>GENERAL PHYSICIAN PC</t>
  </si>
  <si>
    <t>Irene Nye</t>
  </si>
  <si>
    <t>(716) 264-4195</t>
  </si>
  <si>
    <t>inye@gppconline.com</t>
  </si>
  <si>
    <t>GENERAL PHYSICIAN, PC</t>
  </si>
  <si>
    <t>Leszak, Paula, General Physician PC</t>
  </si>
  <si>
    <t>E0385473</t>
  </si>
  <si>
    <t>LESZAK PAULA WHITE</t>
  </si>
  <si>
    <t>LESZAK PAULA</t>
  </si>
  <si>
    <t>2701 TRANSIT RD STE 143/144</t>
  </si>
  <si>
    <t>Marcel, Rosario, General Physician PC</t>
  </si>
  <si>
    <t>E0010432</t>
  </si>
  <si>
    <t>ROZARIO MARCEL</t>
  </si>
  <si>
    <t>2 COULTER RD</t>
  </si>
  <si>
    <t>Ruh, Jennifer, General Physician PC</t>
  </si>
  <si>
    <t>908 Niagara Falls Blv, suite 230</t>
  </si>
  <si>
    <t>North Tonawada</t>
  </si>
  <si>
    <t>Thodge, Rohini, General Physician PC</t>
  </si>
  <si>
    <t>E0003456</t>
  </si>
  <si>
    <t>ROHINI DILIP THODGE</t>
  </si>
  <si>
    <t>THODGE ROHINI DR.</t>
  </si>
  <si>
    <t>THODGE ROHINI DILIP</t>
  </si>
  <si>
    <t>4312 43RD ST</t>
  </si>
  <si>
    <t>SUNNYSIDE</t>
  </si>
  <si>
    <t>GCHD Intervention Services, , Genesee County Health Department</t>
  </si>
  <si>
    <t>E0263591</t>
  </si>
  <si>
    <t>GENESEE COUNTY HEALTH DEPT</t>
  </si>
  <si>
    <t>Paul A. Pettit</t>
  </si>
  <si>
    <t>(585) 344-2580</t>
  </si>
  <si>
    <t>health@co.genesee.ny.us</t>
  </si>
  <si>
    <t>COUNTY OF GENESEE COUNTY TREASURER</t>
  </si>
  <si>
    <t>3837 W MAIN STREET RD</t>
  </si>
  <si>
    <t>Paul Pettit, Public Health Director, Genesee County Health Department</t>
  </si>
  <si>
    <t>Preschool Supportive Health Service, , Genesee County Health Department</t>
  </si>
  <si>
    <t>E0156913</t>
  </si>
  <si>
    <t>GENESEE CO HLTH DEPT PSSHSP</t>
  </si>
  <si>
    <t>GENESEE CO HEALTH DEPT PSSHSP</t>
  </si>
  <si>
    <t>3837 MAIN STREET RD</t>
  </si>
  <si>
    <t>Heritage Village Pharmacy</t>
  </si>
  <si>
    <t>E0314827</t>
  </si>
  <si>
    <t>HERITAGE VILLAGE REH &amp; SKLD NRS INC</t>
  </si>
  <si>
    <t>Jeff Ondrey</t>
  </si>
  <si>
    <t>(716) 985-6700</t>
  </si>
  <si>
    <t>jondrey@heritage1886.org</t>
  </si>
  <si>
    <t>HERITAGE VILLAGE REHAB AND SKILLED NURSING INC</t>
  </si>
  <si>
    <t>4600 ROUTE 60</t>
  </si>
  <si>
    <t>Hispanos Unidos De Buffalo Inc</t>
  </si>
  <si>
    <t>Eugenin Russi</t>
  </si>
  <si>
    <t>(716) 856-7110</t>
  </si>
  <si>
    <t>erussi@hubwny.org</t>
  </si>
  <si>
    <t>HISPANIC UNITED OF BUFFALO, INC.</t>
  </si>
  <si>
    <t>254 VIRGINIA ST</t>
  </si>
  <si>
    <t>Amabile, Christene, Horizon Health Services, Inc.</t>
  </si>
  <si>
    <t>E0057247</t>
  </si>
  <si>
    <t>AMABILE CHRISTENE M</t>
  </si>
  <si>
    <t>Anne Constantino</t>
  </si>
  <si>
    <t>aconstantino@horizon-heahh.org</t>
  </si>
  <si>
    <t>AMABILE CHRISTENE</t>
  </si>
  <si>
    <t>AMABILE CHRISTENE MICHELE</t>
  </si>
  <si>
    <t>6321 INDUCON DR E</t>
  </si>
  <si>
    <t>Bosi, Renee, Horizon Health Services, Inc.</t>
  </si>
  <si>
    <t>BOSI RENEE MRS.</t>
  </si>
  <si>
    <t>Bradley, Joshua, Horizon Health Services, Inc.</t>
  </si>
  <si>
    <t>BRADLEY JOSHUA</t>
  </si>
  <si>
    <t>Brennan, Andrea, Horizon Health Services, Inc.</t>
  </si>
  <si>
    <t>SALEMME ANDREA</t>
  </si>
  <si>
    <t>Brown, Candyce, Horizon Health Services, Inc.</t>
  </si>
  <si>
    <t>BROWN CANDYCE</t>
  </si>
  <si>
    <t>Brown, Melissa, Horizon Health Services, Inc.</t>
  </si>
  <si>
    <t>WEGST MELISSA</t>
  </si>
  <si>
    <t>Burdick, Nicole, Horizon Health Services, Inc.</t>
  </si>
  <si>
    <t>BURDICK NICOLE</t>
  </si>
  <si>
    <t>Canzoneri, Joan , Horizon Health Services, Inc.</t>
  </si>
  <si>
    <t>E0371840</t>
  </si>
  <si>
    <t>CANZONERI JOAN MARIE</t>
  </si>
  <si>
    <t>CANZONERI JOAN</t>
  </si>
  <si>
    <t>Carolus, Maureen, Horizon Health Services, Inc.</t>
  </si>
  <si>
    <t>E0361496</t>
  </si>
  <si>
    <t>CAROLUS MAUREEN TROESTER</t>
  </si>
  <si>
    <t>CAROLUS MARUEEN MS.</t>
  </si>
  <si>
    <t>Cohen, Gary, Horizon Health Services, Inc.</t>
  </si>
  <si>
    <t>E0238088</t>
  </si>
  <si>
    <t>COHEN GARY N               MD</t>
  </si>
  <si>
    <t>COHEN GARY DR.</t>
  </si>
  <si>
    <t>COHEN GARY N</t>
  </si>
  <si>
    <t>Crowden, Katie, Horizon Health Services, Inc.</t>
  </si>
  <si>
    <t>KIELISZEK KATIE</t>
  </si>
  <si>
    <t>3020 BAILEY AVE FL 2</t>
  </si>
  <si>
    <t>Dotzier, Melissa, Horizon Health Services, Inc.</t>
  </si>
  <si>
    <t>DOTZLER MELISSA</t>
  </si>
  <si>
    <t>Dugan, Kelsey, Horizon Health Services, Inc.</t>
  </si>
  <si>
    <t>DUGAN KELSEY</t>
  </si>
  <si>
    <t>Dunbar, Nicole, Horizon Health Services, Inc.</t>
  </si>
  <si>
    <t>DUNBAR NICOLE</t>
  </si>
  <si>
    <t>Dusel, Alix, Horizon Health Services, Inc.</t>
  </si>
  <si>
    <t>DUSEL ALIX</t>
  </si>
  <si>
    <t>36 EAST AVE STE E</t>
  </si>
  <si>
    <t>Ellis, DeAnna, Horizon Health Services, Inc.</t>
  </si>
  <si>
    <t>ELLIS DEANNA</t>
  </si>
  <si>
    <t>Berkshire Farm Center and Services for Youth</t>
  </si>
  <si>
    <t>E0306785</t>
  </si>
  <si>
    <t>KNIGHT WILLIAM</t>
  </si>
  <si>
    <t xml:space="preserve">Bill McHugh </t>
  </si>
  <si>
    <t>WMcHugh@heritagecenters.org</t>
  </si>
  <si>
    <t>13640 ROUTE 22</t>
  </si>
  <si>
    <t>CANAAN</t>
  </si>
  <si>
    <t>LOMBARDO, THOMAS, MD</t>
  </si>
  <si>
    <t>E0230188</t>
  </si>
  <si>
    <t>LOMBARDO THOMAS A JR       MD</t>
  </si>
  <si>
    <t>TLOMBARDO2@KALEIDAHEALTH.ORG</t>
  </si>
  <si>
    <t>LOMBARDO THOMAS</t>
  </si>
  <si>
    <t>MUNIR, ADNAN, MD</t>
  </si>
  <si>
    <t>E0108618</t>
  </si>
  <si>
    <t>MUNIR ADNAN MD</t>
  </si>
  <si>
    <t>(716) 661-1447</t>
  </si>
  <si>
    <t>MUNIR ADNAN DR.</t>
  </si>
  <si>
    <t>SILVERSTEIN, DAVID, MD</t>
  </si>
  <si>
    <t>E0223880</t>
  </si>
  <si>
    <t>SILVERSTEIN DAVID          MD</t>
  </si>
  <si>
    <t>DSILVERSTEIN@IPC-HUB.COM</t>
  </si>
  <si>
    <t>SILVERSTEIN DAVID</t>
  </si>
  <si>
    <t>SILVERSTEIN DAVID MD</t>
  </si>
  <si>
    <t>MCMICHAEL, BONNIE, MD</t>
  </si>
  <si>
    <t>E0115726</t>
  </si>
  <si>
    <t>MCMICHAEL BONNIE MD</t>
  </si>
  <si>
    <t>BMCMICHAEL@KALEIDAHEALTH.ORG</t>
  </si>
  <si>
    <t>MCMICHAEL BONNIE</t>
  </si>
  <si>
    <t>FOGEL, JONATHAN, MD</t>
  </si>
  <si>
    <t>E0335907</t>
  </si>
  <si>
    <t>FOGEL JONATHAN T</t>
  </si>
  <si>
    <t>JFOGEL@KALEIDAHEALTH.ORG</t>
  </si>
  <si>
    <t>FOGEL JONATHAN MR.</t>
  </si>
  <si>
    <t>FOGEL JONATHAN TAD</t>
  </si>
  <si>
    <t>100 HIGH ST STE B252</t>
  </si>
  <si>
    <t>ABSOLUT CENTER FOR NURSING AND REHABILITATION AT ALLEGANY, LLC</t>
  </si>
  <si>
    <t>E0010054</t>
  </si>
  <si>
    <t>ABSOLUT CTR NR REH ALLEGANY</t>
  </si>
  <si>
    <t>KAREN RANDOLPH, LNHA</t>
  </si>
  <si>
    <t>KRANDOLPH@ABSOLUTCARE.COM</t>
  </si>
  <si>
    <t>2178 N 5TH ST</t>
  </si>
  <si>
    <t>MAROTTA, KELLY, FNP</t>
  </si>
  <si>
    <t>E0013258</t>
  </si>
  <si>
    <t>MAROTTA KELLY NP</t>
  </si>
  <si>
    <t>KMAROTTA@KALEIDAHEALTH.ORG</t>
  </si>
  <si>
    <t>MAROTTA KELLY</t>
  </si>
  <si>
    <t>RUMBOLD, LINDA, LCSWR</t>
  </si>
  <si>
    <t>E0339691</t>
  </si>
  <si>
    <t>RUMBOLD LINDA KATHLEEN</t>
  </si>
  <si>
    <t>RUMBOLD, LINDA, LCSW-R</t>
  </si>
  <si>
    <t>LINDA.RUMBOLD@JFSBUFFALO.ORG</t>
  </si>
  <si>
    <t>RUMBOLD LINDA</t>
  </si>
  <si>
    <t>70 BAKER CT</t>
  </si>
  <si>
    <t>SHEEHAN, DANIEL, MD</t>
  </si>
  <si>
    <t>E0043759</t>
  </si>
  <si>
    <t>SHEEHAN DANIEL W MD</t>
  </si>
  <si>
    <t>SHEEHAN , DANIEL   , MD</t>
  </si>
  <si>
    <t>DSHEEHAN@UPA.CHOB.EDU</t>
  </si>
  <si>
    <t>SHEEHAN DANIEL</t>
  </si>
  <si>
    <t>NORTHWEST BUFFALO COMMUNITY HEALTH CARE CENTER, INC.</t>
  </si>
  <si>
    <t>E0196370</t>
  </si>
  <si>
    <t>NORTHWEST BUFFALO COMM H C</t>
  </si>
  <si>
    <t>JOANNE HAEFNER</t>
  </si>
  <si>
    <t>MCCANN, MICHELLE, FNP</t>
  </si>
  <si>
    <t>(716) 627-7767</t>
  </si>
  <si>
    <t>MMCCANN@KALEIDAHEALTH.ORG</t>
  </si>
  <si>
    <t>MCCANN MICHELLE</t>
  </si>
  <si>
    <t>1540 MAPLE RD.</t>
  </si>
  <si>
    <t>WILD, CASEY, NP</t>
  </si>
  <si>
    <t>E0288064</t>
  </si>
  <si>
    <t>GAJEWSKI CASEY MARIE NP</t>
  </si>
  <si>
    <t>WILD, CASEY, PNP</t>
  </si>
  <si>
    <t>CWILD@KALEIDAHEALTH.ORG</t>
  </si>
  <si>
    <t>WILD CASEY MRS.</t>
  </si>
  <si>
    <t>WILD CASEY MARIE NP</t>
  </si>
  <si>
    <t>BOND, VIRGINIA, MD</t>
  </si>
  <si>
    <t>E0337976</t>
  </si>
  <si>
    <t>BOND VIRGINIA KATHRYN</t>
  </si>
  <si>
    <t>(919) 923-1922</t>
  </si>
  <si>
    <t>VBOND@KALEIDAHEALTH.ORG</t>
  </si>
  <si>
    <t>BOND VIRGINIA DR.</t>
  </si>
  <si>
    <t>KUZMA,  JENNIFER, OFFICE MANAGER</t>
  </si>
  <si>
    <t>LAWRENCE,  MARILYN , BUSINESS MANAGER</t>
  </si>
  <si>
    <t>SHEIZH ZIA</t>
  </si>
  <si>
    <t xml:space="preserve">Stutzman Addiction Treatment Center </t>
  </si>
  <si>
    <t>Susan Lisker</t>
  </si>
  <si>
    <t>(716) 882-4900</t>
  </si>
  <si>
    <t>Susan.Lisker@oasas.ny.gov</t>
  </si>
  <si>
    <t>THOMAN, MARIE-EVE, M.D</t>
  </si>
  <si>
    <t>EYEMD.THOMAN@GMAIL.COM</t>
  </si>
  <si>
    <t>VINCENT, KATTIE, PA</t>
  </si>
  <si>
    <t>Compeer of Greater Buffalo</t>
  </si>
  <si>
    <t>Daniel Colpoys</t>
  </si>
  <si>
    <t>(716) 883-3331</t>
  </si>
  <si>
    <t>Daniel@compeerbuffalo.org</t>
  </si>
  <si>
    <t>Compeer, Inc.</t>
  </si>
  <si>
    <t>Johanna Ambrose</t>
  </si>
  <si>
    <t>(800) 836-0475</t>
  </si>
  <si>
    <t>jambrose@compeer.org</t>
  </si>
  <si>
    <t>People Inc. Senior Day Habilitation</t>
  </si>
  <si>
    <t>2635 Delaware Ave.</t>
  </si>
  <si>
    <t xml:space="preserve">People Inc. The Arts Experience </t>
  </si>
  <si>
    <t>People Inc. City Community Active People Program</t>
  </si>
  <si>
    <t xml:space="preserve">2635 Delaware Ave. </t>
  </si>
  <si>
    <t>People Inc. Community Active People Program</t>
  </si>
  <si>
    <t xml:space="preserve">4286 Delaware Ave. </t>
  </si>
  <si>
    <t>Tonawanda</t>
  </si>
  <si>
    <t>E0182120</t>
  </si>
  <si>
    <t>PEOPLE INC EGGERT ROAD ICF</t>
  </si>
  <si>
    <t>EGGERT ROAD ICF</t>
  </si>
  <si>
    <t>People Inc. Article 16 Clinic</t>
  </si>
  <si>
    <t>2128 Elmwood Ave. Article 16 Clinic</t>
  </si>
  <si>
    <t xml:space="preserve">Buffalo </t>
  </si>
  <si>
    <t>People Inc. FSR</t>
  </si>
  <si>
    <t>5182 Genesee St. FSR</t>
  </si>
  <si>
    <t>Lancaster</t>
  </si>
  <si>
    <t>LAUDICO, ROBERT, MD</t>
  </si>
  <si>
    <t>E0131836</t>
  </si>
  <si>
    <t>LAUDICO ROBERT R</t>
  </si>
  <si>
    <t>LAUDICO ROBERT DR.</t>
  </si>
  <si>
    <t>8643 SHERIDAN DR</t>
  </si>
  <si>
    <t>STEFFEN, REBECCA, LCSWR</t>
  </si>
  <si>
    <t>E0022693</t>
  </si>
  <si>
    <t>STEFFEN REBECCA</t>
  </si>
  <si>
    <t>STEFFEN, REBECCA SUE, LCSW-R</t>
  </si>
  <si>
    <t>RSTEFFEN@CATSWNY.ORG</t>
  </si>
  <si>
    <t>STEFFEN REBECCA MRS.</t>
  </si>
  <si>
    <t>Chautauqua Alcoholism &amp; Substance Abuse Council</t>
  </si>
  <si>
    <t>Patricia Z. Munson</t>
  </si>
  <si>
    <t>(716) 664-3608</t>
  </si>
  <si>
    <t>Ogembo, Jane, Olean General Hospital</t>
  </si>
  <si>
    <t>E0016902</t>
  </si>
  <si>
    <t>OGEMBO JANE A  DDS</t>
  </si>
  <si>
    <t>OGEMBO JANE</t>
  </si>
  <si>
    <t>Strauss, Julie, Olean General Hospital</t>
  </si>
  <si>
    <t>E0320538</t>
  </si>
  <si>
    <t>JULIE MICHELLE STRAUSS</t>
  </si>
  <si>
    <t>STRAUSS JULIE DR.</t>
  </si>
  <si>
    <t>STRAUSS JULIE MICHELLE  DDS</t>
  </si>
  <si>
    <t>Al-Humadi, Adil, Olean Medical Group, LLP</t>
  </si>
  <si>
    <t>E0239233</t>
  </si>
  <si>
    <t>152460ALHUMADI ADIL H            MD</t>
  </si>
  <si>
    <t>Daniel W. Strauch</t>
  </si>
  <si>
    <t>AL-HUMADI ADIL DR.</t>
  </si>
  <si>
    <t>ALHUMADI ADIL H</t>
  </si>
  <si>
    <t>Godfrey, Peter, Olean Medical Group, LLP</t>
  </si>
  <si>
    <t>E0235952</t>
  </si>
  <si>
    <t>GODFREY PETER              MD</t>
  </si>
  <si>
    <t>GODFREY PETER</t>
  </si>
  <si>
    <t>Jeganathan, Rajkumar, Olean Medical Group, LLP</t>
  </si>
  <si>
    <t>E0385894</t>
  </si>
  <si>
    <t>JEGANATHAN RAJKUMAR</t>
  </si>
  <si>
    <t>Lewis, Fred, Olean Medical Group, LLP</t>
  </si>
  <si>
    <t>E0223484</t>
  </si>
  <si>
    <t>LEWIS FRED H MD</t>
  </si>
  <si>
    <t>LEWIS FRED</t>
  </si>
  <si>
    <t>LEWIS FRED H</t>
  </si>
  <si>
    <t>Mertsock, Brenda , Olean Medical Group, LLP</t>
  </si>
  <si>
    <t>E0301801</t>
  </si>
  <si>
    <t>BRENDA MERTSOCK</t>
  </si>
  <si>
    <t>SAWYER BRENDA</t>
  </si>
  <si>
    <t>Pecorella, Laura, Olean Medical Group, LLP</t>
  </si>
  <si>
    <t>E0035012</t>
  </si>
  <si>
    <t>PECORELLA LAURA ANN</t>
  </si>
  <si>
    <t>PECORELLA LAURA</t>
  </si>
  <si>
    <t>Presutti, Michael, Olean Medical Group, LLP</t>
  </si>
  <si>
    <t>E0172737</t>
  </si>
  <si>
    <t>PRESUTTI MICHAEL F RPA</t>
  </si>
  <si>
    <t>PRESUTTI MICHAEL</t>
  </si>
  <si>
    <t>PRESUTTI MICHAEL F</t>
  </si>
  <si>
    <t>6 SCHUYLER ST</t>
  </si>
  <si>
    <t>BELMONT</t>
  </si>
  <si>
    <t>Slear, Jeffrey, Olean Medical Group, LLP</t>
  </si>
  <si>
    <t>E0187644</t>
  </si>
  <si>
    <t>SLEAR JEFFREY CHARLES</t>
  </si>
  <si>
    <t>SLEAR JEFFREY</t>
  </si>
  <si>
    <t>Spigel, G. Thomas, Olean Medical Group, LLP</t>
  </si>
  <si>
    <t>E0247589</t>
  </si>
  <si>
    <t>SPIGEL G THOMAS            MD</t>
  </si>
  <si>
    <t>SPIGEL G</t>
  </si>
  <si>
    <t>Weinhold, John, Olean Medical Group, LLP</t>
  </si>
  <si>
    <t>E0192709</t>
  </si>
  <si>
    <t>WEINHOLD JOHN R JR MD</t>
  </si>
  <si>
    <t>WEINHOLD JOHN DR.</t>
  </si>
  <si>
    <t>WEINHOLD JOHN R JR</t>
  </si>
  <si>
    <t>MED ASSOC IN CANCER</t>
  </si>
  <si>
    <t>Weise, Leonard, Olean Medical Group, LLP</t>
  </si>
  <si>
    <t>E0187643</t>
  </si>
  <si>
    <t>WEISE LEONARD E</t>
  </si>
  <si>
    <t>WEISE LEONARD</t>
  </si>
  <si>
    <t>Allen, Amy, Planned Parenthood of Central and Western New York, Inc.</t>
  </si>
  <si>
    <t>E0340814</t>
  </si>
  <si>
    <t>ALLEN AMY JEANNE</t>
  </si>
  <si>
    <t>Colleen Schiffhauer</t>
  </si>
  <si>
    <t>(585) 546-2771</t>
  </si>
  <si>
    <t>colleen.schiffhauer@ppwny.org</t>
  </si>
  <si>
    <t>ALLEN AMY</t>
  </si>
  <si>
    <t>Auerbach, Samantha, Planned Parenthood of Central and Western New York, Inc.</t>
  </si>
  <si>
    <t>E0361123</t>
  </si>
  <si>
    <t>AUERBACH SAMANTHA LAINE</t>
  </si>
  <si>
    <t>AUERBACH SAMANTHA</t>
  </si>
  <si>
    <t>15 LAFAYETTE AVE</t>
  </si>
  <si>
    <t>CANANDAIGUA</t>
  </si>
  <si>
    <t>Betstadt, Sarah, Planned Parenthood of Central and Western New York, Inc.</t>
  </si>
  <si>
    <t>E0283510</t>
  </si>
  <si>
    <t>BETSTADT SARAH</t>
  </si>
  <si>
    <t>BETSTADT SARAH J MD</t>
  </si>
  <si>
    <t>500 RED CREEK DR STE 110</t>
  </si>
  <si>
    <t>Canale, Megan, Planned Parenthood of Central and Western New York, Inc.</t>
  </si>
  <si>
    <t>E0342142</t>
  </si>
  <si>
    <t>CANALE MEGAN MARIE</t>
  </si>
  <si>
    <t>CANALE MEGAN</t>
  </si>
  <si>
    <t>222 W MAIN ST</t>
  </si>
  <si>
    <t>Ehlinger, Angela, Planned Parenthood of Central and Western New York, Inc.</t>
  </si>
  <si>
    <t>E0049348</t>
  </si>
  <si>
    <t>EHLINGER ANGELA R</t>
  </si>
  <si>
    <t>EHLINGER ANGELA</t>
  </si>
  <si>
    <t>Ferro, Philip, Planned Parenthood of Central and Western New York, Inc.</t>
  </si>
  <si>
    <t>E0242150</t>
  </si>
  <si>
    <t>FERRO PHILIP LEONARD       MD</t>
  </si>
  <si>
    <t>UNIV OB-GYN MED GRP</t>
  </si>
  <si>
    <t>Greenberg, Katherine, Planned Parenthood of Central and Western New York, Inc.</t>
  </si>
  <si>
    <t>E0378802</t>
  </si>
  <si>
    <t>GREENBERG KATHERINE BLUMOFF</t>
  </si>
  <si>
    <t>GREENBERG KATHERINE DR.</t>
  </si>
  <si>
    <t>Harrington, Amy, Planned Parenthood of Central and Western New York, Inc.</t>
  </si>
  <si>
    <t>E0322877</t>
  </si>
  <si>
    <t>HARRINGTON AMY</t>
  </si>
  <si>
    <t>HARRINGTON AMY R</t>
  </si>
  <si>
    <t>601 ELMWOOD AVE # 668</t>
  </si>
  <si>
    <t>Harris, Shanteashia El, Planned Parenthood of Central and Western New York, Inc.</t>
  </si>
  <si>
    <t>E0060747</t>
  </si>
  <si>
    <t>HARRIS EL SHANTEASHI</t>
  </si>
  <si>
    <t>HARRIS EL SHANTEASHIA</t>
  </si>
  <si>
    <t>Hsi , Amy, Planned Parenthood of Central and Western New York, Inc.</t>
  </si>
  <si>
    <t>E0060756</t>
  </si>
  <si>
    <t>HSI AMY SING-LING</t>
  </si>
  <si>
    <t>HSI AMY</t>
  </si>
  <si>
    <t>LaDuca, Emily, Planned Parenthood of Central and Western New York, Inc.</t>
  </si>
  <si>
    <t>E0316733</t>
  </si>
  <si>
    <t>LA DUCA EMILY</t>
  </si>
  <si>
    <t>LA DUCA EMILY MRS.</t>
  </si>
  <si>
    <t>LA DUCA EMILY DANIELLE</t>
  </si>
  <si>
    <t>Lau , Anna, Planned Parenthood of Central and Western New York, Inc.</t>
  </si>
  <si>
    <t>E0352223</t>
  </si>
  <si>
    <t>LAU ANNA LOUISE</t>
  </si>
  <si>
    <t>LAU ANNA</t>
  </si>
  <si>
    <t>Leslie, Joyce, Planned Parenthood of Central and Western New York, Inc.</t>
  </si>
  <si>
    <t>E0234446</t>
  </si>
  <si>
    <t>LESLIE JOYCE RUTH          MD</t>
  </si>
  <si>
    <t>LESLIE JOYCE</t>
  </si>
  <si>
    <t>LESLIE JOYCE RUTH</t>
  </si>
  <si>
    <t>4435 SENECA RD</t>
  </si>
  <si>
    <t>TRUMANSBURG</t>
  </si>
  <si>
    <t>Miller, Tashana, Planned Parenthood of Central and Western New York, Inc.</t>
  </si>
  <si>
    <t>E0327879</t>
  </si>
  <si>
    <t>MILLER TASHANA CHANIECE</t>
  </si>
  <si>
    <t>MILLER TASHANA MS.</t>
  </si>
  <si>
    <t>Phelps, Rachael, Planned Parenthood of Central and Western New York, Inc.</t>
  </si>
  <si>
    <t>E0060763</t>
  </si>
  <si>
    <t>PHELPS RACHAEL HEATHER MD</t>
  </si>
  <si>
    <t>PHELPS RACHAEL</t>
  </si>
  <si>
    <t>PHELPS RACHAEL HEATHER</t>
  </si>
  <si>
    <t>Rosenbloom, Stephen, Planned Parenthood of Central and Western New York, Inc.</t>
  </si>
  <si>
    <t>E0095180</t>
  </si>
  <si>
    <t>ROSENBLOOM STEPHEN MD</t>
  </si>
  <si>
    <t>ROSENBLOOM STEPHEN</t>
  </si>
  <si>
    <t>885 SOUTH AVE</t>
  </si>
  <si>
    <t>Ruckert, G. Theodore, Planned Parenthood of Central and Western New York, Inc.</t>
  </si>
  <si>
    <t>E0252323</t>
  </si>
  <si>
    <t>RUCKERT G THEODORE         MD</t>
  </si>
  <si>
    <t>RUCKERT GUSTAVE DR.</t>
  </si>
  <si>
    <t>Shepard, Daronda, Planned Parenthood of Central and Western New York, Inc.</t>
  </si>
  <si>
    <t>E0348222</t>
  </si>
  <si>
    <t>SHEPARD DARONDA LARITHEA</t>
  </si>
  <si>
    <t>SHEPARD DARONDA</t>
  </si>
  <si>
    <t>Silverman, Jessica, Planned Parenthood of Central and Western New York, Inc.</t>
  </si>
  <si>
    <t>E0387509</t>
  </si>
  <si>
    <t>SILVERMAN JESSICA AMY</t>
  </si>
  <si>
    <t>SILVERMAN JESSICA</t>
  </si>
  <si>
    <t>114 UNIVERSITY AVENUE</t>
  </si>
  <si>
    <t>RUTH, WILLARD, DO</t>
  </si>
  <si>
    <t>E0236754</t>
  </si>
  <si>
    <t>RUTH WILLARD DALE PC       DO</t>
  </si>
  <si>
    <t>(716) 773-6181</t>
  </si>
  <si>
    <t>WRUTH@KALEIDAHEALTH.ORG</t>
  </si>
  <si>
    <t>RUTH WILLARD DR.</t>
  </si>
  <si>
    <t>1870 WHITEHAVEN RD</t>
  </si>
  <si>
    <t>CAVAZOS, CRISTINA, MD</t>
  </si>
  <si>
    <t>E0326881</t>
  </si>
  <si>
    <t>CAVAZOS CRISTINA</t>
  </si>
  <si>
    <t>CCAVAZOS@KALEIDAHEALTH.ORG</t>
  </si>
  <si>
    <t>CAVAZOS CRISTINA DR.</t>
  </si>
  <si>
    <t>REYES, LOIDA, MD</t>
  </si>
  <si>
    <t>E0363803</t>
  </si>
  <si>
    <t>REYES LOIDA D</t>
  </si>
  <si>
    <t>(716) 668-6307</t>
  </si>
  <si>
    <t>LOIDA.REYES@OMH.NY.GOV</t>
  </si>
  <si>
    <t>REYES LOIDA DR.</t>
  </si>
  <si>
    <t>DANN, SARA, PA</t>
  </si>
  <si>
    <t>E0294544</t>
  </si>
  <si>
    <t>DANN SARA KATE</t>
  </si>
  <si>
    <t>DANN, SARA, PA-C</t>
  </si>
  <si>
    <t>SDANN@KALEIDAHEALTH.ORG</t>
  </si>
  <si>
    <t>DANN SARA</t>
  </si>
  <si>
    <t>POLOWY PATRICIA MS.</t>
  </si>
  <si>
    <t>E0065506</t>
  </si>
  <si>
    <t>POLOWY PATRICIA K</t>
  </si>
  <si>
    <t>POLOWY PATRICIA KEANE</t>
  </si>
  <si>
    <t>2924 MAIN ST</t>
  </si>
  <si>
    <t>KIM, EUGENE, MD</t>
  </si>
  <si>
    <t>E0364198</t>
  </si>
  <si>
    <t>KIM EUGENE</t>
  </si>
  <si>
    <t>EKIM2@KALEIDAHEALTH.ORG</t>
  </si>
  <si>
    <t>KIM EUGENE DR.</t>
  </si>
  <si>
    <t>234 E 149TH ST</t>
  </si>
  <si>
    <t>WAHEED, AYESHA, MD</t>
  </si>
  <si>
    <t>AWAHEED@KALEIDAHEALTH.ORG</t>
  </si>
  <si>
    <t>WAHEED AYESHA</t>
  </si>
  <si>
    <t>25 IVY LN</t>
  </si>
  <si>
    <t>OAK BROOK</t>
  </si>
  <si>
    <t>HILLERY,  BRIDGET, SENIOR COUNSELOR - H</t>
  </si>
  <si>
    <t>Gannon, Angela, Horizon Health Services, Inc.</t>
  </si>
  <si>
    <t>E0321946</t>
  </si>
  <si>
    <t>GANNON ANGELA</t>
  </si>
  <si>
    <t>Gerhard, Jodi, Horizon Health Services, Inc.</t>
  </si>
  <si>
    <t>Giordano, Paul, Horizon Health Services, Inc.</t>
  </si>
  <si>
    <t>E0236722</t>
  </si>
  <si>
    <t>GIORDANO PAUL B MD</t>
  </si>
  <si>
    <t>GIORDANO PAUL</t>
  </si>
  <si>
    <t>462 GRIDER ST FL 11</t>
  </si>
  <si>
    <t>BIELEC, PAUL, CRNA</t>
  </si>
  <si>
    <t>PBIELEC@KALEIDAHEALTH.ORG</t>
  </si>
  <si>
    <t>BIELEC PAUL</t>
  </si>
  <si>
    <t>BADGLEY, BARBARA, NP</t>
  </si>
  <si>
    <t>E0092087</t>
  </si>
  <si>
    <t>BADGLEY BARBARA KIM</t>
  </si>
  <si>
    <t>BADGLEY, BARBARA, FNP</t>
  </si>
  <si>
    <t>(716) 655-7583</t>
  </si>
  <si>
    <t>BBADGLEY@KALEIDAHEALTH.ORG</t>
  </si>
  <si>
    <t>BADGLEY BARBARA</t>
  </si>
  <si>
    <t>ORLEANS COUNTY HEALTH DEPARTMENT</t>
  </si>
  <si>
    <t>SHIELDS, PETER, MD</t>
  </si>
  <si>
    <t>E0196476</t>
  </si>
  <si>
    <t>SHIELDS PETER E            MD</t>
  </si>
  <si>
    <t>PSHIELDS@KALEIDAHEALTH.ORG</t>
  </si>
  <si>
    <t>SHIELDS PETER</t>
  </si>
  <si>
    <t>WNY ORTHOPEDIC GROUP</t>
  </si>
  <si>
    <t>HOUCK, JAMES, MD</t>
  </si>
  <si>
    <t>E0132868</t>
  </si>
  <si>
    <t>HOUCK JAMES PATRICK MD</t>
  </si>
  <si>
    <t>JHOUCK@KALEIDAHEALTH.ORG</t>
  </si>
  <si>
    <t>HOUCK JAMES</t>
  </si>
  <si>
    <t>LOEHFELM, ROBYN, PA</t>
  </si>
  <si>
    <t>E0057084</t>
  </si>
  <si>
    <t>LOEHFELM ROBYN</t>
  </si>
  <si>
    <t>(716) 859-3853</t>
  </si>
  <si>
    <t>RLOEHFELM@KALEIDAHEALTH.ORG</t>
  </si>
  <si>
    <t>LOEHFELM ROBYN ELIZABETH RPA</t>
  </si>
  <si>
    <t>PAROSKI, MARGARET, MD</t>
  </si>
  <si>
    <t>E0199681</t>
  </si>
  <si>
    <t>PAROSKI MARGARET W         MD</t>
  </si>
  <si>
    <t>MPAROSKI@KALEIDAHEALTH.ORG</t>
  </si>
  <si>
    <t>PAROSKI MARGARET</t>
  </si>
  <si>
    <t>FATTOUCH, HANY, MD</t>
  </si>
  <si>
    <t>E0119422</t>
  </si>
  <si>
    <t>FATTOUCH HANY MD</t>
  </si>
  <si>
    <t>FATTOUCH HANY</t>
  </si>
  <si>
    <t>MEDINA MEM HOSP</t>
  </si>
  <si>
    <t>HUDZINSKI, LORI, MD</t>
  </si>
  <si>
    <t>E0204202</t>
  </si>
  <si>
    <t>HUDZINSKI LORI D MD</t>
  </si>
  <si>
    <t>(716) 592-3602</t>
  </si>
  <si>
    <t>HUDZINSKI LORI DR.</t>
  </si>
  <si>
    <t>ODELL MED CTR</t>
  </si>
  <si>
    <t>SHAH, SIDDHARTHA, MD</t>
  </si>
  <si>
    <t>E0165980</t>
  </si>
  <si>
    <t>SHAH SIDDHARTHA S MD</t>
  </si>
  <si>
    <t>SSHAH3@KALEIDAHEALTH.ORG</t>
  </si>
  <si>
    <t>SHAH SIDDHARTHA</t>
  </si>
  <si>
    <t>LEONARD, DOLORES, MD</t>
  </si>
  <si>
    <t>E0179671</t>
  </si>
  <si>
    <t>LEONARD DOLORES C MD</t>
  </si>
  <si>
    <t>DLEONARD@KALEIDAHEALTH.ORG</t>
  </si>
  <si>
    <t>LEONARD DOLORES</t>
  </si>
  <si>
    <t>AMHERST PED ASSOC PC</t>
  </si>
  <si>
    <t>OO, GEEMSON, MD</t>
  </si>
  <si>
    <t>E0058968</t>
  </si>
  <si>
    <t>OO GEEMSON</t>
  </si>
  <si>
    <t>(716) 712-0920</t>
  </si>
  <si>
    <t>GOO@KALEIDAHEALTH.ORG</t>
  </si>
  <si>
    <t>BUFFALO GEN HOSPITAL</t>
  </si>
  <si>
    <t>E0268192</t>
  </si>
  <si>
    <t>PINES HLTHCR &amp; REH CNT OLEAN</t>
  </si>
  <si>
    <t>(716) 373-1910</t>
  </si>
  <si>
    <t>2245 W STATE ST</t>
  </si>
  <si>
    <t>CHAU, TERESA, MD</t>
  </si>
  <si>
    <t>E0192298</t>
  </si>
  <si>
    <t>CHAU TERESA MD</t>
  </si>
  <si>
    <t>CHAU_TERESA@YAHOO.COM</t>
  </si>
  <si>
    <t>CHAU TERESA</t>
  </si>
  <si>
    <t>SKOMRA, CHRISTOPHER, MD</t>
  </si>
  <si>
    <t>E0143393</t>
  </si>
  <si>
    <t>SKOMRA CHRISTOPHER J MD</t>
  </si>
  <si>
    <t>CSKOMRA@KALEIDAHEALTH.ORG</t>
  </si>
  <si>
    <t>SKOMRA CHRISTOPHER DR.</t>
  </si>
  <si>
    <t>SKOMRA CHRISTOPHER JUDE</t>
  </si>
  <si>
    <t>BETHIN, KATHLEEN, MD</t>
  </si>
  <si>
    <t>E0001883</t>
  </si>
  <si>
    <t>BETHIN KATHLEEN</t>
  </si>
  <si>
    <t>BETHIN , KATHLEEN  , MD</t>
  </si>
  <si>
    <t>KBETHIN@UPA.CHOB.EDU</t>
  </si>
  <si>
    <t>BETHIN KATHLEEN MD</t>
  </si>
  <si>
    <t>Niagara County Department of Mental Health</t>
  </si>
  <si>
    <t>E0237805</t>
  </si>
  <si>
    <t>NIAGARA CNTY MNTL HLTH N FALL</t>
  </si>
  <si>
    <t>Laura J. Kelemen</t>
  </si>
  <si>
    <t>1001 11TH ST TROTT ACCESS CTR</t>
  </si>
  <si>
    <t>PETERSON, MARTI, DDS</t>
  </si>
  <si>
    <t>E0058929</t>
  </si>
  <si>
    <t>PETERSON MARTI DDS</t>
  </si>
  <si>
    <t>(716) 688-7721</t>
  </si>
  <si>
    <t>MPETERSON2@KALEIDAHEALTH.ORG</t>
  </si>
  <si>
    <t>PETERSON MARTI MS.</t>
  </si>
  <si>
    <t>PETERSON MARTI ANN</t>
  </si>
  <si>
    <t>1660 HOPKINS RD</t>
  </si>
  <si>
    <t>SHERMAN, DONNA, LCSWR</t>
  </si>
  <si>
    <t>SHERMAN,  TRACY, SR COUNSELOR QHP</t>
  </si>
  <si>
    <t>SHERMAN DONNA MS.</t>
  </si>
  <si>
    <t>BAKAHI, SMITA, MD</t>
  </si>
  <si>
    <t>E0030440</t>
  </si>
  <si>
    <t>BAKHAI SMITA X</t>
  </si>
  <si>
    <t>BAKHAI SMITA</t>
  </si>
  <si>
    <t>BAKHAI SMITA YOGESH</t>
  </si>
  <si>
    <t>AFTERCARE NURSING SERVICES, INC.</t>
  </si>
  <si>
    <t>E0181324</t>
  </si>
  <si>
    <t>AFTERCARE NURSING SERVICE</t>
  </si>
  <si>
    <t>(716) 894-7777</t>
  </si>
  <si>
    <t>1680 WALDEN AVENUE</t>
  </si>
  <si>
    <t>BASS, KATHRYN, MD</t>
  </si>
  <si>
    <t>E0099421</t>
  </si>
  <si>
    <t>BASS KATHRYN DIRKES MD</t>
  </si>
  <si>
    <t>KBASS@KALEIDAHEALTH.ORG</t>
  </si>
  <si>
    <t>BASS KATHRYN</t>
  </si>
  <si>
    <t>RALBOVSKY, MICHAEL, FNP</t>
  </si>
  <si>
    <t>E0043337</t>
  </si>
  <si>
    <t>RALBOVSKY MICHAEL</t>
  </si>
  <si>
    <t>(716) 566-5007</t>
  </si>
  <si>
    <t>MRALBOVSKY@KALEIDAHEALTH.ORG</t>
  </si>
  <si>
    <t>RALBOVSKY MICHAEL MR.</t>
  </si>
  <si>
    <t>RALBOVSKY MICHAEL PETER</t>
  </si>
  <si>
    <t>NOOR, SONYA, MD</t>
  </si>
  <si>
    <t>E0075359</t>
  </si>
  <si>
    <t>NOOR SONYA S MD</t>
  </si>
  <si>
    <t>SNOOR@KALEIDAHEALTH.ORG</t>
  </si>
  <si>
    <t>NOOR SONYA DR.</t>
  </si>
  <si>
    <t>BFLO MED GRP</t>
  </si>
  <si>
    <t>CARBONE, THERESA, NP</t>
  </si>
  <si>
    <t>E0065700</t>
  </si>
  <si>
    <t>CARBONE THERESA JEAN</t>
  </si>
  <si>
    <t>CARBONE, THERESA, FNP</t>
  </si>
  <si>
    <t>TCARBONE@KALEIDAHEALTH.ORG</t>
  </si>
  <si>
    <t>CARBONE THERESA</t>
  </si>
  <si>
    <t>ORLEANS COUNTY NURSING HOME</t>
  </si>
  <si>
    <t>WILLIAM GILLICK</t>
  </si>
  <si>
    <t>(585) 589-3283</t>
  </si>
  <si>
    <t>WILLIAM.GILLICK@ORLEANSNY.COM</t>
  </si>
  <si>
    <t>CORMIER, LEE, MD</t>
  </si>
  <si>
    <t>E0013802</t>
  </si>
  <si>
    <t>CHALUPKA LEE A MD</t>
  </si>
  <si>
    <t>LCORMIER@KALEIDAHEALTH.ORG</t>
  </si>
  <si>
    <t>CORMIER LEE</t>
  </si>
  <si>
    <t>CORMIER LEE ANNE</t>
  </si>
  <si>
    <t>CHOU, JOLI, DMD</t>
  </si>
  <si>
    <t>E0376011</t>
  </si>
  <si>
    <t>CHOU JOLI CHIEN-YA</t>
  </si>
  <si>
    <t>CHOU, JOLI, DMD, MD</t>
  </si>
  <si>
    <t>(215) 662-8221</t>
  </si>
  <si>
    <t>JCHOU@KALEIDAHEALTH.ORG</t>
  </si>
  <si>
    <t>CHOU JOLI</t>
  </si>
  <si>
    <t>Native American Community Services</t>
  </si>
  <si>
    <t>Norine Borkowski</t>
  </si>
  <si>
    <t>(716) 874-2797</t>
  </si>
  <si>
    <t>nborkowski@nacswny.org</t>
  </si>
  <si>
    <t>New Asia Baptist Church, Inc.</t>
  </si>
  <si>
    <t>Pastor David Green</t>
  </si>
  <si>
    <t>(716) 896-3544</t>
  </si>
  <si>
    <t>692 East Utica Street</t>
  </si>
  <si>
    <t xml:space="preserve">New Beginnings COGIC, Inc. </t>
  </si>
  <si>
    <t>Pastor Robert Lowe</t>
  </si>
  <si>
    <t>(716) 853-6071</t>
  </si>
  <si>
    <t xml:space="preserve">828 Genesee Street </t>
  </si>
  <si>
    <t xml:space="preserve">New Cedar Grove Life Changing Church, Inc.  </t>
  </si>
  <si>
    <t>Pastor Melvin Brooks</t>
  </si>
  <si>
    <t>(716) 893-8467</t>
  </si>
  <si>
    <t>100 Old Maryvale Drive</t>
  </si>
  <si>
    <t xml:space="preserve">New Direction Christian Fellowship, Inc. </t>
  </si>
  <si>
    <t>Pastor Andre Clark</t>
  </si>
  <si>
    <t>(716) 895-4916</t>
  </si>
  <si>
    <t xml:space="preserve">1449 Fillmore Avenue </t>
  </si>
  <si>
    <t>CERVI,  JENNIFER,</t>
  </si>
  <si>
    <t>CROSSETT, SHERI, LMSW</t>
  </si>
  <si>
    <t>CROSSETTS@SHSWNY.ORG</t>
  </si>
  <si>
    <t>DABKOWSKI,  STEFAN, COUNSELOR III</t>
  </si>
  <si>
    <t>HOLLER-KENNEDY, GAIL, LMHC</t>
  </si>
  <si>
    <t>HOLLER-KENNEDY, GAIL, MHC</t>
  </si>
  <si>
    <t>(716) 200-9448</t>
  </si>
  <si>
    <t>KENNEDYG@SHSWNY.ORG</t>
  </si>
  <si>
    <t>HOLLER-KENNEDY GAIL</t>
  </si>
  <si>
    <t>7348 BEAR RIDGE RD</t>
  </si>
  <si>
    <t>ERIE COUNTY PUBLIC HEALTH LABORATORY</t>
  </si>
  <si>
    <t>E0237306</t>
  </si>
  <si>
    <t>ERIE COUNTY PUBLIC HEALTH LAB</t>
  </si>
  <si>
    <t>(716) 898-6100</t>
  </si>
  <si>
    <t>1021 MAIN ST</t>
  </si>
  <si>
    <t>LABORATORY</t>
  </si>
  <si>
    <t>LIVING OPPORTUNITIES OF DEPAUL</t>
  </si>
  <si>
    <t>E0085356</t>
  </si>
  <si>
    <t>LIVING OPP OF DEPAUL  MH</t>
  </si>
  <si>
    <t>(716) 608-1000</t>
  </si>
  <si>
    <t>LIVING OPPORTUNITIES DEPAUL</t>
  </si>
  <si>
    <t>2240 OLD UNION RD</t>
  </si>
  <si>
    <t>FERGUSON, GAIL, MD</t>
  </si>
  <si>
    <t>E0129610</t>
  </si>
  <si>
    <t>FERGUSON GAIL HANA</t>
  </si>
  <si>
    <t>SHANEANDGAIL@ROADRUNNER.COM</t>
  </si>
  <si>
    <t>FERGUSON GAIL DR.</t>
  </si>
  <si>
    <t>WARD, JENNIFER, FNP</t>
  </si>
  <si>
    <t>E0325303</t>
  </si>
  <si>
    <t>WARD JENNIFER MARIE</t>
  </si>
  <si>
    <t>JWARD2@KALEIDAHEALTH.ORG</t>
  </si>
  <si>
    <t>WARD JENNIFER</t>
  </si>
  <si>
    <t>MARTIN, PETER, MD</t>
  </si>
  <si>
    <t>(716) 725-0582</t>
  </si>
  <si>
    <t>PSMARTIN@GMAIL.COM</t>
  </si>
  <si>
    <t>MARTIN PETER DR.</t>
  </si>
  <si>
    <t>BORK, ELIZABETH, CRCLMHS</t>
  </si>
  <si>
    <t>(716) 834-0282</t>
  </si>
  <si>
    <t>BORK ELIZABETH MRS.</t>
  </si>
  <si>
    <t>ARCHER, FRED, MD</t>
  </si>
  <si>
    <t>E0038325</t>
  </si>
  <si>
    <t>ARCHER FRED DOUGLAS III MD</t>
  </si>
  <si>
    <t>ARCHER , FRED    , MD</t>
  </si>
  <si>
    <t>FARCHER@UPA.CHOB.EDU</t>
  </si>
  <si>
    <t>ARCHER FRED DR.</t>
  </si>
  <si>
    <t>RAUSCH, KELLY, PNP</t>
  </si>
  <si>
    <t>E0033620</t>
  </si>
  <si>
    <t>RAUSCH KELLY MARIE</t>
  </si>
  <si>
    <t>RAUSCH , KELLY    , NP</t>
  </si>
  <si>
    <t>KRAUSCH@UPA.CHOB.EDU</t>
  </si>
  <si>
    <t>RAUSCH KELLY MS.</t>
  </si>
  <si>
    <t>Grace, Jeffery, Horizon Health Services, Inc.</t>
  </si>
  <si>
    <t>E0144707</t>
  </si>
  <si>
    <t>GRACE JEFFREY MD</t>
  </si>
  <si>
    <t>GRACE JEFFERY DR.</t>
  </si>
  <si>
    <t>BRYLIN PHYS ASSOC</t>
  </si>
  <si>
    <t>Griffin, Jamie, Horizon Health Services, Inc.</t>
  </si>
  <si>
    <t>E0450600</t>
  </si>
  <si>
    <t>GRIIFIN JAMIE PATRICIA</t>
  </si>
  <si>
    <t>GRIFFIN JAMIE</t>
  </si>
  <si>
    <t>GRIFFIN JAMIE PATRICIA</t>
  </si>
  <si>
    <t>Hall, Joelle, Horizon Health Services, Inc.</t>
  </si>
  <si>
    <t>HALL JOELLE MISS</t>
  </si>
  <si>
    <t>Hawkins, Nichole, Horizon Health Services, Inc.</t>
  </si>
  <si>
    <t>HAWKINS NICHOLE</t>
  </si>
  <si>
    <t>Hint, Kelly, Horizon Health Services, Inc.</t>
  </si>
  <si>
    <t>HINT KELLY</t>
  </si>
  <si>
    <t>314 ELLICOTT ST.</t>
  </si>
  <si>
    <t>Hurley, Patrick, Horizon Health Services, Inc.</t>
  </si>
  <si>
    <t>E0185777</t>
  </si>
  <si>
    <t>HURLEY PATRICK THOMAS MD</t>
  </si>
  <si>
    <t>HURLEY PATRICK DR.</t>
  </si>
  <si>
    <t>268 E MAIN ST</t>
  </si>
  <si>
    <t>Jackson, Timothy, Horizon Health Services, Inc.</t>
  </si>
  <si>
    <t>JACKSON TIMOTHY MR.</t>
  </si>
  <si>
    <t>115 LIBERTY ST</t>
  </si>
  <si>
    <t>BATH</t>
  </si>
  <si>
    <t>Jacob, Michelle, Horizon Health Services, Inc.</t>
  </si>
  <si>
    <t>JACOB MICHELLE</t>
  </si>
  <si>
    <t>Jordan, Michael, Horizon Health Services, Inc.</t>
  </si>
  <si>
    <t>E0011706</t>
  </si>
  <si>
    <t>JORDAN MICHAEL</t>
  </si>
  <si>
    <t>JORDAN MICHAEL DR.</t>
  </si>
  <si>
    <t>JORDAN MICHAEL ROBERT</t>
  </si>
  <si>
    <t>Karemba-Hayes, Farai, Horizon Health Services, Inc.</t>
  </si>
  <si>
    <t>KAREMBA-HAYES FARAI</t>
  </si>
  <si>
    <t>Lane, Michelle, Horizon Health Services, Inc.</t>
  </si>
  <si>
    <t>LANE MICHELLE</t>
  </si>
  <si>
    <t>Lisa, Glow, Horizon Health Services, Inc.</t>
  </si>
  <si>
    <t>BIEGAS LISA MS.</t>
  </si>
  <si>
    <t>Martinez, Liana, Horizon Health Services, Inc.</t>
  </si>
  <si>
    <t>E0361821</t>
  </si>
  <si>
    <t>MARTINEZ LIANA</t>
  </si>
  <si>
    <t>Martin, Lindsay, Horizon Health Services, Inc.</t>
  </si>
  <si>
    <t>3020 Bailey Ave.</t>
  </si>
  <si>
    <t>Matson, Tiffany, Horizon Health Services, Inc.</t>
  </si>
  <si>
    <t>MATSON TIFFANY MS.</t>
  </si>
  <si>
    <t>6301 INDUCON DR E</t>
  </si>
  <si>
    <t>Miller, Melody, Horizon Health Services, Inc.</t>
  </si>
  <si>
    <t>MILLER MELODY</t>
  </si>
  <si>
    <t>Miller, Shelley, Horizon Health Services, Inc.</t>
  </si>
  <si>
    <t>OPALINSKI SHELLEY MS.</t>
  </si>
  <si>
    <t>76 W HUMBOLDT PKWY</t>
  </si>
  <si>
    <t>Mongiovi, Jennifer, Horizon Health Services, Inc.</t>
  </si>
  <si>
    <t>MONGIOVI JENNIFER MS.</t>
  </si>
  <si>
    <t>Morelli, Kathy, Horizon Health Services, Inc.</t>
  </si>
  <si>
    <t>MORELLI KATHERINE</t>
  </si>
  <si>
    <t>Morris, Rachael, Horizon Health Services, Inc.</t>
  </si>
  <si>
    <t>MORRIS RACHAEL</t>
  </si>
  <si>
    <t>Norton, Amanda, Horizon Health Services, Inc.</t>
  </si>
  <si>
    <t>E0424249</t>
  </si>
  <si>
    <t>NORTON AMANDA MARIE</t>
  </si>
  <si>
    <t>NORTON AMANDA</t>
  </si>
  <si>
    <t>11 SUMMER ST STE 3E</t>
  </si>
  <si>
    <t>O'Banion, Mallary, Horizon Health Services, Inc.</t>
  </si>
  <si>
    <t>O'BANION MALLORY</t>
  </si>
  <si>
    <t>O'Brien, Catherine, Horizon Health Services, Inc.</t>
  </si>
  <si>
    <t>O'BRIEN CATHERINE</t>
  </si>
  <si>
    <t>O'Donnell, Tanni, Horizon Health Services, Inc.</t>
  </si>
  <si>
    <t>E0010494</t>
  </si>
  <si>
    <t>O'DONNELL TANNI M RPA</t>
  </si>
  <si>
    <t>ODONNELL TANNI</t>
  </si>
  <si>
    <t>4828 LAKEVILLE ROAD</t>
  </si>
  <si>
    <t>Palmer, Amanda, Horizon Health Services, Inc.</t>
  </si>
  <si>
    <t>PALMER AMANDA</t>
  </si>
  <si>
    <t>Partell, Lisa, Horizon Health Services, Inc.</t>
  </si>
  <si>
    <t>PARTELL LISA</t>
  </si>
  <si>
    <t>Peperone, Joanne , Horizon Health Services, Inc.</t>
  </si>
  <si>
    <t>PEPERONE JOANNE</t>
  </si>
  <si>
    <t>Petrella, Dina, Horizon Health Services, Inc.</t>
  </si>
  <si>
    <t>PETRELLA DINA</t>
  </si>
  <si>
    <t>Powell, Cathrine, Horizon Health Services, Inc.</t>
  </si>
  <si>
    <t>POWELL CATHRINE</t>
  </si>
  <si>
    <t>Pozak II, Richard, Horizon Health Services, Inc.</t>
  </si>
  <si>
    <t>POZAK RICHARD</t>
  </si>
  <si>
    <t>Proctor, Stacey, Horizon Health Services, Inc.</t>
  </si>
  <si>
    <t>PROCTOR STACEY</t>
  </si>
  <si>
    <t>Reilly, Ellen, Horizon Health Services, Inc.</t>
  </si>
  <si>
    <t>E0009051</t>
  </si>
  <si>
    <t>REILLY ELLEN M</t>
  </si>
  <si>
    <t>REILLY ELLEN MS.</t>
  </si>
  <si>
    <t>Rickard, Lindsey, Horizon Health Services, Inc.</t>
  </si>
  <si>
    <t>RICKARD LINDSEY MS.</t>
  </si>
  <si>
    <t>Mental Health Association in Genesee County</t>
  </si>
  <si>
    <t>Sue Gagne</t>
  </si>
  <si>
    <t>(416) 777-3941</t>
  </si>
  <si>
    <t>suegcmha@2ki.net</t>
  </si>
  <si>
    <t>Fellowship House, Inc.</t>
  </si>
  <si>
    <t>Donald C. Schultz</t>
  </si>
  <si>
    <t>(716) 282-8510</t>
  </si>
  <si>
    <t>dschultz@fellowshiphouseinc.org</t>
  </si>
  <si>
    <t>Directions in Independent Living, Inc.</t>
  </si>
  <si>
    <t>Leonard X. Liguori</t>
  </si>
  <si>
    <t>lennyliguori@roadrunner.com</t>
  </si>
  <si>
    <t>Batavia Pediatrics,PC</t>
  </si>
  <si>
    <t>Abha Jain</t>
  </si>
  <si>
    <t>(585) 993-2700</t>
  </si>
  <si>
    <t>bataviapediatrics@gmail.com</t>
  </si>
  <si>
    <t>Niagara Cerebal Palsy</t>
  </si>
  <si>
    <t>Jeffrey Paterson</t>
  </si>
  <si>
    <t>jpaterson@niagaracp.rog</t>
  </si>
  <si>
    <t>Chautauqua  County Health Network</t>
  </si>
  <si>
    <t>Ann Morse Abdella</t>
  </si>
  <si>
    <t>(716) 338-0010</t>
  </si>
  <si>
    <t>abdella@cchn.net</t>
  </si>
  <si>
    <t>Hillside Children's Center</t>
  </si>
  <si>
    <t>Clyde Comstock</t>
  </si>
  <si>
    <t>(585) 256-7583</t>
  </si>
  <si>
    <t>CCOMSTOCK@hilsider</t>
  </si>
  <si>
    <t>Health Community Alliance, Inc.</t>
  </si>
  <si>
    <t>Sharon J. Mathe</t>
  </si>
  <si>
    <t>(716) 532-1010</t>
  </si>
  <si>
    <t>Mathes@heanetwork.org</t>
  </si>
  <si>
    <t>Heritage Christian Services, Inc.</t>
  </si>
  <si>
    <t xml:space="preserve">Ronald Little </t>
  </si>
  <si>
    <t>(585) 346-2029</t>
  </si>
  <si>
    <t>rlittle@heritagechristianservices.org</t>
  </si>
  <si>
    <t>Southern Tier Emergency Medical System</t>
  </si>
  <si>
    <t>Donna Kahm</t>
  </si>
  <si>
    <t>(716) 372-0614</t>
  </si>
  <si>
    <t>admin@sthcs.org</t>
  </si>
  <si>
    <t>Cattaraugus Community Action, Inc.</t>
  </si>
  <si>
    <t>Tina G. Zerbian</t>
  </si>
  <si>
    <t>(716) 945-1041</t>
  </si>
  <si>
    <t>tzerbian@ccaction.org</t>
  </si>
  <si>
    <t>Ross Medical Corporation</t>
  </si>
  <si>
    <t>Allegany County Office for the Aging</t>
  </si>
  <si>
    <t>Madeleine M. Gasdik</t>
  </si>
  <si>
    <t>(585) 268-9390</t>
  </si>
  <si>
    <t>gasdikm@alleganyco.com</t>
  </si>
  <si>
    <t>Family Life Center</t>
  </si>
  <si>
    <t>Michael Chapman</t>
  </si>
  <si>
    <t>(716) 856-0029</t>
  </si>
  <si>
    <t>corp@stjohnbaptistbuffalo.org</t>
  </si>
  <si>
    <t>Housing Options Made Easy, Inc.</t>
  </si>
  <si>
    <t>Joseph M. Woodward</t>
  </si>
  <si>
    <t>(716) 532-5508</t>
  </si>
  <si>
    <t>joe@housingoptions.org</t>
  </si>
  <si>
    <t>Erie County Department of Mental Health</t>
  </si>
  <si>
    <t>Deborah A. Goldman</t>
  </si>
  <si>
    <t>(716) 858-8538</t>
  </si>
  <si>
    <t>deborah.goldman@erie.gov</t>
  </si>
  <si>
    <t>Wurlitzer Family Pharmacy, Inc.</t>
  </si>
  <si>
    <t>(716) 735-3261</t>
  </si>
  <si>
    <t>CATTARAUGUS REHABILITATION CENTER INC</t>
  </si>
  <si>
    <t>PRATT, PORTIA, LPN</t>
  </si>
  <si>
    <t>E0361237</t>
  </si>
  <si>
    <t>PRATT PORTIA P</t>
  </si>
  <si>
    <t>PRATTP@SHSWNY.ORG</t>
  </si>
  <si>
    <t>PRATT PORTIA</t>
  </si>
  <si>
    <t>HENNESSY, EMILY, RPAC</t>
  </si>
  <si>
    <t>E0422491</t>
  </si>
  <si>
    <t>HENNESSY EMILY CHRISTINE</t>
  </si>
  <si>
    <t>HENNESSY, EMILY, PA</t>
  </si>
  <si>
    <t>EHENNESSY@KALEIDAHEALTH.ORG</t>
  </si>
  <si>
    <t>HENNESSY EMILY</t>
  </si>
  <si>
    <t>Preferred Physician Care PC</t>
  </si>
  <si>
    <t>E0336733</t>
  </si>
  <si>
    <t>PREFERRED PHYSICIAN CARE PC</t>
  </si>
  <si>
    <t>Neil A Gruppo</t>
  </si>
  <si>
    <t>2816 PLEASANT AVE</t>
  </si>
  <si>
    <t>LAKE VIEW</t>
  </si>
  <si>
    <t>MACVIE, COURTNEY,</t>
  </si>
  <si>
    <t>MACVIE, COURTNEY, LMHCP</t>
  </si>
  <si>
    <t>MACVIE COURTNEY</t>
  </si>
  <si>
    <t>LARKIN, ADAM, LMSW</t>
  </si>
  <si>
    <t>(716) 812-9950</t>
  </si>
  <si>
    <t>ALARKIN@CATSWNY.ORG</t>
  </si>
  <si>
    <t>LARKIN ADAM MR.</t>
  </si>
  <si>
    <t>United Healthcare</t>
  </si>
  <si>
    <t>Randy Blum</t>
  </si>
  <si>
    <t>(212) 216-6624</t>
  </si>
  <si>
    <t>randy-d-blum@uhc.com</t>
  </si>
  <si>
    <t>1 Penn Plaza</t>
  </si>
  <si>
    <t>New York</t>
  </si>
  <si>
    <t>ORLEANS COUNTY OFFICE FOR THE AGING</t>
  </si>
  <si>
    <t>MELISSA BLANAR</t>
  </si>
  <si>
    <t>(585) 589-3191</t>
  </si>
  <si>
    <t>MELISSA.BLANAR@ORLEANSNY.COM</t>
  </si>
  <si>
    <t>14016 STATE ROUTE 31</t>
  </si>
  <si>
    <t>Randolph, Karen , Absolute Care of Allegany</t>
  </si>
  <si>
    <t>Karen Randolph</t>
  </si>
  <si>
    <t>(716) 373-2238</t>
  </si>
  <si>
    <t>krandolph@absolutcare.com</t>
  </si>
  <si>
    <t>RIVER PARK HEALTHCARE CENTER, INC.</t>
  </si>
  <si>
    <t>5TH ST &amp; MAPLE AVE</t>
  </si>
  <si>
    <t>Kennedy, Kevin , Absolute Care of Salamancia</t>
  </si>
  <si>
    <t>E0133926</t>
  </si>
  <si>
    <t>ABSOLUT CTR /NRS REH AT SALAMANCA</t>
  </si>
  <si>
    <t>Kevin Kennedy</t>
  </si>
  <si>
    <t>(716) 945-1800</t>
  </si>
  <si>
    <t>kkennedy@absolutecare.com</t>
  </si>
  <si>
    <t>ABSOLUT CENTER FOR NURSING AND REHABILITATION AT SALAMANCA, LLC</t>
  </si>
  <si>
    <t>451 BROAD ST</t>
  </si>
  <si>
    <t>Attwood, Kimberly, Advantage Physical Therapy</t>
  </si>
  <si>
    <t>Advantage Physical Therapy</t>
  </si>
  <si>
    <t>(716) 433-3368</t>
  </si>
  <si>
    <t>?5556 Davison Rd</t>
  </si>
  <si>
    <t>Lockport</t>
  </si>
  <si>
    <t>Blas, Lisa, Advantage Physical Therapy</t>
  </si>
  <si>
    <t>(716) 433-3369</t>
  </si>
  <si>
    <t>Sisson, Rachel, Advantage Physical Therapy</t>
  </si>
  <si>
    <t>(716) 433-3370</t>
  </si>
  <si>
    <t>Hoover, Steven, Aftercare Nursing Services Inc</t>
  </si>
  <si>
    <t>Aftercare Nursing Services Inc</t>
  </si>
  <si>
    <t>steve@aftercarel.com</t>
  </si>
  <si>
    <t>1680 Walden Avenue</t>
  </si>
  <si>
    <t>Cheektowaga</t>
  </si>
  <si>
    <t>Gasdik, Madeleine , Allegany County Office for the Aging</t>
  </si>
  <si>
    <t>gaskikm@alleganyco.com</t>
  </si>
  <si>
    <t>6085 St. Rt. 19N</t>
  </si>
  <si>
    <t>Belmont</t>
  </si>
  <si>
    <t>Oliveri, Paula, Alliance Family Dental</t>
  </si>
  <si>
    <t>(716) 282-4641</t>
  </si>
  <si>
    <t>alliancefamilydental@roadrunner.com</t>
  </si>
  <si>
    <t xml:space="preserve">1909 Pine Ave. </t>
  </si>
  <si>
    <t>Amandeep Pal, MD PLLC</t>
  </si>
  <si>
    <t>E0390154</t>
  </si>
  <si>
    <t>AMANDEEP PAL MD PLLC</t>
  </si>
  <si>
    <t>AMANDEEP PAL, MD, PLLC</t>
  </si>
  <si>
    <t>Sullivan, Heather, Planned Parenthood of Central and Western New York, Inc.</t>
  </si>
  <si>
    <t>E0386082</t>
  </si>
  <si>
    <t>SULLIVAN HEATHER</t>
  </si>
  <si>
    <t>SULLIVAN HEATHER ANNE</t>
  </si>
  <si>
    <t>1120 E GENESEE ST</t>
  </si>
  <si>
    <t>LINDNER, PATRICIA, NP</t>
  </si>
  <si>
    <t>E0375329</t>
  </si>
  <si>
    <t>LINDNER PATRICIA A</t>
  </si>
  <si>
    <t>LINDNER, PATRICIA, PNP</t>
  </si>
  <si>
    <t>PLINDNER@KALEIDAHEALTH.ORG</t>
  </si>
  <si>
    <t>LINDNER PATRICIA</t>
  </si>
  <si>
    <t>E0033713</t>
  </si>
  <si>
    <t>CUMBO THOMAS ANTHONY MD</t>
  </si>
  <si>
    <t>CUMBO, T. ANTHONY, MD</t>
  </si>
  <si>
    <t>(866) 575-4157</t>
  </si>
  <si>
    <t>TCUMBO@KALEIDAHEALTH.ORG</t>
  </si>
  <si>
    <t>Tomassini, Megan, Chautauqua County Chapter NYSARC Inc/dba The Resource Center</t>
  </si>
  <si>
    <t>E0339962</t>
  </si>
  <si>
    <t>TOMASSINI MEGAN</t>
  </si>
  <si>
    <t>(716) 661-1096</t>
  </si>
  <si>
    <t>Vona, David, Chautauqua County Chapter NYSARC Inc/dba The Resource Center</t>
  </si>
  <si>
    <t>(716) 661-1097</t>
  </si>
  <si>
    <t>Vona, John , Chautauqua County Chapter NYSARC Inc/dba The Resource Center</t>
  </si>
  <si>
    <t>E0240617</t>
  </si>
  <si>
    <t>VONA JOHN ROBERT</t>
  </si>
  <si>
    <t>(716) 661-1098</t>
  </si>
  <si>
    <t>VONA JOHN DR.</t>
  </si>
  <si>
    <t>314 CENTRAL AVE</t>
  </si>
  <si>
    <t>Ward, Linda, Chautauqua County Chapter NYSARC Inc/dba The Resource Center</t>
  </si>
  <si>
    <t>E0364869</t>
  </si>
  <si>
    <t>WARD LINDA P</t>
  </si>
  <si>
    <t>WARD LINDA</t>
  </si>
  <si>
    <t>Wierchowski, Jill, Chautauqua County Chapter NYSARC Inc/dba The Resource Center</t>
  </si>
  <si>
    <t>(716) 661-1100</t>
  </si>
  <si>
    <t>DiPalma, Alexis, Chautauqua County DMH Health Home (HHUNY Southern Tier)</t>
  </si>
  <si>
    <t>Patricia A. Brinkman</t>
  </si>
  <si>
    <t>brinkmap@co.Chautauqua.ny.us</t>
  </si>
  <si>
    <t>DIPALMA ALEXIS</t>
  </si>
  <si>
    <t>Asel, Stacey, Chautauqua County DMH Health Home (HHUNY Southern Tier)</t>
  </si>
  <si>
    <t>(716) 753-4105</t>
  </si>
  <si>
    <t>ASEL STACEY</t>
  </si>
  <si>
    <t>319 CENTRAL AVE</t>
  </si>
  <si>
    <t>Botzen, Sally, Chautauqua County DMH Health Home (HHUNY Southern Tier)</t>
  </si>
  <si>
    <t>(716) 753-4106</t>
  </si>
  <si>
    <t>BOTZENMAYER SALLY</t>
  </si>
  <si>
    <t>200 E 3RD ST</t>
  </si>
  <si>
    <t>Brown, Vernon, Chautauqua County DMH Health Home (HHUNY Southern Tier)</t>
  </si>
  <si>
    <t>(716) 753-4107</t>
  </si>
  <si>
    <t>200 E 3RD ST, CITY HALL</t>
  </si>
  <si>
    <t>Carutis, Alexis, Chautauqua County DMH Health Home (HHUNY Southern Tier)</t>
  </si>
  <si>
    <t>(716) 753-4108</t>
  </si>
  <si>
    <t>CARUTIS ALEXIS</t>
  </si>
  <si>
    <t>Corsi, Molly, Chautauqua County DMH Health Home (HHUNY Southern Tier)</t>
  </si>
  <si>
    <t>(716) 753-4109</t>
  </si>
  <si>
    <t>CORSI MOLLY</t>
  </si>
  <si>
    <t>DeCastro-Barton, Brenda, Chautauqua County DMH Health Home (HHUNY Southern Tier)</t>
  </si>
  <si>
    <t>(716) 753-4110</t>
  </si>
  <si>
    <t>DECASTRO-BARTON BRENDA</t>
  </si>
  <si>
    <t>200 EAST THIRD STREET</t>
  </si>
  <si>
    <t>DeJohn, Melody, Chautauqua County DMH Health Home (HHUNY Southern Tier)</t>
  </si>
  <si>
    <t>(716) 753-4111</t>
  </si>
  <si>
    <t>DEJOHN MELODY</t>
  </si>
  <si>
    <t>99 S ERIE ST</t>
  </si>
  <si>
    <t>Denny, Kevin, Chautauqua County DMH Health Home (HHUNY Southern Tier)</t>
  </si>
  <si>
    <t>E0064354</t>
  </si>
  <si>
    <t>DENNY KEVIN</t>
  </si>
  <si>
    <t>(716) 753-4112</t>
  </si>
  <si>
    <t>DENNY KEVIN DR.</t>
  </si>
  <si>
    <t>DENNY KEVIN MARK</t>
  </si>
  <si>
    <t>106 S PERRY ST STE 4</t>
  </si>
  <si>
    <t>WATKINS GLEN</t>
  </si>
  <si>
    <t>Dillon, Karen, Chautauqua County DMH Health Home (HHUNY Southern Tier)</t>
  </si>
  <si>
    <t>(716) 753-4113</t>
  </si>
  <si>
    <t>DILLON KAREN</t>
  </si>
  <si>
    <t>Drew, Kerry, Chautauqua County DMH Health Home (HHUNY Southern Tier)</t>
  </si>
  <si>
    <t>E0364980</t>
  </si>
  <si>
    <t>DREW KERRY DAHL</t>
  </si>
  <si>
    <t>(716) 753-4114</t>
  </si>
  <si>
    <t>DREW KERRY</t>
  </si>
  <si>
    <t>Erickson-Lamb, Peggy, Chautauqua County DMH Health Home (HHUNY Southern Tier)</t>
  </si>
  <si>
    <t>E0105810</t>
  </si>
  <si>
    <t>ERICKSON PEGGY</t>
  </si>
  <si>
    <t>(716) 753-4115</t>
  </si>
  <si>
    <t>ERICKSON-LAMB PEGGY C</t>
  </si>
  <si>
    <t>Felton, Craig, Chautauqua County DMH Health Home (HHUNY Southern Tier)</t>
  </si>
  <si>
    <t>(716) 753-4116</t>
  </si>
  <si>
    <t>FELTON CRAIG MR.</t>
  </si>
  <si>
    <t>Foti, Karan, Chautauqua County DMH Health Home (HHUNY Southern Tier)</t>
  </si>
  <si>
    <t>(716) 753-4117</t>
  </si>
  <si>
    <t>FOTI KAREN</t>
  </si>
  <si>
    <t>Fred, Victoria, Chautauqua County DMH Health Home (HHUNY Southern Tier)</t>
  </si>
  <si>
    <t>(716) 753-4118</t>
  </si>
  <si>
    <t>FRED VICTORIA</t>
  </si>
  <si>
    <t>Galecki, Alicia, Chautauqua County DMH Health Home (HHUNY Southern Tier)</t>
  </si>
  <si>
    <t>E0027590</t>
  </si>
  <si>
    <t>GALECKI-KUROPAS ALICIA LILIANA</t>
  </si>
  <si>
    <t>(716) 753-4119</t>
  </si>
  <si>
    <t>GALECKI ALICIA</t>
  </si>
  <si>
    <t>Gates, Tammie, Chautauqua County DMH Health Home (HHUNY Southern Tier)</t>
  </si>
  <si>
    <t>(716) 753-4120</t>
  </si>
  <si>
    <t xml:space="preserve">7 N. Erie St. </t>
  </si>
  <si>
    <t>Mayville</t>
  </si>
  <si>
    <t>Gerard, Vivian, Chautauqua County DMH Health Home (HHUNY Southern Tier)</t>
  </si>
  <si>
    <t>E0330951</t>
  </si>
  <si>
    <t>GERARD VIVIAN K</t>
  </si>
  <si>
    <t>(716) 753-4121</t>
  </si>
  <si>
    <t>GERARD VIVIAN MS.</t>
  </si>
  <si>
    <t>Gibbon, Robert, Chautauqua County DMH Health Home (HHUNY Southern Tier)</t>
  </si>
  <si>
    <t>E0137091</t>
  </si>
  <si>
    <t>GIBBON ROBERT JR MD</t>
  </si>
  <si>
    <t>(716) 753-4122</t>
  </si>
  <si>
    <t>GIBBON ROBERT</t>
  </si>
  <si>
    <t>515 PINE ST</t>
  </si>
  <si>
    <t>Ginestre, Melissa, Chautauqua County DMH Health Home (HHUNY Southern Tier)</t>
  </si>
  <si>
    <t>(716) 753-4123</t>
  </si>
  <si>
    <t>GINESTRE MELISSA</t>
  </si>
  <si>
    <t>Graziano, Lynn, Chautauqua County DMH Health Home (HHUNY Southern Tier)</t>
  </si>
  <si>
    <t>(716) 753-4124</t>
  </si>
  <si>
    <t>Gulczynski, Kristin, Chautauqua County DMH Health Home (HHUNY Southern Tier)</t>
  </si>
  <si>
    <t>(716) 753-4125</t>
  </si>
  <si>
    <t>CLEVER KRISTA</t>
  </si>
  <si>
    <t>1015 MICHIGAN AVE</t>
  </si>
  <si>
    <t>LOGANSPORT</t>
  </si>
  <si>
    <t>IN</t>
  </si>
  <si>
    <t>Jackson, Holly, Chautauqua County DMH Health Home (HHUNY Southern Tier)</t>
  </si>
  <si>
    <t>(716) 753-4126</t>
  </si>
  <si>
    <t>JACKSON HOLLY</t>
  </si>
  <si>
    <t>5965 S 900 E</t>
  </si>
  <si>
    <t>SALT LAKE CITY</t>
  </si>
  <si>
    <t>UT</t>
  </si>
  <si>
    <t>Jaquith, Amy, Chautauqua County DMH Health Home (HHUNY Southern Tier)</t>
  </si>
  <si>
    <t>(716) 753-4127</t>
  </si>
  <si>
    <t>JAQUITH AMY</t>
  </si>
  <si>
    <t>Johnson, Alycia, Chautauqua County DMH Health Home (HHUNY Southern Tier)</t>
  </si>
  <si>
    <t>(716) 753-4128</t>
  </si>
  <si>
    <t>JOHNSON ALYCIA</t>
  </si>
  <si>
    <t>People Inc. Young Adult Life Transitions Program</t>
  </si>
  <si>
    <t>E0205520</t>
  </si>
  <si>
    <t>PEOPLE INC BLUE ROSE ICF</t>
  </si>
  <si>
    <t>BLUE ROSE ICF</t>
  </si>
  <si>
    <t>People Inc. Individual Residential Alternative</t>
  </si>
  <si>
    <t>E0247762</t>
  </si>
  <si>
    <t>PEOPLE INC MAIN ST ICF</t>
  </si>
  <si>
    <t>MAIN ST ICF</t>
  </si>
  <si>
    <t>E0202751</t>
  </si>
  <si>
    <t>PEOPLE INC ORCHARD PK</t>
  </si>
  <si>
    <t>ORCHARD PARK ICF</t>
  </si>
  <si>
    <t>ORCHARD PK</t>
  </si>
  <si>
    <t>JACKSON,  TIMOTHY, COUNSELOR III</t>
  </si>
  <si>
    <t>Wesloski, Jennifer, Planned Parenthood of Central and Western New York, Inc.</t>
  </si>
  <si>
    <t>E0060745</t>
  </si>
  <si>
    <t>WESLOWSKI JENNIFER</t>
  </si>
  <si>
    <t>WESLOWSKI JENNIFER L</t>
  </si>
  <si>
    <t>Yosha, Amanat, Planned Parenthood of Central and Western New York, Inc.</t>
  </si>
  <si>
    <t>E0288139</t>
  </si>
  <si>
    <t>YOSHA AMANAT MIGLANI</t>
  </si>
  <si>
    <t>YOSHA AMANAT DR.</t>
  </si>
  <si>
    <t>480 GENESEE ST</t>
  </si>
  <si>
    <t>Yosha, Assaf, Planned Parenthood of Central and Western New York, Inc.</t>
  </si>
  <si>
    <t>E0290512</t>
  </si>
  <si>
    <t>YOSHA ASSAF</t>
  </si>
  <si>
    <t>YOSHA ASSAF  MD</t>
  </si>
  <si>
    <t>1000 SOUTH AVE</t>
  </si>
  <si>
    <t>Rapha Family Medicine</t>
  </si>
  <si>
    <t>E0301302</t>
  </si>
  <si>
    <t>Jocelyn V. Guthrie</t>
  </si>
  <si>
    <t>(716) 833-4019</t>
  </si>
  <si>
    <t>raphafamilymedicine@gmail.com</t>
  </si>
  <si>
    <t>Aftuck, Robin, Southern Tier Community Health Center Network, Inc.</t>
  </si>
  <si>
    <t>E0059567</t>
  </si>
  <si>
    <t>AFTUCK ROBIN CNM</t>
  </si>
  <si>
    <t>Gail Mayeaux</t>
  </si>
  <si>
    <t>AFTUCK ROBIN</t>
  </si>
  <si>
    <t>JONES MEM HOSP</t>
  </si>
  <si>
    <t>Burrows, Helen, Southern Tier Community Health Center Network, Inc.</t>
  </si>
  <si>
    <t>BURROWS HELEN</t>
  </si>
  <si>
    <t>Greenawalt, Heather, Southern Tier Community Health Center Network, Inc.</t>
  </si>
  <si>
    <t>E0343067</t>
  </si>
  <si>
    <t>GREENAWALT HEATHER RAYEE</t>
  </si>
  <si>
    <t>GREENAWALT HEATHER</t>
  </si>
  <si>
    <t>O'Leary, Ronan, Southern Tier Community Health Center Network, Inc.</t>
  </si>
  <si>
    <t>E0410075</t>
  </si>
  <si>
    <t>O'LEARY RONAN DANIEL</t>
  </si>
  <si>
    <t>O'LEARY RONAN DR.</t>
  </si>
  <si>
    <t>ACT Risperdal, , Spectrum Human Services</t>
  </si>
  <si>
    <t>E0028432</t>
  </si>
  <si>
    <t>MENTAL HEALTH SERVICES</t>
  </si>
  <si>
    <t>nisbetb@shswny.rog</t>
  </si>
  <si>
    <t>MENTAL HEALTH SERVICES OF ERIE COUNTY, SOUTHEAST CORP. V</t>
  </si>
  <si>
    <t>Allentown Peds, , Spectrum Human Services</t>
  </si>
  <si>
    <t>E0339218</t>
  </si>
  <si>
    <t>MENTAL HEALTH SERVICES-ERIE COUNTY</t>
  </si>
  <si>
    <t>ERIE COUNTY SOUTHEAST CORP V</t>
  </si>
  <si>
    <t>Blended. SCM, , Spectrum Human Services</t>
  </si>
  <si>
    <t>E0185522</t>
  </si>
  <si>
    <t>SPECTRUM HUMAN SERVICES MH</t>
  </si>
  <si>
    <t>Crossroads, , Spectrum Human Services</t>
  </si>
  <si>
    <t>E0233633</t>
  </si>
  <si>
    <t>MH SVC ERIE SOUTHEAST CORP V</t>
  </si>
  <si>
    <t>MENTAL HEALTH SERVICES OF ERIE COUNTY SECV</t>
  </si>
  <si>
    <t>S BUFFALO CNS CL</t>
  </si>
  <si>
    <t>MICA CD, , Spectrum Human Services</t>
  </si>
  <si>
    <t>MICA MH, , Spectrum Human Services</t>
  </si>
  <si>
    <t>MyCo CD, , Spectrum Human Services</t>
  </si>
  <si>
    <t>E0315541</t>
  </si>
  <si>
    <t>ERIE COUNTY SOUTH EAST CORP V</t>
  </si>
  <si>
    <t>34 N MAIN STREET</t>
  </si>
  <si>
    <t>Northtowns, , Spectrum Human Services</t>
  </si>
  <si>
    <t>MENTAL HEALTH SERVCIES OF ERIE COUNTY SECV</t>
  </si>
  <si>
    <t>SBCC MH, , Spectrum Human Services</t>
  </si>
  <si>
    <t>SBCD, , Spectrum Human Services</t>
  </si>
  <si>
    <t>Southtowns CD, , Spectrum Human Services</t>
  </si>
  <si>
    <t>Springville CD, , Spectrum Human Services</t>
  </si>
  <si>
    <t>Springville MH, , Spectrum Human Services</t>
  </si>
  <si>
    <t>MENTAL HEALTH SERVICES OR ERIE COUNTY SECV</t>
  </si>
  <si>
    <t>WyCo MH, , Spectrum Human Services</t>
  </si>
  <si>
    <t>WYCO Pros, , Spectrum Human Services</t>
  </si>
  <si>
    <t>E0315532</t>
  </si>
  <si>
    <t>Oakfield Pharmacy  (Rosenkran's/Moden-Giroux)</t>
  </si>
  <si>
    <t>E0036870</t>
  </si>
  <si>
    <t>ROSENKRANS PHARMACY INC</t>
  </si>
  <si>
    <t>Girouxmf@rochester.rr.com</t>
  </si>
  <si>
    <t>OAKFIELD FAM PHARM</t>
  </si>
  <si>
    <t>Hilton Pharmacy (Rosenkran's/Moden-Giroux)</t>
  </si>
  <si>
    <t>E0001963</t>
  </si>
  <si>
    <t>32 MAIN ST</t>
  </si>
  <si>
    <t>HILTON</t>
  </si>
  <si>
    <t>Sprague, Jeri, The Chautauqua Center</t>
  </si>
  <si>
    <t>E0407306</t>
  </si>
  <si>
    <t>SPRAGUE JERI</t>
  </si>
  <si>
    <t>SPRAGUE JERI LYNN</t>
  </si>
  <si>
    <t>Dennison, Patrick, The Chautauqua Center</t>
  </si>
  <si>
    <t>E0396001</t>
  </si>
  <si>
    <t>DENNISON PATRICK R</t>
  </si>
  <si>
    <t>DENNISON PATRICK DR.</t>
  </si>
  <si>
    <t>Achtiziger, Ott, The Dale Association, Inc.</t>
  </si>
  <si>
    <t>E0140525</t>
  </si>
  <si>
    <t>ACHTZIGER OTTO J LCSW</t>
  </si>
  <si>
    <t>Maureen A. Wendt</t>
  </si>
  <si>
    <t>(716) 438-2414</t>
  </si>
  <si>
    <t>maureen.wendt@daleassociation.com</t>
  </si>
  <si>
    <t>ACHTZIGER OTTO MR.</t>
  </si>
  <si>
    <t>NIAGARA CO MNTL HLTH</t>
  </si>
  <si>
    <t>Bogdan, Patricia A., The Dale Association, Inc.</t>
  </si>
  <si>
    <t>BOGDAN PATRICIA</t>
  </si>
  <si>
    <t>89 B RIVER ROAD</t>
  </si>
  <si>
    <t>Copeland, Patricia, The Dale Association, Inc.</t>
  </si>
  <si>
    <t>COPELAND PATRICIA MS.</t>
  </si>
  <si>
    <t>89B RIVER RD</t>
  </si>
  <si>
    <t>Essek, Kathryn, The Dale Association, Inc.</t>
  </si>
  <si>
    <t>ESSEK KATHRYN MS.</t>
  </si>
  <si>
    <t>66 MEAD ST</t>
  </si>
  <si>
    <t>Mundy, Anita T., The Dale Association, Inc.</t>
  </si>
  <si>
    <t>E0362132</t>
  </si>
  <si>
    <t>MONDA LINDA</t>
  </si>
  <si>
    <t>1131 KENSINGTON AVE</t>
  </si>
  <si>
    <t>Spuller, Robert, The Dale Association, Inc.</t>
  </si>
  <si>
    <t>E0285970</t>
  </si>
  <si>
    <t>SPULLER ROBERT</t>
  </si>
  <si>
    <t>SPULLER ROBERT MR.</t>
  </si>
  <si>
    <t>Stankovich, Joseph, The Dale Association, Inc.</t>
  </si>
  <si>
    <t>STANKOVICH JOSEPH MR.</t>
  </si>
  <si>
    <t>89 RIVER RD</t>
  </si>
  <si>
    <t>Wrazin, Debra, The Dale Association, Inc.</t>
  </si>
  <si>
    <t>WRAZIN DEBRA</t>
  </si>
  <si>
    <t>89B RIVER ROAD</t>
  </si>
  <si>
    <t>Blondell, Richard, UB Family Medicine, Inc.</t>
  </si>
  <si>
    <t>E0063646</t>
  </si>
  <si>
    <t>BLONDELL RICHARD D MD</t>
  </si>
  <si>
    <t>Henry W.J. Williams</t>
  </si>
  <si>
    <t>(716) 816-7276</t>
  </si>
  <si>
    <t>mrsnyder4@gmail.com</t>
  </si>
  <si>
    <t>BLONDELL RICHARD</t>
  </si>
  <si>
    <t>ERIE CTY MEDICAL CTR</t>
  </si>
  <si>
    <t>Azadfard, Mohammedreza, UB Family Medicine, Inc.</t>
  </si>
  <si>
    <t>E0314808</t>
  </si>
  <si>
    <t>AZADFARD MOHAMMADREZA</t>
  </si>
  <si>
    <t>AZADFARD MOHAMMADREZA DR.</t>
  </si>
  <si>
    <t>MARCHETTI, MARY, CRNA</t>
  </si>
  <si>
    <t>MMARCHETTI@KALEIDAHEALTH.ORG</t>
  </si>
  <si>
    <t>MARCHETTI MARY</t>
  </si>
  <si>
    <t>Johnson, Kara, Chautauqua County DMH Health Home (HHUNY Southern Tier)</t>
  </si>
  <si>
    <t>(716) 753-4129</t>
  </si>
  <si>
    <t>JOHNSON KARA</t>
  </si>
  <si>
    <t>Jones, Kolnae, Chautauqua County DMH Health Home (HHUNY Southern Tier)</t>
  </si>
  <si>
    <t>(716) 753-4130</t>
  </si>
  <si>
    <t>JONES KOLNAE</t>
  </si>
  <si>
    <t xml:space="preserve">New Haven Baptist Church, Inc.  </t>
  </si>
  <si>
    <t>Pastor Kenneth V. Brown Jr.</t>
  </si>
  <si>
    <t>(716) 886-9054</t>
  </si>
  <si>
    <t>248 East Utica Street</t>
  </si>
  <si>
    <t>New Life Restoration Center, Inc.</t>
  </si>
  <si>
    <t>Pastor Melvin Taylor, Jr</t>
  </si>
  <si>
    <t>(716) 883-2250</t>
  </si>
  <si>
    <t>3084 Buffalo</t>
  </si>
  <si>
    <t>New Zion Baptist Church, Inc. ,</t>
  </si>
  <si>
    <t>Pastor Doctor John W. Williams</t>
  </si>
  <si>
    <t>318 High Street Buffalo</t>
  </si>
  <si>
    <t xml:space="preserve">North Star Christian Fellowship, Inc. </t>
  </si>
  <si>
    <t>Pastor Alberto De Leon</t>
  </si>
  <si>
    <t>381 Ferry Street</t>
  </si>
  <si>
    <t>One In Christ Church, Inc.</t>
  </si>
  <si>
    <t>Pastor Frederick A. Gelsey</t>
  </si>
  <si>
    <t>(716) 852-6521</t>
  </si>
  <si>
    <t>938 Broadway Street,</t>
  </si>
  <si>
    <t xml:space="preserve">People's Community Church, Inc. </t>
  </si>
  <si>
    <t>Pastor Charles Henderson</t>
  </si>
  <si>
    <t>(716) 842-6446</t>
  </si>
  <si>
    <t>472 Swan Street</t>
  </si>
  <si>
    <t xml:space="preserve">Pilgrim Missionary Baptist Church, Inc.  </t>
  </si>
  <si>
    <t xml:space="preserve"> Pastor Frank Bostic</t>
  </si>
  <si>
    <t>(716) 854-4880</t>
  </si>
  <si>
    <t>665 Michigan Avenue</t>
  </si>
  <si>
    <t xml:space="preserve">Pleasant Grove Baptist Church, Inc.  </t>
  </si>
  <si>
    <t>Pastor Joe L. Fisher</t>
  </si>
  <si>
    <t>(716) 856-6321</t>
  </si>
  <si>
    <t>226 Cedar Street</t>
  </si>
  <si>
    <t xml:space="preserve">Revival Church of Buffalo, Inc. </t>
  </si>
  <si>
    <t>Pastor Vital Babwiriza</t>
  </si>
  <si>
    <t xml:space="preserve"> 195 Lafayette Avenue</t>
  </si>
  <si>
    <t xml:space="preserve">Second Baptist Church, Inc. </t>
  </si>
  <si>
    <t>Pastor Mark E. Blue</t>
  </si>
  <si>
    <t>(716) 826-4940</t>
  </si>
  <si>
    <t xml:space="preserve"> 18 Church Street</t>
  </si>
  <si>
    <t xml:space="preserve">Second Chance Ministries, Inc.   </t>
  </si>
  <si>
    <t>Pastor Arthur Boyd</t>
  </si>
  <si>
    <t>(716) 883-1481</t>
  </si>
  <si>
    <t>381 East Ferry Street</t>
  </si>
  <si>
    <t xml:space="preserve">Second Temple Baptist Church, Inc. </t>
  </si>
  <si>
    <t>Pastor Milton W. French II</t>
  </si>
  <si>
    <t>(716) 897-1271</t>
  </si>
  <si>
    <t xml:space="preserve"> 812 East Delavan Avenue</t>
  </si>
  <si>
    <t xml:space="preserve">Thankful Community Development Corporation, Inc. </t>
  </si>
  <si>
    <t>Pastor Tommie L. Babbs</t>
  </si>
  <si>
    <t>(716) 572-9198</t>
  </si>
  <si>
    <t xml:space="preserve">197 Sumner Place </t>
  </si>
  <si>
    <t>Trinity Baptist Church, Inc. Buffalo</t>
  </si>
  <si>
    <t xml:space="preserve"> Pastor Bennie D. Jemison, Sr.</t>
  </si>
  <si>
    <t>(716) 835-5955</t>
  </si>
  <si>
    <t xml:space="preserve"> 2930 Bailey Avenue</t>
  </si>
  <si>
    <t>Unity Baptist Church, Inc.Buffalo</t>
  </si>
  <si>
    <t>Pastor Charles D. Fryer</t>
  </si>
  <si>
    <t>(716) 845-5039</t>
  </si>
  <si>
    <t xml:space="preserve"> 183 Sycamore Street </t>
  </si>
  <si>
    <t xml:space="preserve">White Rock Baptist Church, Inc.  </t>
  </si>
  <si>
    <t>Pastor Ivery Daniels</t>
  </si>
  <si>
    <t>(716) 882-1356</t>
  </si>
  <si>
    <t>480 East Utica Street</t>
  </si>
  <si>
    <t>Community Action Organization of Erie County Inc</t>
  </si>
  <si>
    <t>L.Nathan Hare</t>
  </si>
  <si>
    <t>(716) 881-5150</t>
  </si>
  <si>
    <t>lnhare@caoec.org</t>
  </si>
  <si>
    <t xml:space="preserve">70 Harvard Place </t>
  </si>
  <si>
    <t>Neighborhood Services</t>
  </si>
  <si>
    <t>(716) 549-6382</t>
  </si>
  <si>
    <t>251 North Main Street</t>
  </si>
  <si>
    <t>Angola</t>
  </si>
  <si>
    <t>Drug Abuse Research and Treatment</t>
  </si>
  <si>
    <t>(716) 884-9101</t>
  </si>
  <si>
    <t>1237 Main Street</t>
  </si>
  <si>
    <t>Housing and Development</t>
  </si>
  <si>
    <t>(716) 881-6543</t>
  </si>
  <si>
    <t>564 Dodge Street</t>
  </si>
  <si>
    <t>CAO Masten Resource Center</t>
  </si>
  <si>
    <t>(716) 332-3773</t>
  </si>
  <si>
    <t>1423 Filmore Avenue</t>
  </si>
  <si>
    <t>Child and Family Services Delagate</t>
  </si>
  <si>
    <t>(716) 852-7396</t>
  </si>
  <si>
    <t>344 Perry Street</t>
  </si>
  <si>
    <t>Catholic Charities</t>
  </si>
  <si>
    <t>525 Washington Street</t>
  </si>
  <si>
    <t>Holy Cross Head Start</t>
  </si>
  <si>
    <t>(716) 876-0100</t>
  </si>
  <si>
    <t>169 Sheridan Parkside Drive</t>
  </si>
  <si>
    <t>PENDYALA, PRASHANT, MD</t>
  </si>
  <si>
    <t>E0078816</t>
  </si>
  <si>
    <t>PENDYALA PRASHANT MD</t>
  </si>
  <si>
    <t>(716) 912-9595</t>
  </si>
  <si>
    <t>PPENDYALA@KALEIDAHEALTH.ORG</t>
  </si>
  <si>
    <t>PENDYALA PRASHANT</t>
  </si>
  <si>
    <t>CAMPIONE, PETER, MD</t>
  </si>
  <si>
    <t>E0230309</t>
  </si>
  <si>
    <t>CAMPIONE PETER A           MD</t>
  </si>
  <si>
    <t>PCAMPIONE@KALEIDAHEALTH.ORG</t>
  </si>
  <si>
    <t>CAMPIONE PETER DR.</t>
  </si>
  <si>
    <t>BUSH, LINDA, CFNP</t>
  </si>
  <si>
    <t>E0047524</t>
  </si>
  <si>
    <t>BUSH LINDA L</t>
  </si>
  <si>
    <t>BUSH , LINDA       , NP</t>
  </si>
  <si>
    <t>LBUSH@UPA.CHOB.EDU</t>
  </si>
  <si>
    <t>BUSH LINDA</t>
  </si>
  <si>
    <t>ERVOLINA-KROLL, TAMMY, RPAC</t>
  </si>
  <si>
    <t>E0092744</t>
  </si>
  <si>
    <t>ERVOLINA TAMMY B RPA</t>
  </si>
  <si>
    <t>ERVOLINA-KROLL, TAMMY, PA</t>
  </si>
  <si>
    <t>(716) 774-1356</t>
  </si>
  <si>
    <t>TERVOLINAKROLL@KALEIDAHEALTH.ORG</t>
  </si>
  <si>
    <t>ERVOLINA-KROLL TAMMY MRS.</t>
  </si>
  <si>
    <t>ROTHMAN, ILENE, MD</t>
  </si>
  <si>
    <t>E0180343</t>
  </si>
  <si>
    <t>ROTHMAN ILENE L MD</t>
  </si>
  <si>
    <t>IROTHMAN@KALEIDAHEALTH.ORG</t>
  </si>
  <si>
    <t>ROTHMAN ILENE</t>
  </si>
  <si>
    <t>ROTHMAN ILENE LESLIE</t>
  </si>
  <si>
    <t>E0169529</t>
  </si>
  <si>
    <t>SOUTHERN TIER ENVMNTS/LVG</t>
  </si>
  <si>
    <t>97 FOREST AVE</t>
  </si>
  <si>
    <t>JONES, KIM,</t>
  </si>
  <si>
    <t>JONES, KIM, LMSW</t>
  </si>
  <si>
    <t>JONES KIM</t>
  </si>
  <si>
    <t>HENNON, TERESA, MD</t>
  </si>
  <si>
    <t>E0307006</t>
  </si>
  <si>
    <t>HENNON TERESA</t>
  </si>
  <si>
    <t>(716) 878-1689</t>
  </si>
  <si>
    <t>THENNON@KALEIDAHEALTH.ORG</t>
  </si>
  <si>
    <t>HENNON TERESA RUSSELL</t>
  </si>
  <si>
    <t>FELDMAN, DONNA, MD</t>
  </si>
  <si>
    <t>E0031535</t>
  </si>
  <si>
    <t>FELDMAN DONNA A MD</t>
  </si>
  <si>
    <t>FELDMAN DONNA DR.</t>
  </si>
  <si>
    <t>5320 MILITARY RD STE 103</t>
  </si>
  <si>
    <t>WALSH, JENNIFER, MD</t>
  </si>
  <si>
    <t>E0085245</t>
  </si>
  <si>
    <t>WALSH JENNIFER GEORGE MD</t>
  </si>
  <si>
    <t>(716) 830-1657</t>
  </si>
  <si>
    <t>JWALSH@KALEIDAHEALTH.ORG</t>
  </si>
  <si>
    <t>WALSH JENNIFER DR.</t>
  </si>
  <si>
    <t>SHEA, PATRICIA, FNP</t>
  </si>
  <si>
    <t>E0047277</t>
  </si>
  <si>
    <t>SHEA PATRICIA M</t>
  </si>
  <si>
    <t>SHEA PATRICIA</t>
  </si>
  <si>
    <t>KELLY, JAMES, DO</t>
  </si>
  <si>
    <t>E0156175</t>
  </si>
  <si>
    <t>KELLY JAMES JOSEPH DO</t>
  </si>
  <si>
    <t>JKELLY2@KALEIDAHEALTH.ORG</t>
  </si>
  <si>
    <t>KELLY JAMES</t>
  </si>
  <si>
    <t>BFLO HAND SURGERY</t>
  </si>
  <si>
    <t>FARKASH, GIL, MDFACOG</t>
  </si>
  <si>
    <t>E0125602</t>
  </si>
  <si>
    <t>FARKASH GIL MICHAEL MD</t>
  </si>
  <si>
    <t>FARKASH, GIL, MD</t>
  </si>
  <si>
    <t>GFARKASH@KALEIDAHEALTH.ORG</t>
  </si>
  <si>
    <t>FARKASH GIL DR.</t>
  </si>
  <si>
    <t>KATHY</t>
  </si>
  <si>
    <t>HALL, RICHARD, DDSMDP</t>
  </si>
  <si>
    <t>E0215715</t>
  </si>
  <si>
    <t>HALL RICHARD EVERETT      DDS</t>
  </si>
  <si>
    <t>HALL, RICHARD, DDS, MD, PHD, FACS</t>
  </si>
  <si>
    <t>(716) 829-6637</t>
  </si>
  <si>
    <t>RHALL3@KALEIDAHEALTH.ORG</t>
  </si>
  <si>
    <t>HALL RICHARD DR.</t>
  </si>
  <si>
    <t>HALL RICHARD EVERETT</t>
  </si>
  <si>
    <t>GRAHAM, SUSAN, MD</t>
  </si>
  <si>
    <t>E0185097</t>
  </si>
  <si>
    <t>GRAHAM SUSAN PERKINS MD</t>
  </si>
  <si>
    <t>(716) 859-2573</t>
  </si>
  <si>
    <t>SGRAHAM@KALEIDAHEALTH.ORG</t>
  </si>
  <si>
    <t>GRAHAM SUSAN</t>
  </si>
  <si>
    <t>SHEPHERD, CHAD, FNP</t>
  </si>
  <si>
    <t>E0283764</t>
  </si>
  <si>
    <t>SHEPHERD CHAD</t>
  </si>
  <si>
    <t>(716) 433-2674</t>
  </si>
  <si>
    <t>SHEPHERD CHAD MR.</t>
  </si>
  <si>
    <t>SHEPHERD CHAD ANDREW</t>
  </si>
  <si>
    <t>E0163940</t>
  </si>
  <si>
    <t>UCP NIAGARA WARD RD ICF</t>
  </si>
  <si>
    <t>WARD RD ICF</t>
  </si>
  <si>
    <t>WRAGGE, LARISSA, MS</t>
  </si>
  <si>
    <t>WRAGGE,  LARISSA, SR COUNSELOR QHP</t>
  </si>
  <si>
    <t>WRAGGE LARISSA</t>
  </si>
  <si>
    <t>Riley, Jean, Horizon Health Services, Inc.</t>
  </si>
  <si>
    <t>RILEY JEAN MS.</t>
  </si>
  <si>
    <t>Roberts, Jodie, Horizon Health Services, Inc.</t>
  </si>
  <si>
    <t>ROBERTS JODIE</t>
  </si>
  <si>
    <t>Roche, Angela, Horizon Health Services, Inc.</t>
  </si>
  <si>
    <t>E0065643</t>
  </si>
  <si>
    <t>ROCHE ANGELA JEAN</t>
  </si>
  <si>
    <t>ROCHE ANGELA</t>
  </si>
  <si>
    <t>ROCHE ANGELA J</t>
  </si>
  <si>
    <t>Russo, Colleen, Horizon Health Services, Inc.</t>
  </si>
  <si>
    <t>E0371122</t>
  </si>
  <si>
    <t>RUSSO COLLEEN A</t>
  </si>
  <si>
    <t>RUSSO COLLEEN MRS.</t>
  </si>
  <si>
    <t>1465 PAYNE AVE</t>
  </si>
  <si>
    <t>PREFONTAINE, LISA, MSNCC</t>
  </si>
  <si>
    <t>PREFONTAINE,  LISA,</t>
  </si>
  <si>
    <t>PREFONTAINE LISA</t>
  </si>
  <si>
    <t>SHARMA, VISHAL, MD</t>
  </si>
  <si>
    <t>E0032417</t>
  </si>
  <si>
    <t>SHARMA VISHAL MD</t>
  </si>
  <si>
    <t>SHARMA VISHAL</t>
  </si>
  <si>
    <t>(716) 934-3300</t>
  </si>
  <si>
    <t>LEMA, PENELOPE, MD</t>
  </si>
  <si>
    <t>E0021930</t>
  </si>
  <si>
    <t>CHUN PENELOPE SU JUNG MD</t>
  </si>
  <si>
    <t>PLEMA@KALEIDAHEALTH.ORG</t>
  </si>
  <si>
    <t>LEMA PENELOPE</t>
  </si>
  <si>
    <t>LEMA PENELOPE CHUN</t>
  </si>
  <si>
    <t>DEITRICK, PAUL, DMD</t>
  </si>
  <si>
    <t>E0378744</t>
  </si>
  <si>
    <t>DEITRICK PAUL D</t>
  </si>
  <si>
    <t>DEITRICK, PAUL, DMD, MD</t>
  </si>
  <si>
    <t>(215) 906-0364</t>
  </si>
  <si>
    <t>PDEITRICK@KALEIDAHEALTH.ORG</t>
  </si>
  <si>
    <t>DEITRICK PAUL DR.</t>
  </si>
  <si>
    <t>DEITRICK PAUL DOUGLAS</t>
  </si>
  <si>
    <t>JEMIOLO, JULIE-ANNE, ANP</t>
  </si>
  <si>
    <t>THOMPSON, JULIE-ANNE, ANP</t>
  </si>
  <si>
    <t>(716) 597-8067</t>
  </si>
  <si>
    <t>JTHOMPSON22@KALEIDAHEALTH.ORG</t>
  </si>
  <si>
    <t>THOMPSON JULIE-ANNE</t>
  </si>
  <si>
    <t>BURGIO, MELISSA, NP</t>
  </si>
  <si>
    <t>E0369175</t>
  </si>
  <si>
    <t>BURGIO MELISSA ANN</t>
  </si>
  <si>
    <t>BURGIO, MELISSA, WHNP</t>
  </si>
  <si>
    <t>(716) 878-7767</t>
  </si>
  <si>
    <t>MBURGIO@KALEIDAHEALTH.ORG</t>
  </si>
  <si>
    <t>BURGIO MELISSA</t>
  </si>
  <si>
    <t>IACOVITTI, PATRICIA, NURSEPRAC</t>
  </si>
  <si>
    <t>E0065818</t>
  </si>
  <si>
    <t>IACOVITTI PATRICIA A</t>
  </si>
  <si>
    <t>IACOVITTI PATRICIA MRS.</t>
  </si>
  <si>
    <t>BOJEDLA, VIJAY, MD</t>
  </si>
  <si>
    <t>E0206867</t>
  </si>
  <si>
    <t>BOJEDLA VIJAY K</t>
  </si>
  <si>
    <t>VIJAY BOJEDLA, M.D.</t>
  </si>
  <si>
    <t>(716) 284-8333</t>
  </si>
  <si>
    <t>VIJAY.BOJEDLA@NFMMC.ORG</t>
  </si>
  <si>
    <t>BOJEDLA VIJAY DR.</t>
  </si>
  <si>
    <t>1404 PINE AVE</t>
  </si>
  <si>
    <t>SCHLEHR, FRANK, MD</t>
  </si>
  <si>
    <t>E0115713</t>
  </si>
  <si>
    <t>SCHLEHR FRANK</t>
  </si>
  <si>
    <t>(716) 626-1824</t>
  </si>
  <si>
    <t>FSCHLEHR@KALEIDAHEALTH.ORG</t>
  </si>
  <si>
    <t>SCHLEHR FRANK DR.</t>
  </si>
  <si>
    <t>MELANSON, JULIA, DO</t>
  </si>
  <si>
    <t>E0342451</t>
  </si>
  <si>
    <t>MELANSON JULIA DIANE</t>
  </si>
  <si>
    <t>JMELANSON@KALEIDAHEALTH.ORG</t>
  </si>
  <si>
    <t>MELANSON JULIA</t>
  </si>
  <si>
    <t>BLOOM, MICHAEL, MD</t>
  </si>
  <si>
    <t>E0227175</t>
  </si>
  <si>
    <t>BLOOM MICHAEL J            MD</t>
  </si>
  <si>
    <t>(716) 634-8989</t>
  </si>
  <si>
    <t>MBLOOM@KALEIDAHEALTH.ORG</t>
  </si>
  <si>
    <t>BLOOM MICHAEL DR.</t>
  </si>
  <si>
    <t>8995 MAIN ST</t>
  </si>
  <si>
    <t>DOWNEY, DOROTHEA,</t>
  </si>
  <si>
    <t>E0206631</t>
  </si>
  <si>
    <t>DOWNEY DOROTHEA ANN        MD</t>
  </si>
  <si>
    <t>DOWNEY, DOROTHEA, MD</t>
  </si>
  <si>
    <t>DDOWNEY@KALEIDAHEALTH.ORG</t>
  </si>
  <si>
    <t>DOWNEY DOROTHEA</t>
  </si>
  <si>
    <t>94 OLEAN ST</t>
  </si>
  <si>
    <t>COHEN, ROBERT, DDSPHD</t>
  </si>
  <si>
    <t>COHEN, ROBERT, DDS</t>
  </si>
  <si>
    <t>(716) 829-3845</t>
  </si>
  <si>
    <t>RCOHEN@KALEIDAHEALTH.ORG</t>
  </si>
  <si>
    <t>COHEN ROBERT DR.</t>
  </si>
  <si>
    <t>250 SQUIRE HALL, SCHOOL OF DENTAL MEDICINE UNIVERSITY AT BUFFALO</t>
  </si>
  <si>
    <t>BUFFALO, NY</t>
  </si>
  <si>
    <t>BASIOR, JEANNE, MD</t>
  </si>
  <si>
    <t>E0111536</t>
  </si>
  <si>
    <t>BASIOR JEANNE MARIE MD</t>
  </si>
  <si>
    <t>JBASIOR@KALEIDAHEALTH.ORG</t>
  </si>
  <si>
    <t>BASIOR JEANNE DR.</t>
  </si>
  <si>
    <t>SRIVASTAVA, MAYA, MSMDPHD</t>
  </si>
  <si>
    <t>E0066773</t>
  </si>
  <si>
    <t>SRIVASTAVA MAYA DEVI MD</t>
  </si>
  <si>
    <t>SRIVASTAVA, MAYA, MD</t>
  </si>
  <si>
    <t>(716) 688-0525</t>
  </si>
  <si>
    <t>MSRIVASTAVA@KALEIDAHEALTH.ORG</t>
  </si>
  <si>
    <t>SRIVASTAVA MAYA</t>
  </si>
  <si>
    <t>KITA, JOSEPH, MD</t>
  </si>
  <si>
    <t>E0010310</t>
  </si>
  <si>
    <t>KITA JOSEPH THOMAS  MD</t>
  </si>
  <si>
    <t>JKITA@KALEIDAHEALTH.ORG</t>
  </si>
  <si>
    <t>KITA JOSEPH DR.</t>
  </si>
  <si>
    <t>SONIWALA, SAIFUDDIN, MD</t>
  </si>
  <si>
    <t>E0110407</t>
  </si>
  <si>
    <t>SONIWALA SAIFUDDIN MD</t>
  </si>
  <si>
    <t>(716) 688-2652</t>
  </si>
  <si>
    <t>SSONIWALA@KALEIDAHEALTH.ORG</t>
  </si>
  <si>
    <t>SONIWALA SAIFUDDIN DR.</t>
  </si>
  <si>
    <t>3831 HARLEM RD</t>
  </si>
  <si>
    <t>DILLON, WILLIAM, MD</t>
  </si>
  <si>
    <t>E0251458</t>
  </si>
  <si>
    <t>DILLON WILLIAM PAUL        MD</t>
  </si>
  <si>
    <t>WDILLON@KALEIDAHEALTH.ORG</t>
  </si>
  <si>
    <t>DILLON WILLIAM DR.</t>
  </si>
  <si>
    <t>DILLON WILLIAM PAUL</t>
  </si>
  <si>
    <t>VARALLO, NICHOLAS, MD</t>
  </si>
  <si>
    <t>E0228611</t>
  </si>
  <si>
    <t>VARALLO NICHOLAS MD</t>
  </si>
  <si>
    <t>(716) 433-5454</t>
  </si>
  <si>
    <t>VARALLO NICHOLAS</t>
  </si>
  <si>
    <t>136 WALNUT ST</t>
  </si>
  <si>
    <t>JAYASELVI KOLLI MD PC</t>
  </si>
  <si>
    <t>E0027096</t>
  </si>
  <si>
    <t>FABIAN, JOHN, MD</t>
  </si>
  <si>
    <t>E0171874</t>
  </si>
  <si>
    <t>FABIAN JOHN A MD</t>
  </si>
  <si>
    <t>(716) 693-1596</t>
  </si>
  <si>
    <t>JFABIAN@KALEIDAHEALTH.ORG</t>
  </si>
  <si>
    <t>FABIAN JOHN</t>
  </si>
  <si>
    <t>FABIAN JOHN ANDREW</t>
  </si>
  <si>
    <t>VETRANO, ANTHONY, MD</t>
  </si>
  <si>
    <t>E0180702</t>
  </si>
  <si>
    <t>VETRANO ANTHONY T MD</t>
  </si>
  <si>
    <t>AVETRANO@KALEIDAHEALTH.ORG</t>
  </si>
  <si>
    <t>VETRANO ANTHONY DR.</t>
  </si>
  <si>
    <t>VETRANO ANTHONY T</t>
  </si>
  <si>
    <t>CENTURY-AIRPORT PEDS</t>
  </si>
  <si>
    <t>PUNDT, MARK, MD</t>
  </si>
  <si>
    <t>E0165834</t>
  </si>
  <si>
    <t>PUNDT MARK R MD</t>
  </si>
  <si>
    <t>MPUNDT@KALEIDAHEALTH.ORG</t>
  </si>
  <si>
    <t>PUNDT MARK DR.</t>
  </si>
  <si>
    <t>SMITH, MATTHEW, MD</t>
  </si>
  <si>
    <t>E0061799</t>
  </si>
  <si>
    <t>SMITH MATTHEW E MD</t>
  </si>
  <si>
    <t>MSMITH2@KALEIDAHEALTH.ORG</t>
  </si>
  <si>
    <t>SMITH MATTHEW DR.</t>
  </si>
  <si>
    <t>KAPLAN, LEONARD, DO</t>
  </si>
  <si>
    <t>E0074170</t>
  </si>
  <si>
    <t>KAPLAN LEONARD DO</t>
  </si>
  <si>
    <t>LKAPLAN@KALEIDAHEALTH.ORG</t>
  </si>
  <si>
    <t>KAPLAN LEONARD DR.</t>
  </si>
  <si>
    <t>NIAGARA FALLS MEMORIAL MEDICAL CENTER</t>
  </si>
  <si>
    <t>E0058198</t>
  </si>
  <si>
    <t>NIAGARA FALLS MEM MED CTR</t>
  </si>
  <si>
    <t>SHEILA KEES</t>
  </si>
  <si>
    <t>NIAGARA FALLS MEMORIAL MEDICAL CENT</t>
  </si>
  <si>
    <t>DENARDIN, ANN, MD</t>
  </si>
  <si>
    <t>E0076086</t>
  </si>
  <si>
    <t>DENARDIN ANN</t>
  </si>
  <si>
    <t>(716) 839-1690</t>
  </si>
  <si>
    <t>ADENARDIN@KALEIDAHEALTH.ORG</t>
  </si>
  <si>
    <t>DENARDIN ANN DR.</t>
  </si>
  <si>
    <t>Blake, Janet, Aspire of WNY</t>
  </si>
  <si>
    <t>E0049587</t>
  </si>
  <si>
    <t>BLAKE JANE RENNIE</t>
  </si>
  <si>
    <t>Thomas Sy</t>
  </si>
  <si>
    <t>(716) 505-5502</t>
  </si>
  <si>
    <t>BLAKE JANE</t>
  </si>
  <si>
    <t>Cowan, Richard, Aspire of WNY</t>
  </si>
  <si>
    <t>(716) 505-5503</t>
  </si>
  <si>
    <t xml:space="preserve">2357 N. Forest </t>
  </si>
  <si>
    <t>Getzville</t>
  </si>
  <si>
    <t>E0236177</t>
  </si>
  <si>
    <t>CATTARAUGUS CNTY MH GUIDEPOST</t>
  </si>
  <si>
    <t>203 LAURENS ST</t>
  </si>
  <si>
    <t>JAFARI, KATHERINE, MSW</t>
  </si>
  <si>
    <t>E0369514</t>
  </si>
  <si>
    <t>JAFARI KATHERINE MARIE</t>
  </si>
  <si>
    <t>JAFARI, KATHERINE, LCSW</t>
  </si>
  <si>
    <t>(716) 884-0700</t>
  </si>
  <si>
    <t>JAFARIK@SHSWNY.ORG</t>
  </si>
  <si>
    <t>JAFARI KATHERINE MS.</t>
  </si>
  <si>
    <t>LEMA, GARETH, MDPHD</t>
  </si>
  <si>
    <t>E0322869</t>
  </si>
  <si>
    <t>LEMA GARETH MARK CZAMARA</t>
  </si>
  <si>
    <t>LEMA, GARETH, MD</t>
  </si>
  <si>
    <t>(716) 912-9191</t>
  </si>
  <si>
    <t>GLEMA@KALEIDAHEALTH.ORG</t>
  </si>
  <si>
    <t>LEMA GARETH DR.</t>
  </si>
  <si>
    <t>601 ELMWOOD AVE BOX 659</t>
  </si>
  <si>
    <t>CALKINS, BETHANY, MD</t>
  </si>
  <si>
    <t>E0339076</t>
  </si>
  <si>
    <t>CALKINS BETHANY CHRISTINE</t>
  </si>
  <si>
    <t>BCALKINS@KALEIDAHEALTH.ORG</t>
  </si>
  <si>
    <t>CALKINS BETHANY DR.</t>
  </si>
  <si>
    <t>NAZARETH, HELEN, MDPHD</t>
  </si>
  <si>
    <t>E0374534</t>
  </si>
  <si>
    <t>NAZARETH HELEN MARIE</t>
  </si>
  <si>
    <t>NAZARETH, HELEN, MD</t>
  </si>
  <si>
    <t>HNAZARETH@KALEIDAHEALTH.ORG</t>
  </si>
  <si>
    <t>NAZARETH HELEN</t>
  </si>
  <si>
    <t>SHAMSI, SYED, MBBS</t>
  </si>
  <si>
    <t>E0341998</t>
  </si>
  <si>
    <t>SHAMSI SYED ALI RAZA</t>
  </si>
  <si>
    <t>SHAMSI SYED DR.</t>
  </si>
  <si>
    <t>(646) 345-1747</t>
  </si>
  <si>
    <t>HASSINGER, AMANDA, MD</t>
  </si>
  <si>
    <t>E0321544</t>
  </si>
  <si>
    <t>HASSINGER AMANDA B</t>
  </si>
  <si>
    <t>HASSINGER , AMANDA, MD</t>
  </si>
  <si>
    <t>(716) 878-7484</t>
  </si>
  <si>
    <t>AHASSINGER@UPA.CHOB.EDU</t>
  </si>
  <si>
    <t>HASSINGER AMANDA</t>
  </si>
  <si>
    <t>HASSINGER AMANDA BROOKS</t>
  </si>
  <si>
    <t>BATH, SHELLEY, MD</t>
  </si>
  <si>
    <t>E0306535</t>
  </si>
  <si>
    <t>BATH SHELLEY SINGH</t>
  </si>
  <si>
    <t>(716) 989-9325</t>
  </si>
  <si>
    <t>BATH SHELLEY DR.</t>
  </si>
  <si>
    <t>BRUNDIN, DOUGLAS, CRNA</t>
  </si>
  <si>
    <t>DBRUNDIN@KALEIDAHEALTH.ORG</t>
  </si>
  <si>
    <t>BRUNDIN DOUGLAS MR.</t>
  </si>
  <si>
    <t>338 HARRIS HILL RD, SUITE 207</t>
  </si>
  <si>
    <t>CRUZ, DESSIALIS, RPACMPA</t>
  </si>
  <si>
    <t>E0330045</t>
  </si>
  <si>
    <t>CRUZ DESSIALIS</t>
  </si>
  <si>
    <t>DESSI CRUZ, , MD</t>
  </si>
  <si>
    <t>CRUZ DESSIALIS MRS.</t>
  </si>
  <si>
    <t>1001 11TH ST, 3RD FLOOR</t>
  </si>
  <si>
    <t>LYNCH, ALEXIS, ANP</t>
  </si>
  <si>
    <t>E0364956</t>
  </si>
  <si>
    <t>LYNCH ALEXIS LATRICE</t>
  </si>
  <si>
    <t>ALYNCH2@KALEIDAHEALTH.ORG</t>
  </si>
  <si>
    <t>LYNCH ALEXIS</t>
  </si>
  <si>
    <t>GRIFFING, CINDY, LMHC</t>
  </si>
  <si>
    <t>GRIFFING, CINDY, MHC</t>
  </si>
  <si>
    <t>(585) 245-9355</t>
  </si>
  <si>
    <t>GRIFFINGC@SHSWNY.ORG</t>
  </si>
  <si>
    <t>GRIFFING CINDY MRS.</t>
  </si>
  <si>
    <t>29 MAIN ST</t>
  </si>
  <si>
    <t>PAWLIK, JASON,</t>
  </si>
  <si>
    <t>PAWLIK,  JASON, COUNSELOR III</t>
  </si>
  <si>
    <t>PAWLIK JASON</t>
  </si>
  <si>
    <t>BHAT, MUSHTAQ, MD</t>
  </si>
  <si>
    <t>E0362392</t>
  </si>
  <si>
    <t>BHAT MUSHTAQ</t>
  </si>
  <si>
    <t>(716) 563-2096</t>
  </si>
  <si>
    <t>MBHAT@KALEIDAHEALTH.ORG</t>
  </si>
  <si>
    <t>BHAT MUSHTAQ DR.</t>
  </si>
  <si>
    <t>BHAT MUSHTAQ AHMAD</t>
  </si>
  <si>
    <t>BOYCE, JENNIFER, NP</t>
  </si>
  <si>
    <t>E0318255</t>
  </si>
  <si>
    <t>BOYCE JENNIFER</t>
  </si>
  <si>
    <t>BOYCE, JENNIFER, FNP</t>
  </si>
  <si>
    <t>JBOYCE2@KALEIDAHEALTH.ORG</t>
  </si>
  <si>
    <t>BOYCE JENNIFER MS.</t>
  </si>
  <si>
    <t>BOYCE JENNIFER LEIGH</t>
  </si>
  <si>
    <t>Christa L. Zenoski, MD</t>
  </si>
  <si>
    <t>E0299649</t>
  </si>
  <si>
    <t>CHRISTA L ZENOSKI</t>
  </si>
  <si>
    <t>(716) 376-2388</t>
  </si>
  <si>
    <t>ZENOSKI CHRISTA</t>
  </si>
  <si>
    <t>ZENOSKI CHRISTA L</t>
  </si>
  <si>
    <t>WEINRIEB, ILJA,</t>
  </si>
  <si>
    <t>E0243029</t>
  </si>
  <si>
    <t>WEINRIEB ILJA J            MD</t>
  </si>
  <si>
    <t>WEINRIEB, ILJA, MD</t>
  </si>
  <si>
    <t>(716) 636-9056</t>
  </si>
  <si>
    <t>IWEINRIEB@KALEIDAHEALTH.ORG</t>
  </si>
  <si>
    <t>WEINRIEB ILJA</t>
  </si>
  <si>
    <t>BUFFALO ULTRASOUND, IDTF INC</t>
  </si>
  <si>
    <t>E0059609</t>
  </si>
  <si>
    <t>BUFFALO ULTRASOUND IDTF INC</t>
  </si>
  <si>
    <t>(716) 631-2262</t>
  </si>
  <si>
    <t>388 EVANS ST</t>
  </si>
  <si>
    <t>CHIROPRACTOR/PORT-XRAY-SVC  - QMB SERVICES</t>
  </si>
  <si>
    <t>ROESSLER, LORI, PA</t>
  </si>
  <si>
    <t>E0043654</t>
  </si>
  <si>
    <t>ROESSLER LORI A</t>
  </si>
  <si>
    <t>LROESSLER@KALEIDAHEALTH.ORG</t>
  </si>
  <si>
    <t>ROESSLER LORI</t>
  </si>
  <si>
    <t>INHELDER, MIRIAM, PA</t>
  </si>
  <si>
    <t>E0049677</t>
  </si>
  <si>
    <t>INHELDER MIRIAM G</t>
  </si>
  <si>
    <t>(716) 829-2070</t>
  </si>
  <si>
    <t>MINHELDER@KALEIDAHEALTH.ORG</t>
  </si>
  <si>
    <t>INHELDER MIRIAM</t>
  </si>
  <si>
    <t>D'SOUZA, MARCELINO, MD</t>
  </si>
  <si>
    <t>E0224317</t>
  </si>
  <si>
    <t>DSOUZA MARCELINO FABIAN</t>
  </si>
  <si>
    <t>MD'SOUZA@KALEIDAHEALTH.ORG</t>
  </si>
  <si>
    <t>D'SOUZA MARCELINO</t>
  </si>
  <si>
    <t>AMHERST OB GYN</t>
  </si>
  <si>
    <t>FAROOQI, MUFTI, MD</t>
  </si>
  <si>
    <t>E0310487</t>
  </si>
  <si>
    <t>FAROOQI MUFTI MUZAMIL MEHRAJ</t>
  </si>
  <si>
    <t>(716) 440-2021</t>
  </si>
  <si>
    <t>MFAROOQI@KALEIDAHEALTH.ORG</t>
  </si>
  <si>
    <t>FAROOQI MUFTI</t>
  </si>
  <si>
    <t>PIHLBLAD, MATTHEW, MD</t>
  </si>
  <si>
    <t>E0347197</t>
  </si>
  <si>
    <t>PIHLBLAD MATTHEW</t>
  </si>
  <si>
    <t>(310) 825-5000</t>
  </si>
  <si>
    <t>MPIHLBLAD@KALEIDAHEALTH.ORG</t>
  </si>
  <si>
    <t>BEAUPIN, LYNDA, MD</t>
  </si>
  <si>
    <t>E0316107</t>
  </si>
  <si>
    <t>BEAUPIN LYNDA MYONG</t>
  </si>
  <si>
    <t>LBEAUPIN@KALEIDAHEALTH.ORG</t>
  </si>
  <si>
    <t>BEAUPIN LYNDA</t>
  </si>
  <si>
    <t>SCHETTINO, CHRIS, MD</t>
  </si>
  <si>
    <t>E0428442</t>
  </si>
  <si>
    <t>SCHETTINO CHRIS</t>
  </si>
  <si>
    <t>SCHETTINO, CHRISTOPHER, MD</t>
  </si>
  <si>
    <t>(302) 651-6212</t>
  </si>
  <si>
    <t>CSCHETTINO@KALEIDAHEALTH.ORG</t>
  </si>
  <si>
    <t>SCHETTINO CHRIS DR.</t>
  </si>
  <si>
    <t>ADRAGNA, MICHAEL, MD</t>
  </si>
  <si>
    <t>E0336281</t>
  </si>
  <si>
    <t>ADRAGNA MICHAEL S</t>
  </si>
  <si>
    <t>(401) 444-3762</t>
  </si>
  <si>
    <t>MADRAGNA@KALEIDAHEALTH.ORG</t>
  </si>
  <si>
    <t>ADRAGNA MICHAEL DR.</t>
  </si>
  <si>
    <t>ARIF, SHOAIB, MD</t>
  </si>
  <si>
    <t>E0338187</t>
  </si>
  <si>
    <t>ARIF SHOAIB</t>
  </si>
  <si>
    <t>(347) 706-8855</t>
  </si>
  <si>
    <t>600 NORTHERN BLVD</t>
  </si>
  <si>
    <t>Saeed, Mohammed, Horizon Health Services, Inc.</t>
  </si>
  <si>
    <t>E0332329</t>
  </si>
  <si>
    <t>SAEED MOHAMMAD ARSHAD</t>
  </si>
  <si>
    <t>SAEED MOHAMMAD DR.</t>
  </si>
  <si>
    <t>Schwartz, Anna, Horizon Health Services, Inc.</t>
  </si>
  <si>
    <t>SCHWARTZ ANNA</t>
  </si>
  <si>
    <t>Shaw, Jacquelyn, Horizon Health Services, Inc.</t>
  </si>
  <si>
    <t>SHAW JACQUELYN</t>
  </si>
  <si>
    <t>Smith, Evan, Horizon Health Services, Inc.</t>
  </si>
  <si>
    <t>SMITH EVAN</t>
  </si>
  <si>
    <t>Spin, Michael, Horizon Health Services, Inc.</t>
  </si>
  <si>
    <t>SPIN MICHAEL MR.</t>
  </si>
  <si>
    <t>Stays, Monique, Horizon Health Services, Inc.</t>
  </si>
  <si>
    <t>STAYS MONIQUE MS.</t>
  </si>
  <si>
    <t>1600 CENTRAL AVE</t>
  </si>
  <si>
    <t>FAR ROCKAWAY</t>
  </si>
  <si>
    <t>Steinhaus, Beth, Horizon Health Services, Inc.</t>
  </si>
  <si>
    <t>STEINHAUS BETH</t>
  </si>
  <si>
    <t>Sullivan, Alyssa, Horizon Health Services, Inc.</t>
  </si>
  <si>
    <t>SULLIVAN ALYSSA</t>
  </si>
  <si>
    <t>3020 BAILEY AVE, SECOND FLOOR</t>
  </si>
  <si>
    <t>Sykes, Kristina, Horizon Health Services, Inc.</t>
  </si>
  <si>
    <t>E0358088</t>
  </si>
  <si>
    <t>SYKES KRISTINA ELIZABETH</t>
  </si>
  <si>
    <t>SYKES KRISTINA</t>
  </si>
  <si>
    <t>Wagner, Judy, Horizon Health Services, Inc.</t>
  </si>
  <si>
    <t>VANDERMARK BRANDY MS.</t>
  </si>
  <si>
    <t>Weis, Herbert, Horizon Health Services, Inc.</t>
  </si>
  <si>
    <t>E0072768</t>
  </si>
  <si>
    <t>WEIS HERBERT</t>
  </si>
  <si>
    <t>WEIS HERBERT DR.</t>
  </si>
  <si>
    <t>Williams, Karen, Horizon Health Services, Inc.</t>
  </si>
  <si>
    <t>WILLIAMS KAREN</t>
  </si>
  <si>
    <t>Yager, Sharon, Horizon Health Services, Inc.</t>
  </si>
  <si>
    <t>E0321977</t>
  </si>
  <si>
    <t>YAGER SHARON</t>
  </si>
  <si>
    <t>YAGER SHARON MRS.</t>
  </si>
  <si>
    <t>YAGER SHARON ELIZABETH</t>
  </si>
  <si>
    <t>225 LYDIA LN</t>
  </si>
  <si>
    <t>Zimpfer, Elliot, Horizon Health Services, Inc.</t>
  </si>
  <si>
    <t>ZIMPFER ELLIOT</t>
  </si>
  <si>
    <t>Doyle, Sarah, IPC Hospital Services of New York, P.C.</t>
  </si>
  <si>
    <t>E0355468</t>
  </si>
  <si>
    <t>DOYLE SARAH P</t>
  </si>
  <si>
    <t>Adam Singer, MD</t>
  </si>
  <si>
    <t>(818) 766-3502</t>
  </si>
  <si>
    <t>jmerida@ipcm.com</t>
  </si>
  <si>
    <t>DOYLE SARAH</t>
  </si>
  <si>
    <t>Bieniek, Christopher, IPC Hospital Services of New York, P.C.</t>
  </si>
  <si>
    <t>E0299611</t>
  </si>
  <si>
    <t>CHRISTOPHER DAVID BIENIEK PA</t>
  </si>
  <si>
    <t>BIENIEK CHRISTOPHER</t>
  </si>
  <si>
    <t>BIENIEK CHRISTOPHER DAVID RPA</t>
  </si>
  <si>
    <t>Coghlan, Lorinda, IPC Hospital Services of New York, P.C.</t>
  </si>
  <si>
    <t>E0360323</t>
  </si>
  <si>
    <t>COGHLAN LORINDA LEA</t>
  </si>
  <si>
    <t>COGHLAN LORINDA</t>
  </si>
  <si>
    <t>217 EAST AVE</t>
  </si>
  <si>
    <t>MINOA</t>
  </si>
  <si>
    <t>Corsi, Sandra, IPC Hospital Services of New York, P.C.</t>
  </si>
  <si>
    <t>E0385540</t>
  </si>
  <si>
    <t>CORSI SANDRA J</t>
  </si>
  <si>
    <t>CORSI SANDRA</t>
  </si>
  <si>
    <t>48 COLONIAL DR</t>
  </si>
  <si>
    <t>HORSEHEADS</t>
  </si>
  <si>
    <t>Farrugia, David, IPC Hospital Services of New York, P.C.</t>
  </si>
  <si>
    <t>E0312784</t>
  </si>
  <si>
    <t>FARRUGIA DAVID JOSEPH JR</t>
  </si>
  <si>
    <t>FARRUGIA DAVID DR.</t>
  </si>
  <si>
    <t>Green, Merry Lyn, IPC Hospital Services of New York, P.C.</t>
  </si>
  <si>
    <t>E0345133</t>
  </si>
  <si>
    <t>GREEN MERRY LYN</t>
  </si>
  <si>
    <t>GREEN MERRY LYN MRS.</t>
  </si>
  <si>
    <t>Love, Elizabeth, IPC Hospital Services of New York, P.C.</t>
  </si>
  <si>
    <t>E0123846</t>
  </si>
  <si>
    <t>LOVE ELIZABETH M MD</t>
  </si>
  <si>
    <t>LOVE ELIZABETH</t>
  </si>
  <si>
    <t>NORTHGATE MANOR HCF</t>
  </si>
  <si>
    <t>Metzger, Edward, IPC Hospital Services of New York, P.C.</t>
  </si>
  <si>
    <t>E0084542</t>
  </si>
  <si>
    <t>METZGER EDWARD JOHN JR</t>
  </si>
  <si>
    <t>METZGER EDWARD</t>
  </si>
  <si>
    <t>NIAGARA GERIATRIC CT</t>
  </si>
  <si>
    <t>Michel, Sandra, IPC Hospital Services of New York, P.C.</t>
  </si>
  <si>
    <t>E0364125</t>
  </si>
  <si>
    <t>MICHEL SANDRA J</t>
  </si>
  <si>
    <t>MICHEL SANDRA</t>
  </si>
  <si>
    <t>Montgomery, Carolyn, IPC Hospital Services of New York, P.C.</t>
  </si>
  <si>
    <t>E0065483</t>
  </si>
  <si>
    <t>MONTGOMERY CAROLYN A</t>
  </si>
  <si>
    <t>MONTGOMERY CAROLYN</t>
  </si>
  <si>
    <t>Shiel, Marcia, IPC Hospital Services of New York, P.C.</t>
  </si>
  <si>
    <t>E0020959</t>
  </si>
  <si>
    <t>SHIEL MARCIA</t>
  </si>
  <si>
    <t>SHIEL MARCIA MRS.</t>
  </si>
  <si>
    <t>Valenti, Sherri, IPC Hospital Services of New York, P.C.</t>
  </si>
  <si>
    <t>E0286885</t>
  </si>
  <si>
    <t>VALENTI SHERRI LYNN</t>
  </si>
  <si>
    <t>Witman, Jodi, IPC Hospital Services of New York, P.C.</t>
  </si>
  <si>
    <t>E0329990</t>
  </si>
  <si>
    <t>WITMAN JODI L</t>
  </si>
  <si>
    <t>WITMAN JODI MS.</t>
  </si>
  <si>
    <t>Nordin, Pamela, Lutheran Retirement Home</t>
  </si>
  <si>
    <t>Pamela Nordin</t>
  </si>
  <si>
    <t>(716) 665-4905</t>
  </si>
  <si>
    <t>pnordin@lutheran-jamestown.org</t>
  </si>
  <si>
    <t xml:space="preserve">715 Falconer St. </t>
  </si>
  <si>
    <t>Iula, Doreen,  Lutheran Retirement Home</t>
  </si>
  <si>
    <t>E0417365</t>
  </si>
  <si>
    <t>IULA DOREEN</t>
  </si>
  <si>
    <t>715 FALCONER ST</t>
  </si>
  <si>
    <t xml:space="preserve">5400 Sheridan Dr. </t>
  </si>
  <si>
    <t>Genau, Joseph, Aspire of WNY</t>
  </si>
  <si>
    <t>E0155941</t>
  </si>
  <si>
    <t>GENAU JOSEPH M DPM</t>
  </si>
  <si>
    <t>(716) 505-5504</t>
  </si>
  <si>
    <t>GENAU JOSEPH</t>
  </si>
  <si>
    <t>Hays, Thomas, Aspire of WNY</t>
  </si>
  <si>
    <t>E0124175</t>
  </si>
  <si>
    <t>HAYS THOMAS MD</t>
  </si>
  <si>
    <t>(716) 505-5505</t>
  </si>
  <si>
    <t>HAYS THOMAS</t>
  </si>
  <si>
    <t>Ippolito, Loraine, Aspire of WNY</t>
  </si>
  <si>
    <t>E0020758</t>
  </si>
  <si>
    <t>IPPOLITO LORAINE</t>
  </si>
  <si>
    <t>(716) 505-5506</t>
  </si>
  <si>
    <t>Shin, In-Sook, Aspire of WNY</t>
  </si>
  <si>
    <t>E0234530</t>
  </si>
  <si>
    <t>SHIN IN SOOK JEONG         MD</t>
  </si>
  <si>
    <t>(716) 505-5507</t>
  </si>
  <si>
    <t>SHIN IN SOOK</t>
  </si>
  <si>
    <t>Scofidio, Terese, Baker Victory Services</t>
  </si>
  <si>
    <t>jalmeter@olv-bvs.org</t>
  </si>
  <si>
    <t>780 Ridge Road</t>
  </si>
  <si>
    <t>Jain, Abda, Batavia Pediatrics PC</t>
  </si>
  <si>
    <t>47 Batavia Centre</t>
  </si>
  <si>
    <t>Batavia</t>
  </si>
  <si>
    <t>Shaw, James, Briody Health Care Facility</t>
  </si>
  <si>
    <t>abriodypetock@briody.org</t>
  </si>
  <si>
    <t>909 Lincoln Avenue</t>
  </si>
  <si>
    <t>Webster, Nathaniel, Buffalo Beacon Corporation,dba Beacon Center</t>
  </si>
  <si>
    <t>Jacqueline L. Nicastro</t>
  </si>
  <si>
    <t>jnicastro@beaconcenter.net</t>
  </si>
  <si>
    <t>313 Sheridan Dr, Rte. 106</t>
  </si>
  <si>
    <t>Acquard, Melissa Cantalician Center for Learning</t>
  </si>
  <si>
    <t>(716) 901-8902</t>
  </si>
  <si>
    <t>macquard@cantalician.rog</t>
  </si>
  <si>
    <t>2049 George Urban Blvd.</t>
  </si>
  <si>
    <t>Depew</t>
  </si>
  <si>
    <t>Patricia Krall-Dwyer, Caring Enterprises. INC dba Health Force</t>
  </si>
  <si>
    <t>E0101461</t>
  </si>
  <si>
    <t>CARING ENTERPRISES INC</t>
  </si>
  <si>
    <t>pdwyer@HealthForceWNY.com</t>
  </si>
  <si>
    <t>CARING ENTERPRISE</t>
  </si>
  <si>
    <t xml:space="preserve"> Zerbian, Tina, Cattaraugus Community Action Inc</t>
  </si>
  <si>
    <t>Tina Zerbian</t>
  </si>
  <si>
    <t>mhoward@rehabcenter.org</t>
  </si>
  <si>
    <t>Community Advocacy and Support</t>
  </si>
  <si>
    <t>1439 Buffalo Street</t>
  </si>
  <si>
    <t>Abbott, Breanne, Cattaraugus County Department of Community Services</t>
  </si>
  <si>
    <t>Dawn M. Colburn, LMSW</t>
  </si>
  <si>
    <t>DMColburn@CattCo.org</t>
  </si>
  <si>
    <t>ABBOTT BREANNE</t>
  </si>
  <si>
    <t>1 LEO MOSS DR, SUITE 4308</t>
  </si>
  <si>
    <t>Baker, Linda, Cattaraugus County Department of Community Services</t>
  </si>
  <si>
    <t>(716) 373-8041</t>
  </si>
  <si>
    <t>BAKER LINDA</t>
  </si>
  <si>
    <t>Ball, Melissa, Cattaraugus County Department of Community Services</t>
  </si>
  <si>
    <t>(716) 373-8042</t>
  </si>
  <si>
    <t>KORZENIEWSKI MELISSA</t>
  </si>
  <si>
    <t>Barber II, Frederick, Cattaraugus County Department of Community Services</t>
  </si>
  <si>
    <t>(716) 373-8043</t>
  </si>
  <si>
    <t>BARBER FREDERICK</t>
  </si>
  <si>
    <t>Beatty, Cynthia, Cattaraugus County Department of Community Services</t>
  </si>
  <si>
    <t>E0347628</t>
  </si>
  <si>
    <t>BEATTY CYNTHIA A</t>
  </si>
  <si>
    <t>(716) 373-8044</t>
  </si>
  <si>
    <t>BEATTY CYNTHIA</t>
  </si>
  <si>
    <t>1 LEO MOSS DR STE 4308</t>
  </si>
  <si>
    <t>Blatchley, Jessica, Cattaraugus County Department of Community Services</t>
  </si>
  <si>
    <t>(716) 373-8045</t>
  </si>
  <si>
    <t>BLATCHLEY JESSICA</t>
  </si>
  <si>
    <t>Booth, Mary, Cattaraugus County Department of Community Services</t>
  </si>
  <si>
    <t>(716) 373-8046</t>
  </si>
  <si>
    <t>BOOTH MARY MS.</t>
  </si>
  <si>
    <t>95 E MAIN ST</t>
  </si>
  <si>
    <t>Bretzin, Maureen, Cattaraugus County Department of Community Services</t>
  </si>
  <si>
    <t>(716) 373-8047</t>
  </si>
  <si>
    <t>FLYNN-BRETZIN MAUREEN</t>
  </si>
  <si>
    <t>Buckles, Thomas, Cattaraugus County Department of Community Services</t>
  </si>
  <si>
    <t>(716) 373-8048</t>
  </si>
  <si>
    <t>BUCKLES THOMAS</t>
  </si>
  <si>
    <t>Colburn, Dawn, Cattaraugus County Department of Community Services</t>
  </si>
  <si>
    <t>(716) 373-8049</t>
  </si>
  <si>
    <t>MILLER DAWN</t>
  </si>
  <si>
    <t>Conroy, Kimberly, Cattaraugus County Department of Community Services</t>
  </si>
  <si>
    <t>E0049761</t>
  </si>
  <si>
    <t>CONROY KIMBERLY MARIE</t>
  </si>
  <si>
    <t>CONROY KIMBERLY</t>
  </si>
  <si>
    <t>Dry, Joshua, Cattaraugus County Department of Community Services</t>
  </si>
  <si>
    <t>(716) 373-8051</t>
  </si>
  <si>
    <t>DRY JOSHUA</t>
  </si>
  <si>
    <t>97 MAIN ST</t>
  </si>
  <si>
    <t>Elsen, Elaine, Cattaraugus County Department of Community Services</t>
  </si>
  <si>
    <t>Evans, Sydney, Cattaraugus County Department of Community Services</t>
  </si>
  <si>
    <t>(716) 373-8053</t>
  </si>
  <si>
    <t>EVANS SYDNEY</t>
  </si>
  <si>
    <t>Fidurko (Riethmiller), Carrie, Cattaraugus County Department of Community Services</t>
  </si>
  <si>
    <t>(716) 373-8054</t>
  </si>
  <si>
    <t>FIDURKO CARRIE</t>
  </si>
  <si>
    <t>Glover, Cassidy, Cattaraugus County Department of Community Services</t>
  </si>
  <si>
    <t>(716) 373-8055</t>
  </si>
  <si>
    <t>GLOVER CASSIDY</t>
  </si>
  <si>
    <t>Gulati, Rajan, Cattaraugus County Department of Community Services</t>
  </si>
  <si>
    <t>E0226427</t>
  </si>
  <si>
    <t>RAJAN GULATI PHYSICIAN PC  MD</t>
  </si>
  <si>
    <t>(716) 373-8056</t>
  </si>
  <si>
    <t>GULATI RAJAN</t>
  </si>
  <si>
    <t>45 W MAIN ST</t>
  </si>
  <si>
    <t>Gunsolus, Donna, Cattaraugus County Department of Community Services</t>
  </si>
  <si>
    <t>(716) 373-8057</t>
  </si>
  <si>
    <t>GUNSOLUS DONNA</t>
  </si>
  <si>
    <t>Hittner, Mary, Cattaraugus County Department of Community Services</t>
  </si>
  <si>
    <t>(716) 373-8058</t>
  </si>
  <si>
    <t>HITTNER MARY</t>
  </si>
  <si>
    <t>Hohman, Amy, Cattaraugus County Department of Community Services</t>
  </si>
  <si>
    <t>(716) 373-8059</t>
  </si>
  <si>
    <t>HOHMAN AMY</t>
  </si>
  <si>
    <t>Kolasinski, Joseph, Cattaraugus County Department of Community Services</t>
  </si>
  <si>
    <t>(716) 373-8060</t>
  </si>
  <si>
    <t>KOLASINSKI JOSEPH</t>
  </si>
  <si>
    <t>Lafler, Amy, Cattaraugus County Department of Community Services</t>
  </si>
  <si>
    <t>(716) 373-8061</t>
  </si>
  <si>
    <t>LAFLER AMY</t>
  </si>
  <si>
    <t>Mann, John, Cattaraugus County Department of Community Services</t>
  </si>
  <si>
    <t>(716) 373-8062</t>
  </si>
  <si>
    <t>MANN JOHN MR.</t>
  </si>
  <si>
    <t>4220 STATE ROUTE 417 W</t>
  </si>
  <si>
    <t>Dapolito, David, UB Family Medicine, Inc.</t>
  </si>
  <si>
    <t>E0013283</t>
  </si>
  <si>
    <t>DA POLITO DAVID M RPA</t>
  </si>
  <si>
    <t>DAPOLITO DAVID MR.</t>
  </si>
  <si>
    <t>DA POLITO DAVID MICHAEL</t>
  </si>
  <si>
    <t>Loomis, Dianna, UB Family Medicine, Inc.</t>
  </si>
  <si>
    <t>E0065487</t>
  </si>
  <si>
    <t>LOOMIS DIANE M</t>
  </si>
  <si>
    <t>LOOMIS DIANNE</t>
  </si>
  <si>
    <t>LOOMIS DIANE MARIE</t>
  </si>
  <si>
    <t>HALLORAN, SHANA,</t>
  </si>
  <si>
    <t>POWELL, SHANA,</t>
  </si>
  <si>
    <t>HALLORAN SHANA</t>
  </si>
  <si>
    <t>Kim, Wang, Chautauqua County DMH Health Home (HHUNY Southern Tier)</t>
  </si>
  <si>
    <t>E0157035</t>
  </si>
  <si>
    <t>KIM WANG KI MD</t>
  </si>
  <si>
    <t>(716) 753-4131</t>
  </si>
  <si>
    <t>KIM WANG</t>
  </si>
  <si>
    <t>100 MEMORIAL DR</t>
  </si>
  <si>
    <t>King, Jennifer, Chautauqua County DMH Health Home (HHUNY Southern Tier)</t>
  </si>
  <si>
    <t>(716) 753-4132</t>
  </si>
  <si>
    <t>KING JENNIFER</t>
  </si>
  <si>
    <t>10825 BENNETT RD</t>
  </si>
  <si>
    <t>Krishnakumar, Vasu, Chautauqua County DMH Health Home (HHUNY Southern Tier)</t>
  </si>
  <si>
    <t>(716) 753-4133</t>
  </si>
  <si>
    <t>Lemke, Joan, Chautauqua County DMH Health Home (HHUNY Southern Tier)</t>
  </si>
  <si>
    <t>(716) 753-4134</t>
  </si>
  <si>
    <t>LEMKE JOAN</t>
  </si>
  <si>
    <t>Luce, Christina, Chautauqua County DMH Health Home (HHUNY Southern Tier)</t>
  </si>
  <si>
    <t>(716) 753-4135</t>
  </si>
  <si>
    <t>LUCE CHRISTINA</t>
  </si>
  <si>
    <t>2107 SPRUCE ST</t>
  </si>
  <si>
    <t>Ludwig, Carol, Chautauqua County DMH Health Home (HHUNY Southern Tier)</t>
  </si>
  <si>
    <t>E0367994</t>
  </si>
  <si>
    <t>LUDWIG CAROL J</t>
  </si>
  <si>
    <t>(716) 753-4136</t>
  </si>
  <si>
    <t>LUDWIG CAROL</t>
  </si>
  <si>
    <t>Mackowjak, Jennifer, Chautauqua County DMH Health Home (HHUNY Southern Tier)</t>
  </si>
  <si>
    <t>(716) 753-4137</t>
  </si>
  <si>
    <t>MACKOWIAK JENNIFER</t>
  </si>
  <si>
    <t>200 E 3RD ST, 5TH FLOOR MUNICIPAL BUILDING</t>
  </si>
  <si>
    <t>Malone, Jennifer, Chautauqua County DMH Health Home (HHUNY Southern Tier)</t>
  </si>
  <si>
    <t>(716) 753-4138</t>
  </si>
  <si>
    <t>MALONE JENNIFER</t>
  </si>
  <si>
    <t>589 HOSPITAL DR, SUITE E</t>
  </si>
  <si>
    <t>WARREN</t>
  </si>
  <si>
    <t>McLaughlin, Ann, Chautauqua County DMH Health Home (HHUNY Southern Tier)</t>
  </si>
  <si>
    <t>E0366656</t>
  </si>
  <si>
    <t>MCLAUGHLIN ANN MARIE</t>
  </si>
  <si>
    <t>(716) 753-4139</t>
  </si>
  <si>
    <t>MCLAUGHLIN ANN</t>
  </si>
  <si>
    <t>Meglio, Frank, Chautauqua County DMH Health Home (HHUNY Southern Tier)</t>
  </si>
  <si>
    <t>E0120499</t>
  </si>
  <si>
    <t>MEGLIO FRANK A MD</t>
  </si>
  <si>
    <t>(716) 753-4140</t>
  </si>
  <si>
    <t>MEGLIO FRANK DR.</t>
  </si>
  <si>
    <t>HUMC DEPT OF PSYCH</t>
  </si>
  <si>
    <t>HACKENSACK</t>
  </si>
  <si>
    <t>Merritt, Michelle, Chautauqua County DMH Health Home (HHUNY Southern Tier)</t>
  </si>
  <si>
    <t>(716) 753-4141</t>
  </si>
  <si>
    <t>MERRITT MICHELLE</t>
  </si>
  <si>
    <t>Naeser, Karen, Chautauqua County DMH Health Home (HHUNY Southern Tier)</t>
  </si>
  <si>
    <t>E0366229</t>
  </si>
  <si>
    <t>NAESER KAREN M</t>
  </si>
  <si>
    <t>(716) 753-4142</t>
  </si>
  <si>
    <t>NAESER KAREN</t>
  </si>
  <si>
    <t>O'Connor, Belinda, Chautauqua County DMH Health Home (HHUNY Southern Tier)</t>
  </si>
  <si>
    <t>(716) 753-4143</t>
  </si>
  <si>
    <t>O'CONNOR BELINDA</t>
  </si>
  <si>
    <t>Oquist, Cheryl, Chautauqua County DMH Health Home (HHUNY Southern Tier)</t>
  </si>
  <si>
    <t>(716) 753-4144</t>
  </si>
  <si>
    <t>OQUIST CHERYL</t>
  </si>
  <si>
    <t>Perrin, Jennifer, Chautauqua County DMH Health Home (HHUNY Southern Tier)</t>
  </si>
  <si>
    <t>(716) 753-4145</t>
  </si>
  <si>
    <t>PERRIN JENNIFER</t>
  </si>
  <si>
    <t>Pietrkiewicz, Melissa, Chautauqua County DMH Health Home (HHUNY Southern Tier)</t>
  </si>
  <si>
    <t>(716) 753-4146</t>
  </si>
  <si>
    <t>PIETRKIEWICZ MELISSA</t>
  </si>
  <si>
    <t>200 E 3RD ST, 5TH FLOOR</t>
  </si>
  <si>
    <t>Propheter, Jennifer, Chautauqua County DMH Health Home (HHUNY Southern Tier)</t>
  </si>
  <si>
    <t>(716) 753-4147</t>
  </si>
  <si>
    <t>MCDONALD JENNIFER</t>
  </si>
  <si>
    <t>Roberts, Susan, Chautauqua County DMH Health Home (HHUNY Southern Tier)</t>
  </si>
  <si>
    <t>(716) 753-4148</t>
  </si>
  <si>
    <t>ROBERTS SUSAN</t>
  </si>
  <si>
    <t>Russo, Mike, Chautauqua County DMH Health Home (HHUNY Southern Tier)</t>
  </si>
  <si>
    <t>(716) 753-4149</t>
  </si>
  <si>
    <t>RUSSO MICHAEL</t>
  </si>
  <si>
    <t>Samuelson, Teresa, Chautauqua County DMH Health Home (HHUNY Southern Tier)</t>
  </si>
  <si>
    <t>(716) 753-4150</t>
  </si>
  <si>
    <t>SAMUELSON TERESA</t>
  </si>
  <si>
    <t>Saunders, Shelley, Chautauqua County DMH Health Home (HHUNY Southern Tier)</t>
  </si>
  <si>
    <t>(716) 753-4151</t>
  </si>
  <si>
    <t>SAUNDERS SHELLEY</t>
  </si>
  <si>
    <t>Scotchmer, Douglas, Chautauqua County DMH Health Home (HHUNY Southern Tier)</t>
  </si>
  <si>
    <t>(716) 753-4152</t>
  </si>
  <si>
    <t>SCOTCHMER DOUGLAS</t>
  </si>
  <si>
    <t>Sims, Kellie, Chautauqua County DMH Health Home (HHUNY Southern Tier)</t>
  </si>
  <si>
    <t>(716) 753-4153</t>
  </si>
  <si>
    <t>SIMS KELLIE</t>
  </si>
  <si>
    <t>Sixsmith, Joyce, Chautauqua County DMH Health Home (HHUNY Southern Tier)</t>
  </si>
  <si>
    <t>(716) 753-4154</t>
  </si>
  <si>
    <t>SIXSMITH JOYCE</t>
  </si>
  <si>
    <t>Smith-Kieffer, Marcia, Chautauqua County DMH Health Home (HHUNY Southern Tier)</t>
  </si>
  <si>
    <t>(716) 753-4155</t>
  </si>
  <si>
    <t>SMITH-KIEFFER MARCIA</t>
  </si>
  <si>
    <t>Stronz, Meaghan, Chautauqua County DMH Health Home (HHUNY Southern Tier)</t>
  </si>
  <si>
    <t>(716) 753-4156</t>
  </si>
  <si>
    <t>STRONZ MEAGHAN</t>
  </si>
  <si>
    <t>Sturzenbecker, Amy, Chautauqua County DMH Health Home (HHUNY Southern Tier)</t>
  </si>
  <si>
    <t>(716) 753-4157</t>
  </si>
  <si>
    <t>STURZENBECKER AMY</t>
  </si>
  <si>
    <t>Surma, Jean, Chautauqua County DMH Health Home (HHUNY Southern Tier)</t>
  </si>
  <si>
    <t>(716) 753-4158</t>
  </si>
  <si>
    <t>SURMA JEAN</t>
  </si>
  <si>
    <t>200 E 3RD ST, 5TH FLOOR MUNCIPAL BUILDING</t>
  </si>
  <si>
    <t>Tonon, Jason, Chautauqua County DMH Health Home (HHUNY Southern Tier)</t>
  </si>
  <si>
    <t>E0419232</t>
  </si>
  <si>
    <t>TONON JASON</t>
  </si>
  <si>
    <t>(716) 753-4159</t>
  </si>
  <si>
    <t>Turnquist, Carl, Chautauqua County DMH Health Home (HHUNY Southern Tier)</t>
  </si>
  <si>
    <t>(716) 753-4160</t>
  </si>
  <si>
    <t>TURNQUIST CARL</t>
  </si>
  <si>
    <t>Walker, Laurie, Chautauqua County DMH Health Home (HHUNY Southern Tier)</t>
  </si>
  <si>
    <t>(716) 753-4161</t>
  </si>
  <si>
    <t>WALKER LAURIE</t>
  </si>
  <si>
    <t>E0237122</t>
  </si>
  <si>
    <t>PEOPLE INC WATERFORD PARK ICF</t>
  </si>
  <si>
    <t>DEWITT ST ICF</t>
  </si>
  <si>
    <t>People Inc. Individual Residential Alternative SIRA</t>
  </si>
  <si>
    <t>36 E. Squire Dr. S #3</t>
  </si>
  <si>
    <t>Rochester</t>
  </si>
  <si>
    <t>People Inc. Day Habilitation</t>
  </si>
  <si>
    <t xml:space="preserve">50 Main St </t>
  </si>
  <si>
    <t xml:space="preserve">Lockport </t>
  </si>
  <si>
    <t>SOMAYAJI, PRABHAKARA, MD</t>
  </si>
  <si>
    <t>E0237200</t>
  </si>
  <si>
    <t>SOMAYAJI PRABHAKARA        MD</t>
  </si>
  <si>
    <t>DR. PRAGHAKARA SOMAYAJI</t>
  </si>
  <si>
    <t>(716) 285-0853</t>
  </si>
  <si>
    <t>PRABHAKARA.SOMAYAJI@NFMMC.ORG</t>
  </si>
  <si>
    <t>SOMAYAJI PRABHAKARA DR.</t>
  </si>
  <si>
    <t>FRISCH, NORA, MD</t>
  </si>
  <si>
    <t>E0383541</t>
  </si>
  <si>
    <t>FRISCH NORA</t>
  </si>
  <si>
    <t>(734) 936-2047</t>
  </si>
  <si>
    <t>NFRISCH@KALEIDAHEALTH.ORG</t>
  </si>
  <si>
    <t>FRISCH NORA DR.</t>
  </si>
  <si>
    <t>PLESKOW, HEATHER, MD</t>
  </si>
  <si>
    <t>E0327882</t>
  </si>
  <si>
    <t>PLESKOW HEATHER</t>
  </si>
  <si>
    <t>HPLESKOW@KALEIDAHEALTH.ORG</t>
  </si>
  <si>
    <t>PLESKOW HEATHER DR.</t>
  </si>
  <si>
    <t>6930 WILLIAMS RD</t>
  </si>
  <si>
    <t>KEOUGH, MEGAN, PA</t>
  </si>
  <si>
    <t>E0339315</t>
  </si>
  <si>
    <t>KEOUGH MEGAN MARIE</t>
  </si>
  <si>
    <t>MKEOUGH@KALEIDAHEALTH.ORG</t>
  </si>
  <si>
    <t>KEOUGH MEGAN</t>
  </si>
  <si>
    <t>Nilam, Sridhar, UB Family Medicine, Inc.</t>
  </si>
  <si>
    <t>E0368477</t>
  </si>
  <si>
    <t>NILAM SRIDHAR</t>
  </si>
  <si>
    <t>1408 SWEET HOME RD STE 9</t>
  </si>
  <si>
    <t>Parikh, Sandhyaben, UB Family Medicine, Inc.</t>
  </si>
  <si>
    <t>E0347341</t>
  </si>
  <si>
    <t>PARIKH SANDHYABEN S</t>
  </si>
  <si>
    <t>PARIKH SANDHYABEN</t>
  </si>
  <si>
    <t>50 LEROY ST</t>
  </si>
  <si>
    <t>POTSDAM</t>
  </si>
  <si>
    <t>Rozmus, Zuzanna, UB Family Medicine, Inc.</t>
  </si>
  <si>
    <t>E0309749</t>
  </si>
  <si>
    <t>ROZMUS ZUZANNA MARIA</t>
  </si>
  <si>
    <t>ROZMUS ZUZANNA</t>
  </si>
  <si>
    <t>Sawyer, Rita, UB Family Medicine, Inc.</t>
  </si>
  <si>
    <t>E0049608</t>
  </si>
  <si>
    <t>SAWYER RITA M NP</t>
  </si>
  <si>
    <t>SAWYER RITA</t>
  </si>
  <si>
    <t>SAWYER RITA MARIE</t>
  </si>
  <si>
    <t>Siddiqui, Abrar, UB Family Medicine, Inc.</t>
  </si>
  <si>
    <t>E0296096</t>
  </si>
  <si>
    <t>SIDDIQUI ABRAR</t>
  </si>
  <si>
    <t>SIDDIQUI ABRAR DR.</t>
  </si>
  <si>
    <t>Talevski, Julie, UB Family Medicine, Inc.</t>
  </si>
  <si>
    <t>E0336739</t>
  </si>
  <si>
    <t>TALEVSKI JULIE</t>
  </si>
  <si>
    <t>FASANELLO JULIE MRS.</t>
  </si>
  <si>
    <t>FASANELLO JULIE</t>
  </si>
  <si>
    <t>Beintrexler, Heidi, UBMD General Internal Medicine</t>
  </si>
  <si>
    <t>E0389599</t>
  </si>
  <si>
    <t>BEINTREXLER HEIDI</t>
  </si>
  <si>
    <t>Johm Fudyma</t>
  </si>
  <si>
    <t>(716) 898-5211</t>
  </si>
  <si>
    <t>Bhatnagar, Jyotsna, UBMD General Internal Medicine</t>
  </si>
  <si>
    <t>E0334392</t>
  </si>
  <si>
    <t>BHATNAGAR JYOTSNA</t>
  </si>
  <si>
    <t>BHATNAGAR JYOTSNA DR.</t>
  </si>
  <si>
    <t>Dhanekula, Nischala, UBMD General Internal Medicine</t>
  </si>
  <si>
    <t>E0366479</t>
  </si>
  <si>
    <t>DHANEKULA NISCHALA</t>
  </si>
  <si>
    <t>Schifeling, Richard, UBMD General Internal Medicine</t>
  </si>
  <si>
    <t xml:space="preserve">1162 Grider St. </t>
  </si>
  <si>
    <t xml:space="preserve">NY </t>
  </si>
  <si>
    <t>Yedlapati, Siva, UBMD General Internal Medicine</t>
  </si>
  <si>
    <t>E0352729</t>
  </si>
  <si>
    <t>YEDLAPATI SIVA</t>
  </si>
  <si>
    <t>YEDLAPATI SIVA HARSHA DR.</t>
  </si>
  <si>
    <t>YEDLAPATI SIVA H</t>
  </si>
  <si>
    <t>Atwaibi, Mohamed, UBMD Internal Medicine</t>
  </si>
  <si>
    <t>E0392777</t>
  </si>
  <si>
    <t>ATWAIBI MOHAMED</t>
  </si>
  <si>
    <t>ATWAIBI MOHAMED OMAR</t>
  </si>
  <si>
    <t>Basra, Manreet, UBMD Internal Medicine</t>
  </si>
  <si>
    <t>E0348457</t>
  </si>
  <si>
    <t>BASRA MANREET</t>
  </si>
  <si>
    <t>Anne B. Curtis</t>
  </si>
  <si>
    <t>(716) 961-2300</t>
  </si>
  <si>
    <t>Bielinski, Michelle, UBMD Internal Medicine</t>
  </si>
  <si>
    <t>E0112220</t>
  </si>
  <si>
    <t>BIELINSKI MICHELLE ANN</t>
  </si>
  <si>
    <t>BIELINSKI MICHELLE</t>
  </si>
  <si>
    <t>Bierbrauer, Mary D. , UBMD Internal Medicine</t>
  </si>
  <si>
    <t>E0319688</t>
  </si>
  <si>
    <t>BIERBRAUER MARY D</t>
  </si>
  <si>
    <t>BIERBRAUER MARY</t>
  </si>
  <si>
    <t>Boorman, Victoria E. , UBMD Internal Medicine</t>
  </si>
  <si>
    <t>E0314479</t>
  </si>
  <si>
    <t>BOORMAN VICTORIA ELIZABETH</t>
  </si>
  <si>
    <t>BOORMAN VICTORIA</t>
  </si>
  <si>
    <t>3980 SHERIDAN DR  6TH FLOOR</t>
  </si>
  <si>
    <t>Burkard, Paula, UBMD Internal Medicine</t>
  </si>
  <si>
    <t>E0147169</t>
  </si>
  <si>
    <t>BURKARD PAULA GRANT MD PHD</t>
  </si>
  <si>
    <t>BURKARD PAULA</t>
  </si>
  <si>
    <t>BURKARD PAULA GRANT</t>
  </si>
  <si>
    <t>Claus, Jonathan A., UBMD Internal Medicine</t>
  </si>
  <si>
    <t>E0390804</t>
  </si>
  <si>
    <t>CLAUS JONATHAN ASHLEY</t>
  </si>
  <si>
    <t>CLAUS JONATHAN DR.</t>
  </si>
  <si>
    <t>Crane, John K. , UBMD Internal Medicine</t>
  </si>
  <si>
    <t>E0153510</t>
  </si>
  <si>
    <t>CRANE JOHN K MD</t>
  </si>
  <si>
    <t>CRANE JOHN</t>
  </si>
  <si>
    <t>Dang, Neha, UBMD Internal Medicine</t>
  </si>
  <si>
    <t>E0350222</t>
  </si>
  <si>
    <t>DANG NEHA</t>
  </si>
  <si>
    <t>DANG NEHA DR.</t>
  </si>
  <si>
    <t>Glose, Susan M., UBMD Internal Medicine</t>
  </si>
  <si>
    <t>4498 Main St. , #23</t>
  </si>
  <si>
    <t>Henderson, Jennifer G. , UBMD Internal Medicine</t>
  </si>
  <si>
    <t>E0378161</t>
  </si>
  <si>
    <t>HENDERSON JENNIFER GAYLE</t>
  </si>
  <si>
    <t>HENDERSON JENNIFER</t>
  </si>
  <si>
    <t>2914 ELMWOOD AVE</t>
  </si>
  <si>
    <t>Izzo, Joseph, UBMD Internal Medicine</t>
  </si>
  <si>
    <t>E0251454</t>
  </si>
  <si>
    <t>IZZO JOSEPH L JR           MD</t>
  </si>
  <si>
    <t>IZZO JOSEPH</t>
  </si>
  <si>
    <t>IZZO JOSEPH LEWIS JR</t>
  </si>
  <si>
    <t>Lackner, Jeffrey, UBMD Internal Medicine</t>
  </si>
  <si>
    <t>LACKNER JEFFREY</t>
  </si>
  <si>
    <t>462 GRIDER ST, ROOM G208</t>
  </si>
  <si>
    <t>Mador, M. Jeffery, UBMD Internal Medicine</t>
  </si>
  <si>
    <t>E0173446</t>
  </si>
  <si>
    <t>MADOR M JEFFERY MD</t>
  </si>
  <si>
    <t>MADOR M</t>
  </si>
  <si>
    <t>MADOR M JEFFERY</t>
  </si>
  <si>
    <t>6105 TRANSIT RD STE 100</t>
  </si>
  <si>
    <t>Mersereau, Margaret R. , UBMD Internal Medicine</t>
  </si>
  <si>
    <t>E0319398</t>
  </si>
  <si>
    <t>MERSEREAU MARGARET R</t>
  </si>
  <si>
    <t>MERSEREAU MARGARET</t>
  </si>
  <si>
    <t>Morotchie, Cristi M., UBMD Internal Medicine</t>
  </si>
  <si>
    <t>E0320750</t>
  </si>
  <si>
    <t>MOROTCHIE CRISTI MORGAN</t>
  </si>
  <si>
    <t>MOROTCHIE CRISTI</t>
  </si>
  <si>
    <t>Murray, Brian M., UBMD Internal Medicine</t>
  </si>
  <si>
    <t>E0206840</t>
  </si>
  <si>
    <t>MURRAY BRIAN MICHEL        MD</t>
  </si>
  <si>
    <t>MURRAY BRIAN DR.</t>
  </si>
  <si>
    <t>Nanjunde Gowda, Madan Kumar, UBMD Internal Medicine</t>
  </si>
  <si>
    <t>E0391598</t>
  </si>
  <si>
    <t>NANJUNDE GOWDA MADAN KUMAR</t>
  </si>
  <si>
    <t>Novak, Jan , UBMD Internal Medicine</t>
  </si>
  <si>
    <t>E0237001</t>
  </si>
  <si>
    <t>NOVAK JAN M                MD</t>
  </si>
  <si>
    <t>NOVAK JAN</t>
  </si>
  <si>
    <t>NOVAK JAN M</t>
  </si>
  <si>
    <t>Patil, Trupti, UBMD Internal Medicine</t>
  </si>
  <si>
    <t>E0394990</t>
  </si>
  <si>
    <t>PATIL TRUPTI</t>
  </si>
  <si>
    <t>Provost, Karin, UBMD Internal Medicine</t>
  </si>
  <si>
    <t>E0285033</t>
  </si>
  <si>
    <t>PROVOST KARIN</t>
  </si>
  <si>
    <t>PROVOST KARIN DR.</t>
  </si>
  <si>
    <t>PROVOST KARIN ANDREA DO</t>
  </si>
  <si>
    <t>Ryan, A J, UBMD Internal Medicine</t>
  </si>
  <si>
    <t>E0182464</t>
  </si>
  <si>
    <t>RYAN AUGUSTINE JOHN JR</t>
  </si>
  <si>
    <t>RYAN AUGUSTINE</t>
  </si>
  <si>
    <t>ENDOCRINOLOGY ECMC</t>
  </si>
  <si>
    <t>Schmidt, Julie, UBMD Internal Medicine</t>
  </si>
  <si>
    <t>E0065751</t>
  </si>
  <si>
    <t>SCHMIDT JULIE LYNN RPA</t>
  </si>
  <si>
    <t>SCHMIDT JULIE MRS.</t>
  </si>
  <si>
    <t>Schneider, Jaclyn M., UBMD Internal Medicine</t>
  </si>
  <si>
    <t>E0385245</t>
  </si>
  <si>
    <t>SCHNEIDER JACLYN M</t>
  </si>
  <si>
    <t>SCHNEIDER JACLYN</t>
  </si>
  <si>
    <t>Sturm, Tracy J., UBMD Internal Medicine</t>
  </si>
  <si>
    <t>E0337529</t>
  </si>
  <si>
    <t>STURM TRACY J</t>
  </si>
  <si>
    <t>STURM TRACY</t>
  </si>
  <si>
    <t>Venuto, Lisa, UBMD Internal Medicine</t>
  </si>
  <si>
    <t>E0101226</t>
  </si>
  <si>
    <t>VENUTO LISA A RPA</t>
  </si>
  <si>
    <t>VENUTO LISA</t>
  </si>
  <si>
    <t>Welsenborn, Linda, UBMD Internal Medicine</t>
  </si>
  <si>
    <t>E0037546</t>
  </si>
  <si>
    <t>WEISENBORN LINDA S RPA</t>
  </si>
  <si>
    <t>TOSETTO LINDA</t>
  </si>
  <si>
    <t>TOSETTO LINDA S RPA</t>
  </si>
  <si>
    <t>Zachariah, Mareena, UBMD Internal Medicine</t>
  </si>
  <si>
    <t>E0287590</t>
  </si>
  <si>
    <t>MAREENA ZACHARIAH MD</t>
  </si>
  <si>
    <t>ZACHARIAH MAREENA</t>
  </si>
  <si>
    <t>ZACHARIAH MAREENA SUSAN</t>
  </si>
  <si>
    <t>Anderson, Rachel, University Pediatric Denistry, PC</t>
  </si>
  <si>
    <t>E0339576</t>
  </si>
  <si>
    <t>ANDERSON RACHEL M</t>
  </si>
  <si>
    <t>ANDERSON RACHEL DR.</t>
  </si>
  <si>
    <t>1100 MAIN ST</t>
  </si>
  <si>
    <t>CORCORAN, TOBIAS, DDS</t>
  </si>
  <si>
    <t>E0297949</t>
  </si>
  <si>
    <t>CORCORAN TOBIA WILSON</t>
  </si>
  <si>
    <t>(716) 636-8686</t>
  </si>
  <si>
    <t>TCORCORAN@KALEIDAHEALTH.ORG</t>
  </si>
  <si>
    <t>CORCORAN TOBIAS DR.</t>
  </si>
  <si>
    <t>CORCORAN TOBIAS WILSON</t>
  </si>
  <si>
    <t>GUPTA, PUNEET, MD</t>
  </si>
  <si>
    <t>E0296319</t>
  </si>
  <si>
    <t>GUPTA PUNEET</t>
  </si>
  <si>
    <t>PGUPTA@KALEIDAHEALTH.ORG</t>
  </si>
  <si>
    <t>Wilkinson, Katherine, Chautauqua County DMH Health Home (HHUNY Southern Tier)</t>
  </si>
  <si>
    <t>(716) 753-4162</t>
  </si>
  <si>
    <t>VINCENT KATHERINE</t>
  </si>
  <si>
    <t>CAO Head Start</t>
  </si>
  <si>
    <t>(716) 896-1551</t>
  </si>
  <si>
    <t>2056 Genesee Street</t>
  </si>
  <si>
    <t>CAO Early Head Start</t>
  </si>
  <si>
    <t>(716) 878-0220</t>
  </si>
  <si>
    <t>3149 Bailey Avenue</t>
  </si>
  <si>
    <t>Bethel Head Start</t>
  </si>
  <si>
    <t>1485 Jefferson Avenue</t>
  </si>
  <si>
    <t>Community Action of Orleans and Genesee Inc</t>
  </si>
  <si>
    <t>Edward Fancher</t>
  </si>
  <si>
    <t>(585) 589-5605</t>
  </si>
  <si>
    <t>efancher@caoginc.org</t>
  </si>
  <si>
    <t>409 East State Street</t>
  </si>
  <si>
    <t>Albion</t>
  </si>
  <si>
    <t>Mental Health Associate of Orleans County</t>
  </si>
  <si>
    <t>Kristen Acquilano</t>
  </si>
  <si>
    <t>(585) 589-1158</t>
  </si>
  <si>
    <t>mhaorleans@rochester.rr.com</t>
  </si>
  <si>
    <t>20 South Main Street</t>
  </si>
  <si>
    <t>Mental Health Association of Erie County</t>
  </si>
  <si>
    <t>Karl Shallowhorn</t>
  </si>
  <si>
    <t>(716) 886-1242</t>
  </si>
  <si>
    <t>info@eriemha.org</t>
  </si>
  <si>
    <t>999 Delaware Avenue</t>
  </si>
  <si>
    <t>The Mental Health Association in Genesee County</t>
  </si>
  <si>
    <t>(585) 344-2611</t>
  </si>
  <si>
    <t>sgagne@mhagenesee.org</t>
  </si>
  <si>
    <t>25 Liberty Street</t>
  </si>
  <si>
    <t>Mental Health Association in Chautauqua County</t>
  </si>
  <si>
    <t>Richard Huber</t>
  </si>
  <si>
    <t>(716) 661-9044</t>
  </si>
  <si>
    <t>mhacc-1@yahoo.com</t>
  </si>
  <si>
    <t>31 Water Street Suite 7</t>
  </si>
  <si>
    <t>Mental Health Association in Cattaraugus County</t>
  </si>
  <si>
    <t>Joann McAndrew</t>
  </si>
  <si>
    <t>(716) 372-0208</t>
  </si>
  <si>
    <t>jmcanddrew@mhacatt.org</t>
  </si>
  <si>
    <t>121 North Union Street</t>
  </si>
  <si>
    <t>Jewish Family Services of Buffalo and Erie County</t>
  </si>
  <si>
    <t>Jo A Ramsey</t>
  </si>
  <si>
    <t>info@jfsbuffalo.org</t>
  </si>
  <si>
    <t>70 Barker Street</t>
  </si>
  <si>
    <t>Baptist Minister's Conference of Buffalo NY &amp; Vicinity</t>
  </si>
  <si>
    <t>Rev. Mark E Blue</t>
  </si>
  <si>
    <t>Buffalobaptistmc@gmail.com</t>
  </si>
  <si>
    <t xml:space="preserve">18 Church Street </t>
  </si>
  <si>
    <t>Rapha Family Wellness Center</t>
  </si>
  <si>
    <t>Jocelyn V Guthrie</t>
  </si>
  <si>
    <t>Near East and West Side Task Force</t>
  </si>
  <si>
    <t>Francesca Mesiah</t>
  </si>
  <si>
    <t>(716) 859-8045</t>
  </si>
  <si>
    <t>Fmesiah@kaleidahealth.org</t>
  </si>
  <si>
    <t>50 Hewitt Avenue</t>
  </si>
  <si>
    <t>Create a Healthier Niagara Falls Collaborative Inc</t>
  </si>
  <si>
    <t>Shelley Hirsnberg</t>
  </si>
  <si>
    <t>(716) 228-8459</t>
  </si>
  <si>
    <t>sbh7274@gmail.com</t>
  </si>
  <si>
    <t>6225 Sheridan Drive Suite 206</t>
  </si>
  <si>
    <t>Liga de Mujeres Hispana</t>
  </si>
  <si>
    <t>Carmen M Doeseckle</t>
  </si>
  <si>
    <t>(716) 440-1591</t>
  </si>
  <si>
    <t>contact@hisoanicwomensleague.org</t>
  </si>
  <si>
    <t>PO Box 874</t>
  </si>
  <si>
    <t>Parish Nurse Ministries of NY Inc</t>
  </si>
  <si>
    <t>Lois Tripp</t>
  </si>
  <si>
    <t>(716) 566-1163</t>
  </si>
  <si>
    <t>PNMNY179@aol.com</t>
  </si>
  <si>
    <t>PO Box 842</t>
  </si>
  <si>
    <t>The Health Care Education Prospect</t>
  </si>
  <si>
    <t>William Covington</t>
  </si>
  <si>
    <t>(716) 995-3705</t>
  </si>
  <si>
    <t>hepbuffalo@gmail.com</t>
  </si>
  <si>
    <t>2421 Main Street</t>
  </si>
  <si>
    <t>Cattaraugus and Wyoming Counties Project Head Start</t>
  </si>
  <si>
    <t>Ira Katzenstein</t>
  </si>
  <si>
    <t>(716) 272-2447</t>
  </si>
  <si>
    <t>jkstzenstein@headstartnetwork.com</t>
  </si>
  <si>
    <t>101 South 19th Street</t>
  </si>
  <si>
    <t>Deaf Access Services Inc</t>
  </si>
  <si>
    <t>Sharon Hanson</t>
  </si>
  <si>
    <t>(716) 833-1637</t>
  </si>
  <si>
    <t>shanson@wnydas.org</t>
  </si>
  <si>
    <t>2495 Main Street-Suite 446</t>
  </si>
  <si>
    <t>Homeless Alliance of WNY Inc</t>
  </si>
  <si>
    <t>Kexin Ma</t>
  </si>
  <si>
    <t>(716) 853-1101</t>
  </si>
  <si>
    <t>zuchlewski@wnyhomeless.org</t>
  </si>
  <si>
    <t xml:space="preserve">960 Main Street </t>
  </si>
  <si>
    <t>Headway of WNY</t>
  </si>
  <si>
    <t>William Bergmann</t>
  </si>
  <si>
    <t>(716) 408-3100</t>
  </si>
  <si>
    <t>support@headwayofwny.org</t>
  </si>
  <si>
    <t>2635 Delaware Avenue</t>
  </si>
  <si>
    <t>The Parent Education Program</t>
  </si>
  <si>
    <t>Aimee Siperek</t>
  </si>
  <si>
    <t>(716) 372-8624</t>
  </si>
  <si>
    <t>parentedp@aol.com</t>
  </si>
  <si>
    <t>234 North Union</t>
  </si>
  <si>
    <t xml:space="preserve">Western New York Information Network Association (WNYNIA) </t>
  </si>
  <si>
    <t>Community Health Center of Buffalo</t>
  </si>
  <si>
    <t>HAMILTON, JULIE, CRNA</t>
  </si>
  <si>
    <t>JHAMILTON@KALEIDAHEALTH.ORG</t>
  </si>
  <si>
    <t>HAMILTON JULIE</t>
  </si>
  <si>
    <t>LEIGH, MARY,</t>
  </si>
  <si>
    <t>E0360278</t>
  </si>
  <si>
    <t>LEIGH MARY F</t>
  </si>
  <si>
    <t>LEIGH , MARY, RN</t>
  </si>
  <si>
    <t>MLEIGH@CFSBNY.ORG</t>
  </si>
  <si>
    <t>LEIGH MARY</t>
  </si>
  <si>
    <t>HILLERY, BRIDGET,</t>
  </si>
  <si>
    <t>HILLERY BRIDGET</t>
  </si>
  <si>
    <t>GROLEMUND, STEPHANIE, CRNA</t>
  </si>
  <si>
    <t>SGROLEMUND@KALEIDAHEALTH.ORG</t>
  </si>
  <si>
    <t>GROLEMUND STEPHANIE</t>
  </si>
  <si>
    <t>PRONG, CASSANDRA, ANPBC</t>
  </si>
  <si>
    <t>E0383182</t>
  </si>
  <si>
    <t>PRONG CASSANDRA LYN</t>
  </si>
  <si>
    <t>PRONG, CASSANDRA, ANP</t>
  </si>
  <si>
    <t>(585) 356-4380</t>
  </si>
  <si>
    <t>CPRONG2@KALEIDAHEALTH.ORG</t>
  </si>
  <si>
    <t>PRONG CASSANDRA MRS.</t>
  </si>
  <si>
    <t>DAUMAN, DONALD, LCSW</t>
  </si>
  <si>
    <t>DAUMAN DONALD MR.</t>
  </si>
  <si>
    <t>FIRST CHOICE HEALTH</t>
  </si>
  <si>
    <t>COURTNEY FASOLINO</t>
  </si>
  <si>
    <t>(716) 215-0823</t>
  </si>
  <si>
    <t>COURTNEY.FASOLINO@FIRSTCHOICEHEALTH.ORG</t>
  </si>
  <si>
    <t>2424 NIAGARA FALLS BLVD</t>
  </si>
  <si>
    <t>MILLER, MICHAEL, MD</t>
  </si>
  <si>
    <t>E0196505</t>
  </si>
  <si>
    <t>MILLER MICHAEL TAINE       MD</t>
  </si>
  <si>
    <t>MTMILLER@KALEIDAHEALTH.ORG</t>
  </si>
  <si>
    <t>MILLER MICHAEL DR.</t>
  </si>
  <si>
    <t>MILLER MICHAEL TAINE MD</t>
  </si>
  <si>
    <t>MCGRATH, BRIAN, MD</t>
  </si>
  <si>
    <t>E0155698</t>
  </si>
  <si>
    <t>MCGRATH BRIAN E MD</t>
  </si>
  <si>
    <t>(716) 859-1531</t>
  </si>
  <si>
    <t>BMCGRATH@KALEIDAHEALTH.ORG</t>
  </si>
  <si>
    <t>MCGRATH BRIAN</t>
  </si>
  <si>
    <t>ALBRECHT, FRIEDRICH, MD</t>
  </si>
  <si>
    <t>E0136984</t>
  </si>
  <si>
    <t>ALBRECHT FRIEDRICH JOACHIM MD</t>
  </si>
  <si>
    <t>FALBRECHT@KALEIDAHEALTH.ORG</t>
  </si>
  <si>
    <t>ALBRECHT FRIEDRICH DR.</t>
  </si>
  <si>
    <t>MF HEALTH SYS INTL M</t>
  </si>
  <si>
    <t>MARTINEZ, JEFFREY, MD</t>
  </si>
  <si>
    <t>E0293619</t>
  </si>
  <si>
    <t>JEFFREY WADE MARTINEZ</t>
  </si>
  <si>
    <t>JMARTINEZ@KALEIDAHEALTH.ORG</t>
  </si>
  <si>
    <t>MARTINEZ JEFFREY DR.</t>
  </si>
  <si>
    <t>MARTINEZ JEFFREY WADE</t>
  </si>
  <si>
    <t>1829 MAPLE RD STE 202</t>
  </si>
  <si>
    <t>COHEN, MICHAEL, MD</t>
  </si>
  <si>
    <t>E0227302</t>
  </si>
  <si>
    <t>COHEN MICHAEL E            MD</t>
  </si>
  <si>
    <t>MCOHEN@KALEIDAHEALTH.ORG</t>
  </si>
  <si>
    <t>COHEN MICHAEL</t>
  </si>
  <si>
    <t>MENCHINI, JOHN, MD</t>
  </si>
  <si>
    <t>E0234401</t>
  </si>
  <si>
    <t>MENCHINI JOHN P            MD</t>
  </si>
  <si>
    <t>JMENCHINI@KALEIDAHEALTH.ORG</t>
  </si>
  <si>
    <t>MENCHINI JOHN</t>
  </si>
  <si>
    <t>SHARF, ZVI, MD</t>
  </si>
  <si>
    <t>E0190854</t>
  </si>
  <si>
    <t>SHARF ZVI MD</t>
  </si>
  <si>
    <t>ZSHARF@KALEIDAHEALTH.ORG</t>
  </si>
  <si>
    <t>SHARF ZVI</t>
  </si>
  <si>
    <t>ROEHMHOLDT, JOHN, MD</t>
  </si>
  <si>
    <t>E0115752</t>
  </si>
  <si>
    <t>ROEHMHOLDT JOHN</t>
  </si>
  <si>
    <t>JROEHMHOLDT@KALEIDAHEALTH.ORG</t>
  </si>
  <si>
    <t>ROEHMHOLDT JOHN DR.</t>
  </si>
  <si>
    <t>ROEHMHOLDT JOHN MICHAEL</t>
  </si>
  <si>
    <t>3085 HARLEM RD/STE 200</t>
  </si>
  <si>
    <t>PIZZUTO, MICHAEL, MD</t>
  </si>
  <si>
    <t>E0175184</t>
  </si>
  <si>
    <t>PIZZUTO MICHAEL P MD</t>
  </si>
  <si>
    <t>MPIZZUTO@KALEIDAHEALTH.ORG</t>
  </si>
  <si>
    <t>PIZZUTO MICHAEL DR.</t>
  </si>
  <si>
    <t>ROSA COPLON JEWISH HOME &amp; INFIRMARY</t>
  </si>
  <si>
    <t>E0258514</t>
  </si>
  <si>
    <t>ROSA COPLON JEWISH HOME INF</t>
  </si>
  <si>
    <t>RON ZITO</t>
  </si>
  <si>
    <t>RZITO@WEINBERGCAMPUS.ORG</t>
  </si>
  <si>
    <t>ROSA COPLON JEWISH HOME AND INFIRMARY</t>
  </si>
  <si>
    <t>LINWOOD HEALTH CARE CENTER, INC.</t>
  </si>
  <si>
    <t>BATES, VERNICE, MD</t>
  </si>
  <si>
    <t>E0228324</t>
  </si>
  <si>
    <t>BATES VERNICE E            MD</t>
  </si>
  <si>
    <t>VBATES2@KALEIDAHEALTH.ORG</t>
  </si>
  <si>
    <t>BATES VERNICE</t>
  </si>
  <si>
    <t>DENT NEUROLOGIC INST</t>
  </si>
  <si>
    <t>STRYKER, MELISSA, LPCLMHC</t>
  </si>
  <si>
    <t>STRYKER,  MELISSA , SR COUNSELOR LICENSED</t>
  </si>
  <si>
    <t>(704) 293-5282</t>
  </si>
  <si>
    <t>STRYKER MELISSA</t>
  </si>
  <si>
    <t>PEPE, MARJORIE, MD</t>
  </si>
  <si>
    <t>E0159347</t>
  </si>
  <si>
    <t>PEPE MARJORIE MD</t>
  </si>
  <si>
    <t>MPEPE@KALEIDAHEALTH.ORG</t>
  </si>
  <si>
    <t>PEPE MARJORIE DR.</t>
  </si>
  <si>
    <t>BUFFALO GEN NEONATOL</t>
  </si>
  <si>
    <t>BOUTON, SCOTT, MD</t>
  </si>
  <si>
    <t>E0296988</t>
  </si>
  <si>
    <t>BOUTON SCOTT MICHAEL</t>
  </si>
  <si>
    <t>BOUTON , SCOTT    , MD</t>
  </si>
  <si>
    <t>(440) 684-5829</t>
  </si>
  <si>
    <t>SBOUTON@UPA.CHOB.EDU</t>
  </si>
  <si>
    <t>BOUTON SCOTT</t>
  </si>
  <si>
    <t>BOUTON SCOTT MICHAEL MD</t>
  </si>
  <si>
    <t>E0181678</t>
  </si>
  <si>
    <t>PEOPLE HOME HEALTH CARE SVCS</t>
  </si>
  <si>
    <t>2128  ELMWOOD AVE</t>
  </si>
  <si>
    <t>QUINN, HEATHER, NP</t>
  </si>
  <si>
    <t>E0305133</t>
  </si>
  <si>
    <t>QUINN HEATHER ANN</t>
  </si>
  <si>
    <t>HEATHER QUINN, , FNP</t>
  </si>
  <si>
    <t>(585) 737-5560</t>
  </si>
  <si>
    <t>QUINN HEATHER</t>
  </si>
  <si>
    <t>AMABILE, KRISTIN, OD</t>
  </si>
  <si>
    <t>E0295679</t>
  </si>
  <si>
    <t>AMABILE KRISTIN</t>
  </si>
  <si>
    <t>(716) 435-4010</t>
  </si>
  <si>
    <t>AMABILE KRISTIN DR.</t>
  </si>
  <si>
    <t>2064 SENECA ST</t>
  </si>
  <si>
    <t>Persia, Albert,  Lutheran Retirement Home</t>
  </si>
  <si>
    <t>E0267651</t>
  </si>
  <si>
    <t>LUTHERN RETIREMENT HOME</t>
  </si>
  <si>
    <t>Broom, Catherine, Mid-Erie Mental Health Services</t>
  </si>
  <si>
    <t>Elizabeth L. Mauro</t>
  </si>
  <si>
    <t>emauro@mid-erie.org</t>
  </si>
  <si>
    <t>BROOM CATHERINE MRS.</t>
  </si>
  <si>
    <t>Cartagena, Sue, Mid-Erie Mental Health Services</t>
  </si>
  <si>
    <t>1526 Walden Ave, Suite 400</t>
  </si>
  <si>
    <t>Gordon, Michael, Mid-Erie Mental Health Services</t>
  </si>
  <si>
    <t>Guido, Sahara, Mid-Erie Mental Health Services</t>
  </si>
  <si>
    <t>HERETH, JAMES, MD</t>
  </si>
  <si>
    <t>E0293463</t>
  </si>
  <si>
    <t>HERETH JAMES RAYMOND</t>
  </si>
  <si>
    <t>JHERETH@KALEIDAHEALTH.ORG</t>
  </si>
  <si>
    <t>HERETH JAMES DR.</t>
  </si>
  <si>
    <t>HERETH JAMES RAYMOND MD</t>
  </si>
  <si>
    <t>GUPPENBERGER, MICHAEL, MD</t>
  </si>
  <si>
    <t>E0294775</t>
  </si>
  <si>
    <t>GUPPENBERGER MICHAEL THOMAS</t>
  </si>
  <si>
    <t>(716) 655-0541</t>
  </si>
  <si>
    <t>GUPPENBERGER MICHAEL DR.</t>
  </si>
  <si>
    <t>PIOTROWSKI, ROBERT, RPA</t>
  </si>
  <si>
    <t>E0359445</t>
  </si>
  <si>
    <t>PIOTROWSKI ROBERT EDWARD</t>
  </si>
  <si>
    <t>PIOTROWSKI ROBERT</t>
  </si>
  <si>
    <t>(716) 390-6582</t>
  </si>
  <si>
    <t>RUSK, MATTHEW, DO</t>
  </si>
  <si>
    <t>E0352968</t>
  </si>
  <si>
    <t>RUSK MATTHEW JARED</t>
  </si>
  <si>
    <t>(716) 445-3002</t>
  </si>
  <si>
    <t>MRUSK@KALEIDAHEALTH.ORG</t>
  </si>
  <si>
    <t>RUSK MATTHEW DR.</t>
  </si>
  <si>
    <t>YAMPIKULSAKUL, POJCHAWAN, MD</t>
  </si>
  <si>
    <t>E0383325</t>
  </si>
  <si>
    <t>YAMPIKULSAKUL POJCHAWAN</t>
  </si>
  <si>
    <t>PYAMPIKULSAKUL@KALEIDAHEALTH.ORG</t>
  </si>
  <si>
    <t>GRIFFIN, SHANE, PA</t>
  </si>
  <si>
    <t>E0370397</t>
  </si>
  <si>
    <t>GRIFFIN SHANE P</t>
  </si>
  <si>
    <t>(716) 898-4427</t>
  </si>
  <si>
    <t>SGRIFFIN2@KALEIDAHEALTH.ORG</t>
  </si>
  <si>
    <t>GRIFFIN SHANE</t>
  </si>
  <si>
    <t>Renee L. Hansen, CNM</t>
  </si>
  <si>
    <t>E0368435</t>
  </si>
  <si>
    <t>HANSEN RENEE L</t>
  </si>
  <si>
    <t>(716) 376-2392</t>
  </si>
  <si>
    <t>HANSEN RENEE</t>
  </si>
  <si>
    <t>MINISTERO, JENNIFER, PAC</t>
  </si>
  <si>
    <t>E0351010</t>
  </si>
  <si>
    <t>JENNIFER REBECCA MINISTERO PA-C</t>
  </si>
  <si>
    <t>MINISTERO, JENNIFER, PA</t>
  </si>
  <si>
    <t>JENNIFER.MINISTERO@FAMILYCHOICENY.COM</t>
  </si>
  <si>
    <t>MINISTERO JENNIFER</t>
  </si>
  <si>
    <t>MINISTERO JENNIFER REBECCA</t>
  </si>
  <si>
    <t>ISMAIL, MAHMOUD, MD</t>
  </si>
  <si>
    <t>E0061367</t>
  </si>
  <si>
    <t>ISMAIL MAHMOUD ISMAIL MD</t>
  </si>
  <si>
    <t>ISMAIL MAHMOUD DR.</t>
  </si>
  <si>
    <t>(814) 480-7100</t>
  </si>
  <si>
    <t>2 CRESCANT PARK</t>
  </si>
  <si>
    <t>ARNOLD, JOANNE, MD</t>
  </si>
  <si>
    <t>E0092976</t>
  </si>
  <si>
    <t>ARNOLD JO ANNE MD</t>
  </si>
  <si>
    <t>ARNOLD, JO ANNE, MD</t>
  </si>
  <si>
    <t>(716) 204-9296</t>
  </si>
  <si>
    <t>JARNOLD2@KALEIDAHEALTH.ORG</t>
  </si>
  <si>
    <t>ARNOLD JOANNE DR.</t>
  </si>
  <si>
    <t>UNIV GYN-OB INC</t>
  </si>
  <si>
    <t>UNIVERSITY AT BUFFALO PEDIATRIC ASSOCIATES INC</t>
  </si>
  <si>
    <t>E0227901</t>
  </si>
  <si>
    <t>UNIVERSITY PEDIATRIC ASSOC</t>
  </si>
  <si>
    <t>SANDRA A. CARLO</t>
  </si>
  <si>
    <t>SFABI@UPA.CHOB.EDU</t>
  </si>
  <si>
    <t>UNIVERSITY AT BUFFALO</t>
  </si>
  <si>
    <t>ROLLER, JENNIFER, MD</t>
  </si>
  <si>
    <t>E0049589</t>
  </si>
  <si>
    <t>ROLLER JENNIFER LYNN MD</t>
  </si>
  <si>
    <t>JROLLER@KALEIDAHEALTH.ORG</t>
  </si>
  <si>
    <t>ROLLER JENNIFER</t>
  </si>
  <si>
    <t>ROLLER JENNIFER LYNN</t>
  </si>
  <si>
    <t>KIDS ALLIANCE PED</t>
  </si>
  <si>
    <t>KLEIN, MICHAEL, DO</t>
  </si>
  <si>
    <t>E0182462</t>
  </si>
  <si>
    <t>KLEIN MICHAEL JOSEPH</t>
  </si>
  <si>
    <t>MKLEIN2@KALEIDAHEALTH.ORG</t>
  </si>
  <si>
    <t>KLEIN MICHAEL DR.</t>
  </si>
  <si>
    <t>GALLAGHER, SUSAN, MD</t>
  </si>
  <si>
    <t>E0199125</t>
  </si>
  <si>
    <t>GALLAGHER SUSAN J          MD</t>
  </si>
  <si>
    <t>(716) 859-2859</t>
  </si>
  <si>
    <t>SGALLAGHER@KALEIDAHEALTH.ORG</t>
  </si>
  <si>
    <t>GALLAGHER SUSAN</t>
  </si>
  <si>
    <t>REINO, DAVID, MD</t>
  </si>
  <si>
    <t>E0223525</t>
  </si>
  <si>
    <t>REINO DAVID L MD</t>
  </si>
  <si>
    <t>DREINO@KALEIDAHEALTH.ORG</t>
  </si>
  <si>
    <t>REINO DAVID</t>
  </si>
  <si>
    <t>BROWN, SUSAN, PA</t>
  </si>
  <si>
    <t>E0013198</t>
  </si>
  <si>
    <t>BROWN SUSAN M RPA</t>
  </si>
  <si>
    <t>BROWN, SUSAN, PA-C</t>
  </si>
  <si>
    <t>SBROWN4@KALEIDAHEALTH.ORG</t>
  </si>
  <si>
    <t>BROWN SUSAN</t>
  </si>
  <si>
    <t>HALL, JOHN, MD</t>
  </si>
  <si>
    <t>E0129630</t>
  </si>
  <si>
    <t>HALL JOHN DAVID MD</t>
  </si>
  <si>
    <t>JHALL2@KALEIDAHEALTH.ORG</t>
  </si>
  <si>
    <t>HALL JOHN</t>
  </si>
  <si>
    <t>HALL JOHN DAVID</t>
  </si>
  <si>
    <t>LEVINE, MICHAEL, MD</t>
  </si>
  <si>
    <t>E0188865</t>
  </si>
  <si>
    <t>LEVINE MICHAEL IRA MD</t>
  </si>
  <si>
    <t>(917) 474-9855</t>
  </si>
  <si>
    <t>MLEVINE@KALEIDAHEALTH.ORG</t>
  </si>
  <si>
    <t>LEVINE MICHAEL DR.</t>
  </si>
  <si>
    <t>LEVINE MICHAEL IRA</t>
  </si>
  <si>
    <t>170 WILLIAM STREET</t>
  </si>
  <si>
    <t>MEHOLICK, ALAN, MD</t>
  </si>
  <si>
    <t>E0165493</t>
  </si>
  <si>
    <t>MEHOLICK ALAN W MD</t>
  </si>
  <si>
    <t>AMEHOLICK@KALEIDAHEALTH.ORG</t>
  </si>
  <si>
    <t>MEHOLICK ALAN</t>
  </si>
  <si>
    <t>WEGMANS FOOD MARKETS, INC</t>
  </si>
  <si>
    <t>E0105687</t>
  </si>
  <si>
    <t>WEGMAN'S FOOD MARKETS INC 192</t>
  </si>
  <si>
    <t>JODI WALKER</t>
  </si>
  <si>
    <t>(585) 279-4355</t>
  </si>
  <si>
    <t>SARAH.AMERING@WEGMANS.COM</t>
  </si>
  <si>
    <t>WEGMANS PHARMACY #092</t>
  </si>
  <si>
    <t>1577 MILITARY RD</t>
  </si>
  <si>
    <t>FLANIGEN, DIANE, MD</t>
  </si>
  <si>
    <t>E0184475</t>
  </si>
  <si>
    <t>FLANIGEN DIANE THERESE</t>
  </si>
  <si>
    <t>DFLANIGEN@KALEIDAHEALTH.ORG</t>
  </si>
  <si>
    <t>FLANIGEN DIANE DR.</t>
  </si>
  <si>
    <t>908 NIAGARA BLVD</t>
  </si>
  <si>
    <t>Companion Care</t>
  </si>
  <si>
    <t>Kathy A Benner</t>
  </si>
  <si>
    <t>(585) 546-1600</t>
  </si>
  <si>
    <t>kbenner@ccorhome.com</t>
  </si>
  <si>
    <t>ADORNETTO, AMY, LMHCP</t>
  </si>
  <si>
    <t>Monahan, Meghan, Cattaraugus County Department of Community Services</t>
  </si>
  <si>
    <t>(716) 373-8063</t>
  </si>
  <si>
    <t>MONAHAN MEGHAN</t>
  </si>
  <si>
    <t>Palmquist, Ruth, Cattaraugus County Department of Community Services</t>
  </si>
  <si>
    <t>(716) 373-8064</t>
  </si>
  <si>
    <t>PALMQUIST RUTH</t>
  </si>
  <si>
    <t>Proctor, Dannielle, Cattaraugus County Department of Community Services</t>
  </si>
  <si>
    <t>(716) 373-8065</t>
  </si>
  <si>
    <t>PROCTOR DANNIELLE</t>
  </si>
  <si>
    <t>Catholic Helth Home Partners</t>
  </si>
  <si>
    <t>NOWAK, MARK,</t>
  </si>
  <si>
    <t>NOWAK, MARK F.,</t>
  </si>
  <si>
    <t>(706) 895-4716</t>
  </si>
  <si>
    <t>NOWAK MARK MR.</t>
  </si>
  <si>
    <t>21 LITCHFIELD AVE</t>
  </si>
  <si>
    <t>SEKULOVSKI KATIE</t>
  </si>
  <si>
    <t>E0008449</t>
  </si>
  <si>
    <t>SEKULOVSKI KATIE WEART</t>
  </si>
  <si>
    <t>33-57 HARRISON ST</t>
  </si>
  <si>
    <t>JOHNSON CITY</t>
  </si>
  <si>
    <t>DREYER, JANET,</t>
  </si>
  <si>
    <t>E0000084</t>
  </si>
  <si>
    <t>DREYER JANET</t>
  </si>
  <si>
    <t>DREYER, JANET, ANP</t>
  </si>
  <si>
    <t>JDREYER@KALEIDAHEALTH.ORG</t>
  </si>
  <si>
    <t>DREYER JANET M</t>
  </si>
  <si>
    <t>JEYAPALAN, GERALD, MD</t>
  </si>
  <si>
    <t>E0335865</t>
  </si>
  <si>
    <t>JEYAPALAN GERALD RAJISH</t>
  </si>
  <si>
    <t>GJEYAPALAN@KALEIDAHEALTH.ORG</t>
  </si>
  <si>
    <t>JEYAPALAN GERALD DR.</t>
  </si>
  <si>
    <t>LEHMAN, HEATHER, MD</t>
  </si>
  <si>
    <t>E0005698</t>
  </si>
  <si>
    <t>LEHMAN HEATHER</t>
  </si>
  <si>
    <t>LEHMAN,  HEATHER   , MD</t>
  </si>
  <si>
    <t>HLEHMAN@UPA.CHOB.EDU</t>
  </si>
  <si>
    <t>LEHMAN HEATHER KRISTIN MD</t>
  </si>
  <si>
    <t>SWANSON, JUSTINE,</t>
  </si>
  <si>
    <t>SWANSON,  JUSTINE , PROGRAM SUPPORT COORDINATOR</t>
  </si>
  <si>
    <t>SWANSON JUSTINE</t>
  </si>
  <si>
    <t>BROWN, DAWN,</t>
  </si>
  <si>
    <t>(716) 720-6689</t>
  </si>
  <si>
    <t>BROWN DAWN MISS</t>
  </si>
  <si>
    <t>O'DONNELL, KYLE, RPAC</t>
  </si>
  <si>
    <t>O'DONNELL, KYLE, PA</t>
  </si>
  <si>
    <t>KO'DONNELL2@KALEIDAHEALTH.ORG</t>
  </si>
  <si>
    <t>O'DONNELL KYLE</t>
  </si>
  <si>
    <t>1600 MEDICAL WAY, STE 250</t>
  </si>
  <si>
    <t>SNELLVILLE</t>
  </si>
  <si>
    <t>UDDIN, SHAJADA,</t>
  </si>
  <si>
    <t>UDDIN, SHAJADA, MSW</t>
  </si>
  <si>
    <t>SUDDIN@CATSWNY.ORG</t>
  </si>
  <si>
    <t>UDDIN SHAJADA</t>
  </si>
  <si>
    <t>DABKOWSKI, STEFAN,</t>
  </si>
  <si>
    <t>DABKOWSKI STEFAN</t>
  </si>
  <si>
    <t>SITRIN, MICHAEL, MD</t>
  </si>
  <si>
    <t>E0067911</t>
  </si>
  <si>
    <t>SITRIN MICHAEL D MD</t>
  </si>
  <si>
    <t>(716) 862-3163</t>
  </si>
  <si>
    <t>MSITRIN@KALEIDAHEALTH.ORG</t>
  </si>
  <si>
    <t>SITRIN MICHAEL</t>
  </si>
  <si>
    <t>UNIV CHICAGO HOSP</t>
  </si>
  <si>
    <t>GUPTA, ALOK, MD</t>
  </si>
  <si>
    <t>E0109936</t>
  </si>
  <si>
    <t>GUPTA ALOK DEEP MD</t>
  </si>
  <si>
    <t>AGUPTA3@KALEIDAHEALTH.ORG</t>
  </si>
  <si>
    <t>GUPTA ALOK</t>
  </si>
  <si>
    <t>SCIANDRA, JOSEPH, DPM</t>
  </si>
  <si>
    <t>E0249359</t>
  </si>
  <si>
    <t>SCIANDRA JOSEPH A DPM</t>
  </si>
  <si>
    <t>(716) 875-3313</t>
  </si>
  <si>
    <t>JSCIANDRA@KALEIDAHEALTH.ORG</t>
  </si>
  <si>
    <t>SCIANDRA JOSEPH</t>
  </si>
  <si>
    <t>1275 HERTEL AVE</t>
  </si>
  <si>
    <t>GOMEZ, ELLIS, MD</t>
  </si>
  <si>
    <t>E0155322</t>
  </si>
  <si>
    <t>GOMEZ ELLIS EUGENIA MD</t>
  </si>
  <si>
    <t>E.GOMEZ@NWBCHCC.ORG</t>
  </si>
  <si>
    <t>GOMEZ ELLIS</t>
  </si>
  <si>
    <t>O'DONNELL, KATHERINE, MD</t>
  </si>
  <si>
    <t>E0104418</t>
  </si>
  <si>
    <t>O'DONNELL KATHERINE ANNE MD</t>
  </si>
  <si>
    <t>(716) 712-0858</t>
  </si>
  <si>
    <t>KO'DONNELL@KALEIDAHEALTH.ORG</t>
  </si>
  <si>
    <t>O'DONNELL KATHERINE</t>
  </si>
  <si>
    <t>WHITE-DAVIS, CHERYL, PA</t>
  </si>
  <si>
    <t>E0065640</t>
  </si>
  <si>
    <t>WHITE CHERYL A</t>
  </si>
  <si>
    <t>CWHITEDAVIS@KALEIDAHEALTH.ORG</t>
  </si>
  <si>
    <t>WHITE-DAVIS CHERYL</t>
  </si>
  <si>
    <t>PIENTKA, JENNIFER,</t>
  </si>
  <si>
    <t>PIENTKA,  JENNIFER, SR COUNSELOR QHP</t>
  </si>
  <si>
    <t>PIENTKA JENNIFER</t>
  </si>
  <si>
    <t>SULLIVAN, NANCY, NP</t>
  </si>
  <si>
    <t>E0070885</t>
  </si>
  <si>
    <t>SULLIVAN NANCY LEE</t>
  </si>
  <si>
    <t>SULLIVAN, NANCY, ANP</t>
  </si>
  <si>
    <t>NSULLIVAN@KALEIDAHEALTH.ORG</t>
  </si>
  <si>
    <t>SULLIVAN NANCY</t>
  </si>
  <si>
    <t>FAYYAZ, MOHAMMAD, MD</t>
  </si>
  <si>
    <t>E0138931</t>
  </si>
  <si>
    <t>FAYYAZ MOHAMMAD MD</t>
  </si>
  <si>
    <t>MFAYYAZ@KALEIDAHEALTH.ORG</t>
  </si>
  <si>
    <t>FAYYAZ MOHAMMAD DR.</t>
  </si>
  <si>
    <t>BAKER HALL INC</t>
  </si>
  <si>
    <t>E0318465</t>
  </si>
  <si>
    <t>BAKER HALL INC DBA CHILD PRO</t>
  </si>
  <si>
    <t>(716) 822-4781</t>
  </si>
  <si>
    <t>SMITH, DANIEL, BA</t>
  </si>
  <si>
    <t>SMITH, DANIEL,</t>
  </si>
  <si>
    <t>SMITH DANIEL MS.</t>
  </si>
  <si>
    <t>NUTTY, KIRSTEN, LNP</t>
  </si>
  <si>
    <t>E0320745</t>
  </si>
  <si>
    <t>THIBODEAU KIRSTEN A</t>
  </si>
  <si>
    <t>NUTTY , KIRSTEN, NP</t>
  </si>
  <si>
    <t>(518) 588-3235</t>
  </si>
  <si>
    <t>KTHIBODEAU@UPA.CHOB.EDU</t>
  </si>
  <si>
    <t>NUTTY KIRSTEN</t>
  </si>
  <si>
    <t>NUTTY KIRSTEN ANN THIBODEAU</t>
  </si>
  <si>
    <t>HENLEY, STEPHANIE,</t>
  </si>
  <si>
    <t>WESNER,  STEPHANIE, SR COUNSELOR QHP</t>
  </si>
  <si>
    <t>HENLEY STEPHANIE</t>
  </si>
  <si>
    <t>RUVIO, CARRIE, MSWLMSW</t>
  </si>
  <si>
    <t>E0374567</t>
  </si>
  <si>
    <t>RUVIO CARRIE A</t>
  </si>
  <si>
    <t>RUVIO, CARRIE, LCSW</t>
  </si>
  <si>
    <t>(716) 335-7084</t>
  </si>
  <si>
    <t>CRUVIO@CFSBNY.ORG</t>
  </si>
  <si>
    <t>RUVIO CARRIE MRS.</t>
  </si>
  <si>
    <t>CAPOTE, EILEEN, MD</t>
  </si>
  <si>
    <t>E0136753</t>
  </si>
  <si>
    <t>CAPOTE EILEEN D MD</t>
  </si>
  <si>
    <t>(716) 838-3600</t>
  </si>
  <si>
    <t>ECAPOTE@KALEIDAHEALTH.ORG</t>
  </si>
  <si>
    <t>CAPOTE EILEEN</t>
  </si>
  <si>
    <t>CAPOTE EILEEN DELGADO  MD</t>
  </si>
  <si>
    <t>2114 EGGERT ROAD</t>
  </si>
  <si>
    <t>LIPP, REBEKKA,</t>
  </si>
  <si>
    <t>LIPP, REBEKKA, LMHCP</t>
  </si>
  <si>
    <t>LIPP REBEKKA MISS</t>
  </si>
  <si>
    <t>EASTERN NIAGARA HOSPITAL INC</t>
  </si>
  <si>
    <t>E0353509</t>
  </si>
  <si>
    <t>WILD, CHRISTINE, ANP</t>
  </si>
  <si>
    <t>E0331239</t>
  </si>
  <si>
    <t>WILD CHRISTINE A</t>
  </si>
  <si>
    <t>WILD CHRISTINE</t>
  </si>
  <si>
    <t>SHEEHAN-SCHRECK, PAMELA, FNP</t>
  </si>
  <si>
    <t>E0324014</t>
  </si>
  <si>
    <t>SHEEHAN-SCHRECK PAMELA MARIE</t>
  </si>
  <si>
    <t>SHEEHAN-SCHRECK, PAMELA, MSN, FNP</t>
  </si>
  <si>
    <t>PSHEEHAN-SCHRECK@KALEIDAHEALTH.ORG</t>
  </si>
  <si>
    <t>SHEEHAN-SCHRECK PAMELA MS.</t>
  </si>
  <si>
    <t>Hanna, Coleen, Mid-Erie Mental Health Services</t>
  </si>
  <si>
    <t>Hover, Patricia, Mid-Erie Mental Health Services</t>
  </si>
  <si>
    <t>Jones, John, Mid-Erie Mental Health Services</t>
  </si>
  <si>
    <t>Leiter, Linda, Mid-Erie Mental Health Services</t>
  </si>
  <si>
    <t>Michalski, Wendy, Mid-Erie Mental Health Services</t>
  </si>
  <si>
    <t>Nesbitt, Hollie, Mid-Erie Mental Health Services</t>
  </si>
  <si>
    <t>Obe, Dawn, Mid-Erie Mental Health Services</t>
  </si>
  <si>
    <t>Parisi, Sarah, Mid-Erie Mental Health Services</t>
  </si>
  <si>
    <t>Payton, Jennifer, Mid-Erie Mental Health Services</t>
  </si>
  <si>
    <t>Pieters, Rebecca, Mid-Erie Mental Health Services</t>
  </si>
  <si>
    <t>Respress, Shawntay, Mid-Erie Mental Health Services</t>
  </si>
  <si>
    <t>Senick, Robin, Mid-Erie Mental Health Services</t>
  </si>
  <si>
    <t>Siejak, Teresa, Mid-Erie Mental Health Services</t>
  </si>
  <si>
    <t>Speziale, Nadia, Mid-Erie Mental Health Services</t>
  </si>
  <si>
    <t>Stacey, Debra, Mid-Erie Mental Health Services</t>
  </si>
  <si>
    <t>E0366411</t>
  </si>
  <si>
    <t>STACEY DEBRA J</t>
  </si>
  <si>
    <t>STACEY DEBRA</t>
  </si>
  <si>
    <t>4985 HARLEM RD</t>
  </si>
  <si>
    <t>Thompson, Daniela, Mid-Erie Mental Health Services</t>
  </si>
  <si>
    <t>Westman, Stefanie, Mid-Erie Mental Health Services</t>
  </si>
  <si>
    <t>Woloszyn, Susan, Mid-Erie Mental Health Services</t>
  </si>
  <si>
    <t>E0363524</t>
  </si>
  <si>
    <t>WOLOSZYN SUSAN D</t>
  </si>
  <si>
    <t>WOLOSZYN SUSAN MRS.</t>
  </si>
  <si>
    <t>Angle, Claire, Niagara Cerebral Palsy</t>
  </si>
  <si>
    <t>E0348486</t>
  </si>
  <si>
    <t>ANGLE CLAIRE LOUISE</t>
  </si>
  <si>
    <t>ANGLE CLAIRE</t>
  </si>
  <si>
    <t>Bailey, Karen, Niagara Cerebral Palsy</t>
  </si>
  <si>
    <t>BAILEY KAREN MS.</t>
  </si>
  <si>
    <t>171 IRVING ST</t>
  </si>
  <si>
    <t>Borelli, Carol Anne, Niagara Cerebral Palsy</t>
  </si>
  <si>
    <t>BORELLI CAROL MRS.</t>
  </si>
  <si>
    <t>115 RIVERWOODS DR</t>
  </si>
  <si>
    <t>Burdick, Rebecca, Niagara Cerebral Palsy</t>
  </si>
  <si>
    <t>BURDICK REBECCA</t>
  </si>
  <si>
    <t>141 JOHN ST</t>
  </si>
  <si>
    <t>Claffey, Greer, Niagara Cerebral Palsy</t>
  </si>
  <si>
    <t>CLAFFEY GREER</t>
  </si>
  <si>
    <t>104 BIRKSHIRE DR</t>
  </si>
  <si>
    <t>Colangelo, Leigh, Niagara Cerebral Palsy</t>
  </si>
  <si>
    <t>COLANGELO LEIGH MRS.</t>
  </si>
  <si>
    <t>419 LYNNBROOK DR</t>
  </si>
  <si>
    <t>YOUNGSTOWN</t>
  </si>
  <si>
    <t>Contant, Kimberly, Niagara Cerebral Palsy</t>
  </si>
  <si>
    <t>E0348487</t>
  </si>
  <si>
    <t>CONTANT KIMBERLY S</t>
  </si>
  <si>
    <t>CONTANT KIMBERLY MISS</t>
  </si>
  <si>
    <t>Dembek, Jeanine, Niagara Cerebral Palsy</t>
  </si>
  <si>
    <t>DEMBEK JEANNINE MRS.</t>
  </si>
  <si>
    <t>Green, Roseann , Niagara Cerebral Palsy</t>
  </si>
  <si>
    <t>GREEN ROSEANN</t>
  </si>
  <si>
    <t>272 CLARK ST</t>
  </si>
  <si>
    <t>Harrington, Rachel, Niagara Cerebral Palsy</t>
  </si>
  <si>
    <t>HARRINGTON RACHEL MRS.</t>
  </si>
  <si>
    <t>9400 JOHNSON RD</t>
  </si>
  <si>
    <t>Hayden, Laura, Niagara Cerebral Palsy</t>
  </si>
  <si>
    <t>HAYDEN LAURA MS.</t>
  </si>
  <si>
    <t>2233 BEDELL RD, APT 7</t>
  </si>
  <si>
    <t>Janiszewski, Mary, Niagara Cerebral Palsy</t>
  </si>
  <si>
    <t>JANISZEWSKI MARY</t>
  </si>
  <si>
    <t>434 PORTAGE RD</t>
  </si>
  <si>
    <t>Kokil, Shailaja, Niagara Cerebral Palsy</t>
  </si>
  <si>
    <t>KOKIL SHAILAJA</t>
  </si>
  <si>
    <t>7267 NORMAN RD</t>
  </si>
  <si>
    <t>P2 Collaborative</t>
  </si>
  <si>
    <t>Kevin Donovan</t>
  </si>
  <si>
    <t>(716) 923-6572</t>
  </si>
  <si>
    <t>info@p2wny.com</t>
  </si>
  <si>
    <t>355 Harlem Rd.</t>
  </si>
  <si>
    <t>TLC Health Network--Brooks</t>
  </si>
  <si>
    <t>Scott A. Butler</t>
  </si>
  <si>
    <t>(716) 951-7041</t>
  </si>
  <si>
    <t>sbutler@tlchealth.com</t>
  </si>
  <si>
    <t>845 Routes 5 &amp; 20</t>
  </si>
  <si>
    <t>Irving</t>
  </si>
  <si>
    <t>Suburban Adult Servies Inc</t>
  </si>
  <si>
    <t>Anthony J. Annunziato</t>
  </si>
  <si>
    <t>tannuziato@sasinc.org</t>
  </si>
  <si>
    <t>3277 K-Street</t>
  </si>
  <si>
    <t>Yorkshire</t>
  </si>
  <si>
    <t>Quinn, Amanda, Cattaraugus County Department of Community Services</t>
  </si>
  <si>
    <t>(716) 373-8066</t>
  </si>
  <si>
    <t>QUINN AMANDA MRS.</t>
  </si>
  <si>
    <t>Ramsey, Joe, Cattaraugus County Department of Community Services</t>
  </si>
  <si>
    <t>(716) 373-8067</t>
  </si>
  <si>
    <t>RAMSEY JOSEPH</t>
  </si>
  <si>
    <t>Shaffer, Kristen, Cattaraugus County Department of Community Services</t>
  </si>
  <si>
    <t>(716) 373-8068</t>
  </si>
  <si>
    <t>SHAFFER KRISTEN</t>
  </si>
  <si>
    <t>Springer, Meghan, Cattaraugus County Department of Community Services</t>
  </si>
  <si>
    <t>(716) 373-8069</t>
  </si>
  <si>
    <t>SPRINGER MEGHAN</t>
  </si>
  <si>
    <t>Stabb, Kathleen, Cattaraugus County Department of Community Services</t>
  </si>
  <si>
    <t>(716) 373-8070</t>
  </si>
  <si>
    <t>STABB KATHLEEN</t>
  </si>
  <si>
    <t>Tingley, Cheryl, Cattaraugus County Department of Community Services</t>
  </si>
  <si>
    <t>(716) 373-8071</t>
  </si>
  <si>
    <t>TINGLEY CHERYL</t>
  </si>
  <si>
    <t>VanCuran, Sondra, Cattaraugus County Department of Community Services</t>
  </si>
  <si>
    <t>(716) 373-8072</t>
  </si>
  <si>
    <t>VANCURAN SONDRA</t>
  </si>
  <si>
    <t>Visneski, Christi, Cattaraugus County Department of Community Services</t>
  </si>
  <si>
    <t>(716) 373-8073</t>
  </si>
  <si>
    <t>VISNESKI CHRISTI</t>
  </si>
  <si>
    <t>Widger, Laura, Cattaraugus County Department of Community Services</t>
  </si>
  <si>
    <t>(716) 373-8074</t>
  </si>
  <si>
    <t>WESLEY LAURA</t>
  </si>
  <si>
    <t>Williams, Rebekah, Cattaraugus County Department of Community Services</t>
  </si>
  <si>
    <t>E0366661</t>
  </si>
  <si>
    <t>BROWNSTEIN REBEKAH M</t>
  </si>
  <si>
    <t>(716) 373-8075</t>
  </si>
  <si>
    <t>WILLIAMS REBEKAH PROF.</t>
  </si>
  <si>
    <t>WILLIAMS REBEKAH M</t>
  </si>
  <si>
    <t>Armstrong, Robert, Center for Ambulatroy Surgery Inc</t>
  </si>
  <si>
    <t>E0383420</t>
  </si>
  <si>
    <t>ARMSTRONG ROBERT</t>
  </si>
  <si>
    <t>(716) 677-4400</t>
  </si>
  <si>
    <t>Becht, Nancy, Center for Ambulatroy Surgery Inc</t>
  </si>
  <si>
    <t>(716) 677-4401</t>
  </si>
  <si>
    <t>Bialy, Michele, Center for Ambulatroy Surgery Inc</t>
  </si>
  <si>
    <t>(716) 677-4402</t>
  </si>
  <si>
    <t>BIALY MICHELE MS.</t>
  </si>
  <si>
    <t>465 W PUTNAM AVE</t>
  </si>
  <si>
    <t>PORTERVILLE</t>
  </si>
  <si>
    <t>Bruno Jr, August, Center for Ambulatroy Surgery Inc</t>
  </si>
  <si>
    <t>E0142722</t>
  </si>
  <si>
    <t>BRUNO JR AUGUST ANDREW MD</t>
  </si>
  <si>
    <t>(716) 677-4403</t>
  </si>
  <si>
    <t>BRUNO AUGUST DR.</t>
  </si>
  <si>
    <t>1072 E LOVEJOY ST</t>
  </si>
  <si>
    <t>Bruno, Maria, Center for Ambulatroy Surgery Inc</t>
  </si>
  <si>
    <t>E0101202</t>
  </si>
  <si>
    <t>BRUNO MARIA DELORES</t>
  </si>
  <si>
    <t>(716) 677-4404</t>
  </si>
  <si>
    <t>BRUNO MARIA</t>
  </si>
  <si>
    <t>Cantie, Shawn, Center for Ambulatroy Surgery Inc</t>
  </si>
  <si>
    <t>E0395223</t>
  </si>
  <si>
    <t>CANTIE SHAWN MICHAEL</t>
  </si>
  <si>
    <t>(716) 677-4405</t>
  </si>
  <si>
    <t>CANTIE SHAWN DR.</t>
  </si>
  <si>
    <t>Choroser, Eirene, Center for Ambulatroy Surgery Inc</t>
  </si>
  <si>
    <t>(716) 677-4406</t>
  </si>
  <si>
    <t>Davis, Howard, Center for Ambulatroy Surgery Inc</t>
  </si>
  <si>
    <t>E0192059</t>
  </si>
  <si>
    <t>DAVIS HOWARD I MD</t>
  </si>
  <si>
    <t>(716) 677-4407</t>
  </si>
  <si>
    <t>DAVIS HOWARD DR.</t>
  </si>
  <si>
    <t>GENESEE HOSPITAL</t>
  </si>
  <si>
    <t>Diaz Ordaz, Albert, Center for Ambulatroy Surgery Inc</t>
  </si>
  <si>
    <t>E0182695</t>
  </si>
  <si>
    <t>DIAZ ORDAZ ALBERT JOSE LUIS</t>
  </si>
  <si>
    <t>(716) 677-4408</t>
  </si>
  <si>
    <t>DIAZ-ORDAZ ALBERT</t>
  </si>
  <si>
    <t>3653 HARLEM RD</t>
  </si>
  <si>
    <t>Everett, Charles, Center for Ambulatroy Surgery Inc</t>
  </si>
  <si>
    <t>E0125608</t>
  </si>
  <si>
    <t>EVERETT CHARLES WILLARD MD</t>
  </si>
  <si>
    <t>(716) 677-4409</t>
  </si>
  <si>
    <t>EVERETT CHARLES DR.</t>
  </si>
  <si>
    <t>Everett, Sandra, Center for Ambulatroy Surgery Inc</t>
  </si>
  <si>
    <t>E0157700</t>
  </si>
  <si>
    <t>EVERETT SANDRA MD</t>
  </si>
  <si>
    <t>(716) 677-4410</t>
  </si>
  <si>
    <t>EVERETT SANDRA DR.</t>
  </si>
  <si>
    <t>Fabianski, Jason, Center for Ambulatroy Surgery Inc</t>
  </si>
  <si>
    <t>E0113558</t>
  </si>
  <si>
    <t>FABIANSKI JASON D</t>
  </si>
  <si>
    <t>(716) 677-4411</t>
  </si>
  <si>
    <t>FABIANSKI JASON</t>
  </si>
  <si>
    <t>550 ORCHARD PARK RD STE B105</t>
  </si>
  <si>
    <t>Fisher, David, Center for Ambulatroy Surgery Inc</t>
  </si>
  <si>
    <t>E0057183</t>
  </si>
  <si>
    <t>FISHER DAVID M</t>
  </si>
  <si>
    <t>(716) 677-4412</t>
  </si>
  <si>
    <t>FISHER DAVID DR.</t>
  </si>
  <si>
    <t>Genewick, Tiffany, Center for Ambulatroy Surgery Inc</t>
  </si>
  <si>
    <t>E0091108</t>
  </si>
  <si>
    <t>GENEWICK TIFFANY B MD</t>
  </si>
  <si>
    <t>(716) 677-4413</t>
  </si>
  <si>
    <t>GENEWICK TIFFANY DR.</t>
  </si>
  <si>
    <t>Grant, Michael, Center for Ambulatroy Surgery Inc</t>
  </si>
  <si>
    <t>E0211061</t>
  </si>
  <si>
    <t>GRANT MICHAEL T MD</t>
  </si>
  <si>
    <t>GRANT MICHAEL DR.</t>
  </si>
  <si>
    <t>STE B105</t>
  </si>
  <si>
    <t>Hassenfratz, Jay, Center for Ambulatroy Surgery Inc</t>
  </si>
  <si>
    <t>E0067650</t>
  </si>
  <si>
    <t>HASSENFRATZ JAY THOMAS DPM</t>
  </si>
  <si>
    <t>(716) 677-4415</t>
  </si>
  <si>
    <t>HASSENFRATZ JAY</t>
  </si>
  <si>
    <t>1026 UNION RD</t>
  </si>
  <si>
    <t>Imbrogno, Vincent, Center for Ambulatroy Surgery Inc</t>
  </si>
  <si>
    <t>E0347665</t>
  </si>
  <si>
    <t>IMBROGNO VINCENT MICHAEL</t>
  </si>
  <si>
    <t>(716) 677-4416</t>
  </si>
  <si>
    <t>IMBROGNO VINCENT</t>
  </si>
  <si>
    <t>Jensen, Erik, Center for Ambulatroy Surgery Inc</t>
  </si>
  <si>
    <t>(716) 677-4417</t>
  </si>
  <si>
    <t>Justis, Gina, Center for Ambulatroy Surgery Inc</t>
  </si>
  <si>
    <t>E0296460</t>
  </si>
  <si>
    <t>JUSTIS GINA BRIGITTE</t>
  </si>
  <si>
    <t>(716) 677-4418</t>
  </si>
  <si>
    <t>JUSTIS GINA</t>
  </si>
  <si>
    <t>Littler, Susan, Center for Ambulatroy Surgery Inc</t>
  </si>
  <si>
    <t>E0112745</t>
  </si>
  <si>
    <t>LITTLER SUSAN J MD</t>
  </si>
  <si>
    <t>(716) 677-4419</t>
  </si>
  <si>
    <t>LITTLER SUSAN DR.</t>
  </si>
  <si>
    <t>Mahoney, Elizabeth, Center for Ambulatroy Surgery Inc</t>
  </si>
  <si>
    <t>E0013136</t>
  </si>
  <si>
    <t>MAHONEY ELIZABETH LAETITIA MD</t>
  </si>
  <si>
    <t>(716) 677-4420</t>
  </si>
  <si>
    <t>MAHONEY ELIZABETH</t>
  </si>
  <si>
    <t>Fallon, Melissa, University Pediatric Denistry, PC</t>
  </si>
  <si>
    <t>E0389686</t>
  </si>
  <si>
    <t>FALLON MELISSA M</t>
  </si>
  <si>
    <t>FALLON MELISSA DR.</t>
  </si>
  <si>
    <t>Khalsa, Sat Kartar, University Pediatric Denistry, PC</t>
  </si>
  <si>
    <t>E0000312</t>
  </si>
  <si>
    <t>KHALSA SAT KARTAR K  DDS</t>
  </si>
  <si>
    <t>KHALSA SAT KARTAR DR.</t>
  </si>
  <si>
    <t>KHALSA SAT KARTAR K DDS</t>
  </si>
  <si>
    <t>1 FLATBUSH AVE FL 2</t>
  </si>
  <si>
    <t>Nauman, Jennifer, University Pediatric Denistry, PC</t>
  </si>
  <si>
    <t>E0348627</t>
  </si>
  <si>
    <t>NAUMAN JENNIFER LYNN</t>
  </si>
  <si>
    <t>NAUMAN JENNIFER MS.</t>
  </si>
  <si>
    <t>515 ABBOTT RD STE 402</t>
  </si>
  <si>
    <t>Teplitsky, Mara, University Pediatric Denistry, PC</t>
  </si>
  <si>
    <t>E0378746</t>
  </si>
  <si>
    <t>TEPLITSKY MARA L</t>
  </si>
  <si>
    <t>TEPLITSKY MARA DR.</t>
  </si>
  <si>
    <t>Wolfe, Jennifer, Chautauqua County DMH Health Home (HHUNY Southern Tier)</t>
  </si>
  <si>
    <t>E0368239</t>
  </si>
  <si>
    <t>WOLFE JENNIFER LYNN</t>
  </si>
  <si>
    <t>(716) 753-4163</t>
  </si>
  <si>
    <t>WOLFE JENNIFER</t>
  </si>
  <si>
    <t>Wright, Carol, Chautauqua County DMH Health Home (HHUNY Southern Tier)</t>
  </si>
  <si>
    <t>E0022515</t>
  </si>
  <si>
    <t>WRIGHT CAROL L</t>
  </si>
  <si>
    <t>(716) 753-4164</t>
  </si>
  <si>
    <t>WRIGHT CAROL</t>
  </si>
  <si>
    <t>Berke, Robert, Chautauqua County Health Department</t>
  </si>
  <si>
    <t>E0227358</t>
  </si>
  <si>
    <t>BERKE ROBERT               MD</t>
  </si>
  <si>
    <t>Christine Schuyler</t>
  </si>
  <si>
    <t>(716) 753-4590</t>
  </si>
  <si>
    <t>schuylec@co.chautauqua.ny.us</t>
  </si>
  <si>
    <t>BERKE ROBERT DR.</t>
  </si>
  <si>
    <t>BERKE ROBERT</t>
  </si>
  <si>
    <t>95 EAST CHAUTAUGUA S</t>
  </si>
  <si>
    <t>Brathwaite, Lisa, Chautauqua County Health Department</t>
  </si>
  <si>
    <t>E0341668</t>
  </si>
  <si>
    <t>BRATHWAITE LISA MICHELLE</t>
  </si>
  <si>
    <t>BRATHWAITE-MASON LISA</t>
  </si>
  <si>
    <t>BRATHWAITE-MASON LISA MICHELLE</t>
  </si>
  <si>
    <t>Burgess, Catherine, Chautauqua County Health Department</t>
  </si>
  <si>
    <t>BURGESS CATHERINE</t>
  </si>
  <si>
    <t>319 CENTRAL AVE, 3RD FLOOR NURSING DIVISION</t>
  </si>
  <si>
    <t>Carter, Charlene, Chautauqua County Health Department</t>
  </si>
  <si>
    <t>E0057220</t>
  </si>
  <si>
    <t>CARTER CHARLENE S</t>
  </si>
  <si>
    <t>CARTER CHARLENE MRS.</t>
  </si>
  <si>
    <t>Grice, Shari, Chautauqua County Health Department</t>
  </si>
  <si>
    <t>GRICE SHARI MRS.</t>
  </si>
  <si>
    <t>110 E 4TH ST</t>
  </si>
  <si>
    <t>Lane, Patsy, Chautauqua County Health Department</t>
  </si>
  <si>
    <t>E0177996</t>
  </si>
  <si>
    <t>LANE PATSY HEMINK MS NP</t>
  </si>
  <si>
    <t>LANE PATSY</t>
  </si>
  <si>
    <t>LANE PATSY H NP</t>
  </si>
  <si>
    <t>Bucholtz, Natalie, Community Concern of WNY Inc</t>
  </si>
  <si>
    <t>Carol L. Mahoney</t>
  </si>
  <si>
    <t>cmahoney@homecare-hospice.org</t>
  </si>
  <si>
    <t>BUCHOLTZ NATALIE</t>
  </si>
  <si>
    <t>Jerry Bartone, Executive Director, Community Concern of WNY Inc</t>
  </si>
  <si>
    <t>1225 West State Street</t>
  </si>
  <si>
    <t>Longdon, Marlene, Community Concern of WNY Inc</t>
  </si>
  <si>
    <t>E0020956</t>
  </si>
  <si>
    <t>LONGDON MARLENE CAROLYN</t>
  </si>
  <si>
    <t>LONGDON MARLENE</t>
  </si>
  <si>
    <t>Nowak, Valerie, Community Concern of WNY Inc</t>
  </si>
  <si>
    <t>NOWAK VALERIE</t>
  </si>
  <si>
    <t>Popson, Richard, Community Concern of WNY Inc</t>
  </si>
  <si>
    <t>E0103269</t>
  </si>
  <si>
    <t>POPSON RICHARD</t>
  </si>
  <si>
    <t>POPSON RICHARD DENNIS</t>
  </si>
  <si>
    <t>265 UNION ST STE 104</t>
  </si>
  <si>
    <t>Torge, RN, Joyce, Community Concern of WNY Inc</t>
  </si>
  <si>
    <t>Rizzo, Christopher, Couifer Park Inc</t>
  </si>
  <si>
    <t>E0047830</t>
  </si>
  <si>
    <t>RIZZO CHRISTOPHER J MD</t>
  </si>
  <si>
    <t>Michael Kettle</t>
  </si>
  <si>
    <t>(800) 989-6446</t>
  </si>
  <si>
    <t>mkettle@libertymgt.com</t>
  </si>
  <si>
    <t>RIZZO CHRISTOPHER DR.</t>
  </si>
  <si>
    <t>RIZZO CHRISTOPHER JOHN</t>
  </si>
  <si>
    <t>15905 UNION TPKE</t>
  </si>
  <si>
    <t>FRESH MEADOWS</t>
  </si>
  <si>
    <t>Depaul Adult Care Communities, Inc</t>
  </si>
  <si>
    <t>James Whalen</t>
  </si>
  <si>
    <t>(585) 719-3170</t>
  </si>
  <si>
    <t>jwhalen@depaul.org</t>
  </si>
  <si>
    <t>1931 Buffalo Road</t>
  </si>
  <si>
    <t>Alfano, Teresa, Erie Chapter NYSARC Inc bda Heritage Centers</t>
  </si>
  <si>
    <t>E0054001</t>
  </si>
  <si>
    <t>ALFANO TERESA</t>
  </si>
  <si>
    <t>Banks, Nicole, Erie Chapter NYSARC Inc bda Heritage Centers</t>
  </si>
  <si>
    <t>E0081029</t>
  </si>
  <si>
    <t>BANKS NICOLE THERESE  RPT</t>
  </si>
  <si>
    <t>BANKS NICOLE MRS.</t>
  </si>
  <si>
    <t>MIKE HART</t>
  </si>
  <si>
    <t>Basile, Marcy, Erie Chapter NYSARC Inc bda Heritage Centers</t>
  </si>
  <si>
    <t>BASILE MARCY</t>
  </si>
  <si>
    <t>Bosch, Christine, Erie Chapter NYSARC Inc bda Heritage Centers</t>
  </si>
  <si>
    <t>BOSCH CHRISTINE</t>
  </si>
  <si>
    <t>Butler, Marguerite, Erie Chapter NYSARC Inc bda Heritage Centers</t>
  </si>
  <si>
    <t>BUTLER MARGUERITE MRS.</t>
  </si>
  <si>
    <t>1 DELAWARE RD</t>
  </si>
  <si>
    <t>Caron, Helen, Erie Chapter NYSARC Inc bda Heritage Centers</t>
  </si>
  <si>
    <t>E0289309</t>
  </si>
  <si>
    <t>CARON HELEN</t>
  </si>
  <si>
    <t>Castonguay, Caitlin, Erie Chapter NYSARC Inc bda Heritage Centers</t>
  </si>
  <si>
    <t>CASTONGUAY CAITLIN</t>
  </si>
  <si>
    <t>Cleesattel, Amanda, Erie Chapter NYSARC Inc bda Heritage Centers</t>
  </si>
  <si>
    <t>E0371571</t>
  </si>
  <si>
    <t>CLEESATTEL AMANDA MARIE</t>
  </si>
  <si>
    <t>CLEESATTEL AMANDA MS.</t>
  </si>
  <si>
    <t>Coughlin, Lisa, Erie Chapter NYSARC Inc bda Heritage Centers</t>
  </si>
  <si>
    <t>E0354797</t>
  </si>
  <si>
    <t>COUGHLIN LISA A</t>
  </si>
  <si>
    <t>COUGHLIN LISA MRS.</t>
  </si>
  <si>
    <t>Cronin-Buettner, Catherine, Erie Chapter NYSARC Inc bda Heritage Centers</t>
  </si>
  <si>
    <t>E0314844</t>
  </si>
  <si>
    <t>CRONIN-BUETTNER CATHERINE</t>
  </si>
  <si>
    <t>Culbert, Rosemary, Erie Chapter NYSARC Inc bda Heritage Centers</t>
  </si>
  <si>
    <t>E0382944</t>
  </si>
  <si>
    <t>CULBERT ROSEMARY</t>
  </si>
  <si>
    <t>Dhillion, Jasmine, Erie Chapter NYSARC Inc bda Heritage Centers</t>
  </si>
  <si>
    <t>E0336477</t>
  </si>
  <si>
    <t>DHILLON JASMINE</t>
  </si>
  <si>
    <t>Eising, Rachel, Erie Chapter NYSARC Inc bda Heritage Centers</t>
  </si>
  <si>
    <t>EISING RACHEL</t>
  </si>
  <si>
    <t>75 IRVING TER</t>
  </si>
  <si>
    <t>Escalera, Lisa, Erie Chapter NYSARC Inc bda Heritage Centers</t>
  </si>
  <si>
    <t>ESCALERA LISA</t>
  </si>
  <si>
    <t>Glenn, Jennifer, Erie Chapter NYSARC Inc bda Heritage Centers</t>
  </si>
  <si>
    <t>GLENN JENNIFER MRS.</t>
  </si>
  <si>
    <t>Gohn, Lisa, Erie Chapter NYSARC Inc bda Heritage Centers</t>
  </si>
  <si>
    <t>GOHN LISA</t>
  </si>
  <si>
    <t>5055 MOUNT VERNON BLVD</t>
  </si>
  <si>
    <t>Goliszek, Kristen, Erie Chapter NYSARC Inc bda Heritage Centers</t>
  </si>
  <si>
    <t>E0415432</t>
  </si>
  <si>
    <t>GOLISZEK KRISTIN</t>
  </si>
  <si>
    <t>Guercio, Charisse, Erie Chapter NYSARC Inc bda Heritage Centers</t>
  </si>
  <si>
    <t>GUERCIO CHARISSE</t>
  </si>
  <si>
    <t>1200 EAST AND WEST RD, 16 MAIN DRIVE</t>
  </si>
  <si>
    <t>Aspire of WNY</t>
  </si>
  <si>
    <t>Thomas SY</t>
  </si>
  <si>
    <t>hunor.martin@aspire.com</t>
  </si>
  <si>
    <t>140 Mall Blvd</t>
  </si>
  <si>
    <t>Lakewood</t>
  </si>
  <si>
    <t>Lifetime Assistance Inc</t>
  </si>
  <si>
    <t>Bridget Bartolone</t>
  </si>
  <si>
    <t>(716) 560-0439</t>
  </si>
  <si>
    <t>bridget.bartolone@pcswny.org</t>
  </si>
  <si>
    <t>5301 Chugg Road</t>
  </si>
  <si>
    <t>Holley</t>
  </si>
  <si>
    <t>STEGEMANN, MAUREEN, NP</t>
  </si>
  <si>
    <t>E0056244</t>
  </si>
  <si>
    <t>STEGEMANN MAUREEN</t>
  </si>
  <si>
    <t>STEGEMANN, MAUREEN, FNP</t>
  </si>
  <si>
    <t>MSTEGEMANN@KALEIDAHEALTH.ORG</t>
  </si>
  <si>
    <t>SELLICK, JOHN, DO</t>
  </si>
  <si>
    <t>E0198555</t>
  </si>
  <si>
    <t>SELLICK JOHN A JR DO</t>
  </si>
  <si>
    <t>(716) 862-8758</t>
  </si>
  <si>
    <t>JSELLICK@KALEIDAHEALTH.ORG</t>
  </si>
  <si>
    <t>SELLICK JOHN</t>
  </si>
  <si>
    <t>ACADEMIC MED SVC INC</t>
  </si>
  <si>
    <t>VASQUEZ, MICHAEL, MD</t>
  </si>
  <si>
    <t>E0143557</t>
  </si>
  <si>
    <t>VASQUEZ MICHAEL A MD PC</t>
  </si>
  <si>
    <t>MVASQUEZ@KALEIDAHEALTH.ORG</t>
  </si>
  <si>
    <t>VASQUEZ MICHAEL DR.</t>
  </si>
  <si>
    <t>VASQUEZ MICHAEL A MD</t>
  </si>
  <si>
    <t>WATT, COURTENAY, MD</t>
  </si>
  <si>
    <t>E0135247</t>
  </si>
  <si>
    <t>WATT COURTENAY C MD</t>
  </si>
  <si>
    <t>(716) 681-8838</t>
  </si>
  <si>
    <t>WATT COURTENAY DR.</t>
  </si>
  <si>
    <t>LAMB, ANNA, DO</t>
  </si>
  <si>
    <t>E0040344</t>
  </si>
  <si>
    <t>LAMB ANNA MARIE DO</t>
  </si>
  <si>
    <t>(585) 343-1250</t>
  </si>
  <si>
    <t>LAMB ANNA DR.</t>
  </si>
  <si>
    <t>7 EVANS ST</t>
  </si>
  <si>
    <t>STEINACHER, ROBYN, DO</t>
  </si>
  <si>
    <t>E0057279</t>
  </si>
  <si>
    <t>STEINACHER ROBYN SARA</t>
  </si>
  <si>
    <t>STEINACHER, ROBYN, MD</t>
  </si>
  <si>
    <t>RSTEINACHER2@KALEIDAHEALTH.ORG</t>
  </si>
  <si>
    <t>STEINACHER ROBYN</t>
  </si>
  <si>
    <t>WOMNS/CHILDRNS HOSP</t>
  </si>
  <si>
    <t>LEE, RAMONA, CASACT</t>
  </si>
  <si>
    <t>LEE, GENNINE, SENIOR RA</t>
  </si>
  <si>
    <t>LEE RAMONA</t>
  </si>
  <si>
    <t>NYLANDER, EMMEKUNLA, MD</t>
  </si>
  <si>
    <t>E0070220</t>
  </si>
  <si>
    <t>NYLANDER EMMEKUNLA KAREN MD</t>
  </si>
  <si>
    <t>ENYLANDER@KALEIDAHEALTH.ORG</t>
  </si>
  <si>
    <t>NYLANDER EMMEKUNLA</t>
  </si>
  <si>
    <t>MARCHETTI, ELIZABETH, MD</t>
  </si>
  <si>
    <t>E0311984</t>
  </si>
  <si>
    <t>MARCHETTI ELIZABETH</t>
  </si>
  <si>
    <t>(716) 883-9762</t>
  </si>
  <si>
    <t>EMARCHETTI@KALEIDAHEALTH.ORG</t>
  </si>
  <si>
    <t>KORANGY ELIZABETH</t>
  </si>
  <si>
    <t>GUPTA, SANGEETA, MBBS</t>
  </si>
  <si>
    <t>E0329365</t>
  </si>
  <si>
    <t>GUPTA SANGEETA</t>
  </si>
  <si>
    <t>GUPTA, SANGEETA, MD</t>
  </si>
  <si>
    <t>(716) 310-8330</t>
  </si>
  <si>
    <t>SGUPTA@KALEIDAHEALTH.ORG</t>
  </si>
  <si>
    <t>GUPTA SANGEETA MD</t>
  </si>
  <si>
    <t>KROSS, JORDAN, MD</t>
  </si>
  <si>
    <t>E0309166</t>
  </si>
  <si>
    <t>JORDAN KROSS MD</t>
  </si>
  <si>
    <t>(716) 912-3633</t>
  </si>
  <si>
    <t>JKROSS@KALEIDAHEALTH.ORG</t>
  </si>
  <si>
    <t>KROSS JORDAN DR.</t>
  </si>
  <si>
    <t>KROSS JORDAN MD</t>
  </si>
  <si>
    <t>KLOOSTERMAN, KRISTEN, NP</t>
  </si>
  <si>
    <t>E0007580</t>
  </si>
  <si>
    <t>KLOOSTERMAN KRISTEN</t>
  </si>
  <si>
    <t>KLOOSTERMAN KRISTEN JEAN</t>
  </si>
  <si>
    <t>BURKE, AMY, MD</t>
  </si>
  <si>
    <t>E0007959</t>
  </si>
  <si>
    <t>BURKE AMY J</t>
  </si>
  <si>
    <t>(716) 362-3909</t>
  </si>
  <si>
    <t>BURKE AMY</t>
  </si>
  <si>
    <t>BURKE AMY J MD</t>
  </si>
  <si>
    <t>LAWNICZAK, TANIA, NURSEPRAC</t>
  </si>
  <si>
    <t>E0439120</t>
  </si>
  <si>
    <t>LAWNICZAK TANIA</t>
  </si>
  <si>
    <t>LAWNICZAK, TANIA, ANP</t>
  </si>
  <si>
    <t>TLAWNICZAK@KALEIDAHEALTH.ORG</t>
  </si>
  <si>
    <t>LAWNICZAK TANIA MRS.</t>
  </si>
  <si>
    <t>RIVERSHORE INC DAY</t>
  </si>
  <si>
    <t>E0008685</t>
  </si>
  <si>
    <t>RIVERSHORE INC SEMP</t>
  </si>
  <si>
    <t>E0008620</t>
  </si>
  <si>
    <t>AFTERCARE NURSING SERVICES TBI</t>
  </si>
  <si>
    <t>E0004434</t>
  </si>
  <si>
    <t>BUFFALO REGION</t>
  </si>
  <si>
    <t>CARING ENTERPRISES INC NHTD</t>
  </si>
  <si>
    <t>E0285562</t>
  </si>
  <si>
    <t>PEOPLE INC FSR4</t>
  </si>
  <si>
    <t>E0285621</t>
  </si>
  <si>
    <t>6828 TOWNLINE RD</t>
  </si>
  <si>
    <t>CATTARAUGUS REHABILITATION CTR DAY</t>
  </si>
  <si>
    <t>E0286742</t>
  </si>
  <si>
    <t>TOTAL SENIOR CARE PACE</t>
  </si>
  <si>
    <t>E0287931</t>
  </si>
  <si>
    <t>519 N UNION ST</t>
  </si>
  <si>
    <t>CAPITATION PROVIDER</t>
  </si>
  <si>
    <t>AFTERCARE NURSING SERVICES NHTD</t>
  </si>
  <si>
    <t>E0293743</t>
  </si>
  <si>
    <t>PEOPLE INC PTL</t>
  </si>
  <si>
    <t>E0298031</t>
  </si>
  <si>
    <t>TONAWANDA MANOR ASSISTED LIVING PRO</t>
  </si>
  <si>
    <t>E0445051</t>
  </si>
  <si>
    <t>111 ENSMINGER RD OPERATING COMPANY</t>
  </si>
  <si>
    <t>(716) 871-1814</t>
  </si>
  <si>
    <t>111 ENSMINGER RD</t>
  </si>
  <si>
    <t>ASPIRE OF WESTERN NEW YORK INC PTL</t>
  </si>
  <si>
    <t>E0302214</t>
  </si>
  <si>
    <t>CHILD/FAMILY SER OF ERIE CO B2H</t>
  </si>
  <si>
    <t>E0302520</t>
  </si>
  <si>
    <t>CATTARAUGUS CO CHAP NYSARC HCBS 11</t>
  </si>
  <si>
    <t>E0316443</t>
  </si>
  <si>
    <t>GENESEE COUNTY NURSING HOME</t>
  </si>
  <si>
    <t>E0236766</t>
  </si>
  <si>
    <t>GENESEE COUNTY NH NON OCCUPAN</t>
  </si>
  <si>
    <t>Christine P. Schaller</t>
  </si>
  <si>
    <t>(585) 344-0584</t>
  </si>
  <si>
    <t>christine.schaller@co.genesee.ny.us</t>
  </si>
  <si>
    <t>278 BANK ST</t>
  </si>
  <si>
    <t>INNOVATIVE SERVICES INC</t>
  </si>
  <si>
    <t>E0012382</t>
  </si>
  <si>
    <t>Gregory LoPresti</t>
  </si>
  <si>
    <t>(315) 853-1280</t>
  </si>
  <si>
    <t>plamb@upstatehomecare.com</t>
  </si>
  <si>
    <t>354 CAYUGA RD</t>
  </si>
  <si>
    <t>E0007172</t>
  </si>
  <si>
    <t>200 AIRPARK DR STE 100</t>
  </si>
  <si>
    <t>COUNTY OF GENESEE</t>
  </si>
  <si>
    <t>E0263589</t>
  </si>
  <si>
    <t>GENESEE CNTY SNF BATAVIA</t>
  </si>
  <si>
    <t>E0118196</t>
  </si>
  <si>
    <t>6700 THOMPSON RD</t>
  </si>
  <si>
    <t>E0012381</t>
  </si>
  <si>
    <t>200 AIRPARK DR</t>
  </si>
  <si>
    <t>E0011860</t>
  </si>
  <si>
    <t>INNOVATIVE SERVICE INC</t>
  </si>
  <si>
    <t>7506 STATE ROUTE 5</t>
  </si>
  <si>
    <t>CLINTON</t>
  </si>
  <si>
    <t>PINE PHARMACY OF NIAGARA FALLS LLC</t>
  </si>
  <si>
    <t>E0296591</t>
  </si>
  <si>
    <t>William Tompkins</t>
  </si>
  <si>
    <t>(716) 282-1112</t>
  </si>
  <si>
    <t>wtompkins@pinepharmacy.com</t>
  </si>
  <si>
    <t>PINE PHARMACY OF NIAGARA FALLS,LLC</t>
  </si>
  <si>
    <t>1806 PINE AVE</t>
  </si>
  <si>
    <t>PARKVIEW HEALTH SERVICE OF NEW YORK LLC</t>
  </si>
  <si>
    <t>E0024921</t>
  </si>
  <si>
    <t>PARKVIEW HEALTH SERVICES OF NEW YOR</t>
  </si>
  <si>
    <t>Paul O'Leary</t>
  </si>
  <si>
    <t>(716) 876-2323</t>
  </si>
  <si>
    <t>poleary@parkviewhs.com</t>
  </si>
  <si>
    <t>1770 COLVIN BOULEVAR</t>
  </si>
  <si>
    <t>PARKVIEW HEALTH SERVICES, LLC</t>
  </si>
  <si>
    <t>E0398813</t>
  </si>
  <si>
    <t>PARKVIEW HEALTH SERVICES LLC</t>
  </si>
  <si>
    <t>1770 COLVIN BLVD</t>
  </si>
  <si>
    <t>HEMOPHILIA CENTER OF WESTERN NEW YORK, INC.</t>
  </si>
  <si>
    <t>E0252040</t>
  </si>
  <si>
    <t>HEMOPHILIA CTR OF WEST NY INC</t>
  </si>
  <si>
    <t>Laurie Reger</t>
  </si>
  <si>
    <t>(716) 896-2470</t>
  </si>
  <si>
    <t>lreger@hemoctr.com</t>
  </si>
  <si>
    <t>All Other:: Clinic:: Pharmacy</t>
  </si>
  <si>
    <t>936 DELAWARE AVE STE 300</t>
  </si>
  <si>
    <t>LEROY VILLAGE GREEN RHCF INC</t>
  </si>
  <si>
    <t>E0263562</t>
  </si>
  <si>
    <t>Robert Rubens</t>
  </si>
  <si>
    <t>(585) 768-2561</t>
  </si>
  <si>
    <t>brubens@BHCG.com</t>
  </si>
  <si>
    <t>LEROY VILLAGE GREEN RESIDENTIAL HEALTH CARE FACILITY INC</t>
  </si>
  <si>
    <t>10 MUNSON ST</t>
  </si>
  <si>
    <t>LE ROY</t>
  </si>
  <si>
    <t>ALLEGANY COUNCIL ON ALCOHOL</t>
  </si>
  <si>
    <t>E0237864</t>
  </si>
  <si>
    <t>William Penman</t>
  </si>
  <si>
    <t>(585) 593-1920</t>
  </si>
  <si>
    <t>wpenman@alleganycouncil.org</t>
  </si>
  <si>
    <t>ALLEGANY COUNCIL ON ALCOHOLISM &amp; SUBSTANCE ABUSE</t>
  </si>
  <si>
    <t>2956 AIRWAY RD</t>
  </si>
  <si>
    <t>ORLEANS CO ARC</t>
  </si>
  <si>
    <t>E0099653</t>
  </si>
  <si>
    <t>Donna Saskowski</t>
  </si>
  <si>
    <t>(585) 589-5516</t>
  </si>
  <si>
    <t>dsaskowski@arcofrorleans.org</t>
  </si>
  <si>
    <t>122 CAROLINE ST</t>
  </si>
  <si>
    <t>ORLEANS COUNTY CHAPTER NYSARC, INC.</t>
  </si>
  <si>
    <t>E0169533</t>
  </si>
  <si>
    <t>ORLEANS CO CHAP/NYSARC</t>
  </si>
  <si>
    <t>C/8045430/W AVE APT</t>
  </si>
  <si>
    <t>CHAUTAUQUA OPPORTUNITIES  INC</t>
  </si>
  <si>
    <t>E0218628</t>
  </si>
  <si>
    <t>Robert Keller</t>
  </si>
  <si>
    <t>(716) 366-3333</t>
  </si>
  <si>
    <t>rkeller@chautopp.org</t>
  </si>
  <si>
    <t>GENESEE COUNCIL ON ALCOHOLISM</t>
  </si>
  <si>
    <t>E0219856</t>
  </si>
  <si>
    <t>John Bennett</t>
  </si>
  <si>
    <t>(585) 815-1800</t>
  </si>
  <si>
    <t>jbennett@gcasa.org</t>
  </si>
  <si>
    <t>GENESEE COUNCIL ON ALCOHOLISM &amp; SUBSTANCE ABUSE INC</t>
  </si>
  <si>
    <t>CD 010795/1ST&amp;2ND FL</t>
  </si>
  <si>
    <t>E0263733</t>
  </si>
  <si>
    <t>Sarah Obot</t>
  </si>
  <si>
    <t>(716) 278-4274</t>
  </si>
  <si>
    <t>sarah.obot@nfmmc.org</t>
  </si>
  <si>
    <t>All Other:: Case Management / Health Home:: Clinic:: Hospital:: Mental Health</t>
  </si>
  <si>
    <t>OMRDD/WNY INDEP LIV PROJECT</t>
  </si>
  <si>
    <t>E0099467</t>
  </si>
  <si>
    <t>WNY INDEP LIV PROJECT</t>
  </si>
  <si>
    <t>Douglas Usiak</t>
  </si>
  <si>
    <t>(877) 496-2780</t>
  </si>
  <si>
    <t>dusiak@wnyil.org</t>
  </si>
  <si>
    <t>3108 MAIN ST</t>
  </si>
  <si>
    <t>CHAUTAUQUA OPPORTUNITIES, INC.</t>
  </si>
  <si>
    <t>Home Health</t>
  </si>
  <si>
    <t>17 W COURTNEY ST</t>
  </si>
  <si>
    <t>Boys &amp; Girls Club of Buffalo</t>
  </si>
  <si>
    <t>Robert Lowery</t>
  </si>
  <si>
    <t>(716) 825-1016</t>
  </si>
  <si>
    <t>rlowery@bgcbuffalo.org</t>
  </si>
  <si>
    <t>Community Center</t>
  </si>
  <si>
    <t>282 Babcock Street</t>
  </si>
  <si>
    <t>City Mission Society, Inc. dba Buffalo City Mission</t>
  </si>
  <si>
    <t>Stuart Harper</t>
  </si>
  <si>
    <t>(716) 854-8181</t>
  </si>
  <si>
    <t>sharper@buffalocitymission.org</t>
  </si>
  <si>
    <t>Housing</t>
  </si>
  <si>
    <t>100 East Tupper St.</t>
  </si>
  <si>
    <t>Buffalo Prenatal Perinatal Network</t>
  </si>
  <si>
    <t>Luanne Brown</t>
  </si>
  <si>
    <t>(716) 884-6711</t>
  </si>
  <si>
    <t>_______</t>
  </si>
  <si>
    <t>lb@bppn.org</t>
  </si>
  <si>
    <t>625 Delaware Ave. Suite 410</t>
  </si>
  <si>
    <t>Buffalo Urban League, Inc.</t>
  </si>
  <si>
    <t>Brenda McDuffie</t>
  </si>
  <si>
    <t>(716) 250-2400</t>
  </si>
  <si>
    <t>bmcduffie@buffalourbanleague.org</t>
  </si>
  <si>
    <t>15 Genesee St.</t>
  </si>
  <si>
    <t>Suicide Prevention and Crisis Service, Inc. dba Crisis Services</t>
  </si>
  <si>
    <t>Jessica Pirro</t>
  </si>
  <si>
    <t>(716) 834-2310</t>
  </si>
  <si>
    <t>jpirro@crisisservices.org</t>
  </si>
  <si>
    <t>Mobile Crisis Intervention</t>
  </si>
  <si>
    <t>2969 Main St.</t>
  </si>
  <si>
    <t>EPIC - Every Person Influences Children</t>
  </si>
  <si>
    <t>Michelle Urbanczyk</t>
  </si>
  <si>
    <t>(716) 208-5923</t>
  </si>
  <si>
    <t>urbancyzkm@epicforchildren.org</t>
  </si>
  <si>
    <t>Family/Caregiver Supports &amp; Services</t>
  </si>
  <si>
    <t>1000 Main St.</t>
  </si>
  <si>
    <t>First Shiloh Baptist Church</t>
  </si>
  <si>
    <t>Jonathan Staples</t>
  </si>
  <si>
    <t>revjrs@yahoo.com</t>
  </si>
  <si>
    <t>15 Pine St.</t>
  </si>
  <si>
    <t>LEWAC Associates of WNY, Inc.</t>
  </si>
  <si>
    <t>Catherine Lewis</t>
  </si>
  <si>
    <t>(716) 392-0853</t>
  </si>
  <si>
    <t>catherine@lewac.org</t>
  </si>
  <si>
    <t>84 Moorfields Ct.</t>
  </si>
  <si>
    <t>East Amherst</t>
  </si>
  <si>
    <t>Partners for Prevention</t>
  </si>
  <si>
    <t>Julianne Calvert</t>
  </si>
  <si>
    <t>(585) 786-8970</t>
  </si>
  <si>
    <t>jmcalvert@frontiernet.net</t>
  </si>
  <si>
    <t>460 N Main St</t>
  </si>
  <si>
    <t>New York State Quality &amp; Technical Assistance Center</t>
  </si>
  <si>
    <t>Lisa Ferretti</t>
  </si>
  <si>
    <t>(518) 442-5530</t>
  </si>
  <si>
    <t>lferretti@albany.edu</t>
  </si>
  <si>
    <t>Skill Building</t>
  </si>
  <si>
    <t>135 Western Ave</t>
  </si>
  <si>
    <t>Albany</t>
  </si>
  <si>
    <t>Prevention Focus</t>
  </si>
  <si>
    <t>Matthew G. Smith</t>
  </si>
  <si>
    <t>(716) 884-3256</t>
  </si>
  <si>
    <t>msmith@preventionfocus.org</t>
  </si>
  <si>
    <t>69 Linwood Ave</t>
  </si>
  <si>
    <t>Urban Fruits and Veggies dba Buffalo Go Green Inc.</t>
  </si>
  <si>
    <t>Allison Dehonney</t>
  </si>
  <si>
    <t>(716) 982-1270</t>
  </si>
  <si>
    <t>dehonn@outlook.com</t>
  </si>
  <si>
    <t>45 Pembroke Ave</t>
  </si>
  <si>
    <t>Orleans County Mental Health</t>
  </si>
  <si>
    <t>Mark O'Brien</t>
  </si>
  <si>
    <t>(585) 589-3292</t>
  </si>
  <si>
    <t>mark.obrien@orleanscountyny.gov</t>
  </si>
  <si>
    <t>Local Government Unit (LGU)/Single Point of Access (SPOA)</t>
  </si>
  <si>
    <t>14014 Route 31 W</t>
  </si>
  <si>
    <t>WILL CARE INC</t>
  </si>
  <si>
    <t>E0216560</t>
  </si>
  <si>
    <t>WILLCARE, INC.</t>
  </si>
  <si>
    <t>40 MAIN ST</t>
  </si>
  <si>
    <t>WESTERN NEW YORK INDEPENDENT LIVING PROJECT, INC.</t>
  </si>
  <si>
    <t>E0183386</t>
  </si>
  <si>
    <t>GENESEE CTY MH</t>
  </si>
  <si>
    <t>Ellery Reaves</t>
  </si>
  <si>
    <t>ereaves@genesee.ny.us</t>
  </si>
  <si>
    <t>GENESEE COUNTY MNTL HLTH SVCS</t>
  </si>
  <si>
    <t>5130 EAST MAIN ST RD</t>
  </si>
  <si>
    <t>METCARE RX BUFFALO INC</t>
  </si>
  <si>
    <t>E0058860</t>
  </si>
  <si>
    <t>METCARE RX BUFFALO, INC.</t>
  </si>
  <si>
    <t>E0050546</t>
  </si>
  <si>
    <t>Jericho Road Community Health Center - Barton</t>
  </si>
  <si>
    <t>E0406378</t>
  </si>
  <si>
    <t>HENLEY JEWELL ANN</t>
  </si>
  <si>
    <t>Jewell Henley</t>
  </si>
  <si>
    <t>HENLEY JEWELL ANN DR.</t>
  </si>
  <si>
    <t>PEOPLE INC. Elmwood Health Center</t>
  </si>
  <si>
    <t>E0348416</t>
  </si>
  <si>
    <t>HILDICK JILL ANNE</t>
  </si>
  <si>
    <t>Jill A Hildick</t>
  </si>
  <si>
    <t>(716) 566-5051</t>
  </si>
  <si>
    <t>HILDICK JILL</t>
  </si>
  <si>
    <t xml:space="preserve">Health Foundation of Central &amp; Western New York </t>
  </si>
  <si>
    <t>Ann Monroe</t>
  </si>
  <si>
    <t>Health Systems for A Tobacco Free WNY</t>
  </si>
  <si>
    <t>Shannon Waddell</t>
  </si>
  <si>
    <t>shannon.waddell@roswellpark.org</t>
  </si>
  <si>
    <t>Forstadt, David</t>
  </si>
  <si>
    <t>aconstantino@horizon-health.org</t>
  </si>
  <si>
    <t>FORSTADT DAVID MR.</t>
  </si>
  <si>
    <t>Gates, Tamie</t>
  </si>
  <si>
    <t>Pat Brinkman</t>
  </si>
  <si>
    <t>brinkmap@co.chautauqua.ny.us</t>
  </si>
  <si>
    <t>GATES TAMIE</t>
  </si>
  <si>
    <t>FLOWER GARDEN CHILD CARE INTERNATIONAL INC</t>
  </si>
  <si>
    <t>Jacqueline Bemeriki</t>
  </si>
  <si>
    <t>(716) 512-0448</t>
  </si>
  <si>
    <t>flowergardenchildcare@gmail.com</t>
  </si>
  <si>
    <t>257 South Division Street</t>
  </si>
  <si>
    <t>THE SALVATION ARMY</t>
  </si>
  <si>
    <t>April Taplin</t>
  </si>
  <si>
    <t>(716) 883-9800</t>
  </si>
  <si>
    <t>April.taplin@use.salvationarmy.org</t>
  </si>
  <si>
    <t>960 Main Street</t>
  </si>
  <si>
    <t>Miliotto, Alexandra</t>
  </si>
  <si>
    <t>MILIOTTO ALEXANDRA</t>
  </si>
  <si>
    <t>O'Keeffe, Shannon</t>
  </si>
  <si>
    <t>O'KEEFFE SHANNON</t>
  </si>
  <si>
    <t>GBUACO - WNY Medical PC - Harlem</t>
  </si>
  <si>
    <t>E0312634</t>
  </si>
  <si>
    <t>KHAN JAMEELA YASMEEN</t>
  </si>
  <si>
    <t>Jameela Khan</t>
  </si>
  <si>
    <t>KHAN JAMEELA MRS.</t>
  </si>
  <si>
    <t>Buffalo Pediatric Associates - Linwood</t>
  </si>
  <si>
    <t>E0038833</t>
  </si>
  <si>
    <t>RABER JAMES</t>
  </si>
  <si>
    <t>James Raber</t>
  </si>
  <si>
    <t>(716) 884-8018</t>
  </si>
  <si>
    <t>RABER JAMES HARRY</t>
  </si>
  <si>
    <t xml:space="preserve">Baby and Me Tobacco Free  </t>
  </si>
  <si>
    <t>Laurie Adams</t>
  </si>
  <si>
    <t>Back to Basics</t>
  </si>
  <si>
    <t>Charles Walker, II</t>
  </si>
  <si>
    <t>Crossett, Sheri</t>
  </si>
  <si>
    <t>Bruce Nisbet</t>
  </si>
  <si>
    <t>(716) 837-8336</t>
  </si>
  <si>
    <t>nisbetb@shswny.org</t>
  </si>
  <si>
    <t>Cruz, Chenelle</t>
  </si>
  <si>
    <t>CRUZ CHENELLE</t>
  </si>
  <si>
    <t>Aspire Health Center</t>
  </si>
  <si>
    <t>E0419310</t>
  </si>
  <si>
    <t>BOJARSKI HOLLIE</t>
  </si>
  <si>
    <t>Hollie Bojarski</t>
  </si>
  <si>
    <t>(716) 505-5630</t>
  </si>
  <si>
    <t>Tonawanda Pediatrics - Robinson Rd</t>
  </si>
  <si>
    <t>E0065772</t>
  </si>
  <si>
    <t>ANDERSON INGER C NP</t>
  </si>
  <si>
    <t>Inger Anderson</t>
  </si>
  <si>
    <t>ANDERSON INGER</t>
  </si>
  <si>
    <t>ANDERSON INGER C</t>
  </si>
  <si>
    <t>3950 E ROBINSON RD STE 205</t>
  </si>
  <si>
    <t>Medical Answering Service</t>
  </si>
  <si>
    <t>Russ Maxwell</t>
  </si>
  <si>
    <t>(716) 983-3726</t>
  </si>
  <si>
    <t>Asthma Coalition of Erie County</t>
  </si>
  <si>
    <t>Jennifer Sullivan</t>
  </si>
  <si>
    <t>jsullivan@lungNE.org</t>
  </si>
  <si>
    <t>Chase, Alicia</t>
  </si>
  <si>
    <t>E0079490</t>
  </si>
  <si>
    <t>HORIZON HEALTH SERVICES MH</t>
  </si>
  <si>
    <t>All Other:: Case Management / Health Home:: Clinic:: Mental Health:: Substance Abuse</t>
  </si>
  <si>
    <t>HORIZON HEALTH SERVICES, INC.</t>
  </si>
  <si>
    <t>HORIZON HEALTH SERVICES INC</t>
  </si>
  <si>
    <t>2400 PINE AVE</t>
  </si>
  <si>
    <t>Cortes, Priscilla</t>
  </si>
  <si>
    <t>CORTES PRISCILLA</t>
  </si>
  <si>
    <t>Evergreen Health Services of WNY</t>
  </si>
  <si>
    <t>E0379246</t>
  </si>
  <si>
    <t>LYON CHERYL</t>
  </si>
  <si>
    <t>Cheryl Lyon</t>
  </si>
  <si>
    <t>LYON CHERYL LYNN</t>
  </si>
  <si>
    <t>206 S ELMWOOD AVE STE 2</t>
  </si>
  <si>
    <t>Neighborhood Health Center - Lawn Ave</t>
  </si>
  <si>
    <t>E0419421</t>
  </si>
  <si>
    <t>BIONDOLILLO CHRISTOPHER CHARLES</t>
  </si>
  <si>
    <t>Christopher Biondolillo</t>
  </si>
  <si>
    <t>BIONDOLILLO CHRISTOPHER DR.</t>
  </si>
  <si>
    <t>TLC Health Network Primary Care Clinic - Forestville</t>
  </si>
  <si>
    <t>E0193906</t>
  </si>
  <si>
    <t>GRECO RONALD D MD</t>
  </si>
  <si>
    <t>Ronald Greco</t>
  </si>
  <si>
    <t>(716) 965-9738</t>
  </si>
  <si>
    <t>GRECO RONALD</t>
  </si>
  <si>
    <t>TRI COUNTY MED OFF</t>
  </si>
  <si>
    <t>NFMMC - Lewiston Primary Care</t>
  </si>
  <si>
    <t>E0401683</t>
  </si>
  <si>
    <t>USLINOV STEPHEN</t>
  </si>
  <si>
    <t>Steven Uslinov</t>
  </si>
  <si>
    <t>USLINOV STEPHEN DR.</t>
  </si>
  <si>
    <t>624 RIVER RD STE 1</t>
  </si>
  <si>
    <t>Buffalo Pharmacy</t>
  </si>
  <si>
    <t>Abraham. Yolanda</t>
  </si>
  <si>
    <t>ABRAHAM YOLANDA</t>
  </si>
  <si>
    <t>E0412733</t>
  </si>
  <si>
    <t>FALCO ASHLEY NICOLE</t>
  </si>
  <si>
    <t>Ashley Falco</t>
  </si>
  <si>
    <t>FALCO ASHLEY</t>
  </si>
  <si>
    <t>Wheatfield Pediatrics</t>
  </si>
  <si>
    <t>Barbara Fronzak</t>
  </si>
  <si>
    <t>2980 Niagara Falls Blvd</t>
  </si>
  <si>
    <t xml:space="preserve">North Tonawanda </t>
  </si>
  <si>
    <t>Fiddlers Green Manor</t>
  </si>
  <si>
    <t>E0388901</t>
  </si>
  <si>
    <t>FIDDLERS GREEN MANOR NH</t>
  </si>
  <si>
    <t>Mary Swartz</t>
  </si>
  <si>
    <t>(718) 986-7317</t>
  </si>
  <si>
    <t>marys@avantemgmt.com</t>
  </si>
  <si>
    <t>JSSG HEALTHCARE LLC.</t>
  </si>
  <si>
    <t>FIDDLERS GREEN MANOR REHAB/NUR CTR</t>
  </si>
  <si>
    <t>168 W MAIN ST</t>
  </si>
  <si>
    <t>Orchard Manor</t>
  </si>
  <si>
    <t>Dave Denny</t>
  </si>
  <si>
    <t>ORCHARD MANOR INC.</t>
  </si>
  <si>
    <t>E0407340</t>
  </si>
  <si>
    <t>KROLIKOWSKI ALLANA</t>
  </si>
  <si>
    <t>Allana Krolikowski</t>
  </si>
  <si>
    <t>brett.lawton@jrchc.org</t>
  </si>
  <si>
    <t>KROLIKOWSKI ALLANA MARIE</t>
  </si>
  <si>
    <t>E0110630</t>
  </si>
  <si>
    <t>IRELAND ALMA CNM</t>
  </si>
  <si>
    <t>Alma Ireland</t>
  </si>
  <si>
    <t>IRELAND ALMA</t>
  </si>
  <si>
    <t>E0286947</t>
  </si>
  <si>
    <t>KIADUM CLETUS SUTEN</t>
  </si>
  <si>
    <t>Kiadum Cletus Suteh</t>
  </si>
  <si>
    <t>SUTEH KIADUM</t>
  </si>
  <si>
    <t>SUTEH KIADUM CLETUS RPA</t>
  </si>
  <si>
    <t>Neighborhood Health Center - Mattina</t>
  </si>
  <si>
    <t>Kimberly Prah</t>
  </si>
  <si>
    <t>PRAH KIMBERLEY</t>
  </si>
  <si>
    <t>Rural Metro</t>
  </si>
  <si>
    <t>Scott Karaszewski</t>
  </si>
  <si>
    <t>scott_karaszewski@rmetro.com</t>
  </si>
  <si>
    <t xml:space="preserve">START Program </t>
  </si>
  <si>
    <t>Gary McIntee</t>
  </si>
  <si>
    <t>McInteeGL@wflstart.org</t>
  </si>
  <si>
    <t>Krishnakumnr, Vasu</t>
  </si>
  <si>
    <t>KRISHNAKUMAR VASU DR.</t>
  </si>
  <si>
    <t>Marcolini, Courtney</t>
  </si>
  <si>
    <t>MARCOLINI COURTNEY</t>
  </si>
  <si>
    <t>Acacia Family Health</t>
  </si>
  <si>
    <t>E0441775</t>
  </si>
  <si>
    <t>ZGLINICKI JAMIE LYNN</t>
  </si>
  <si>
    <t>Jamie Zglinicki</t>
  </si>
  <si>
    <t>ZGLINICKI JAMIE MRS.</t>
  </si>
  <si>
    <t>Community Health Center of Buffalo - Lockport</t>
  </si>
  <si>
    <t>E0430843</t>
  </si>
  <si>
    <t>COLQUHOUN JANELLE</t>
  </si>
  <si>
    <t>Janelle Colquhoun</t>
  </si>
  <si>
    <t>(716) 478-6655</t>
  </si>
  <si>
    <t>COLQUHOUN JANELLE MRS.</t>
  </si>
  <si>
    <t>COLQUHOUN JANELLE ELIZABETH</t>
  </si>
  <si>
    <t>38 HERITAGE CT</t>
  </si>
  <si>
    <t>Batchelor Consultants</t>
  </si>
  <si>
    <t>Tonnalee Batchelor</t>
  </si>
  <si>
    <t xml:space="preserve">Board of Block Clubs </t>
  </si>
  <si>
    <t>Ada  Hopkins-Bronner</t>
  </si>
  <si>
    <t>Debonis, Julie</t>
  </si>
  <si>
    <t>DEBONIS JULIE</t>
  </si>
  <si>
    <t>Desmarais, Margaret</t>
  </si>
  <si>
    <t>E0077554</t>
  </si>
  <si>
    <t>DESMARAIS MARGARET ANN</t>
  </si>
  <si>
    <t>DESMARAIS MARGARET</t>
  </si>
  <si>
    <t>GBUACO - Heartbeat Center of WNY</t>
  </si>
  <si>
    <t>E0043768</t>
  </si>
  <si>
    <t>DECKER MARYLOU</t>
  </si>
  <si>
    <t>MaryLou Decker</t>
  </si>
  <si>
    <t>DECKER MARY LOU</t>
  </si>
  <si>
    <t>Erie County Medical Center Corporation - Family Health Center</t>
  </si>
  <si>
    <t>E0294855</t>
  </si>
  <si>
    <t>MAUREEN FORRESTER FINNEY</t>
  </si>
  <si>
    <t>Maureen Finney</t>
  </si>
  <si>
    <t>FINNEY MAUREEN</t>
  </si>
  <si>
    <t>FINNEY MAUREEN FORRESTER</t>
  </si>
  <si>
    <t>Gerry Homes</t>
  </si>
  <si>
    <t>David Smeltzer</t>
  </si>
  <si>
    <t>dsmeltzer@heritage1886.org</t>
  </si>
  <si>
    <t>GERRY HOMES, INC</t>
  </si>
  <si>
    <t>Varallo, Mark</t>
  </si>
  <si>
    <t>E0143600</t>
  </si>
  <si>
    <t>VARALLO MARK A MD</t>
  </si>
  <si>
    <t>VARALLO MARK DR.</t>
  </si>
  <si>
    <t>Erie County Medical Center - Grider Family Health Center</t>
  </si>
  <si>
    <t>E0422789</t>
  </si>
  <si>
    <t>TAZWAR FAHIM M</t>
  </si>
  <si>
    <t>Fahim Tazwar</t>
  </si>
  <si>
    <t>(716) 898-4838</t>
  </si>
  <si>
    <t>TAZWAR FAHIM</t>
  </si>
  <si>
    <t>Omega Family Medicine - Cuba</t>
  </si>
  <si>
    <t>E0131289</t>
  </si>
  <si>
    <t>SHEIKH ZIA MOHAMMED</t>
  </si>
  <si>
    <t>Zia Sheikh</t>
  </si>
  <si>
    <t>(716) 379-8113</t>
  </si>
  <si>
    <t>SHEIKH ZIA DR.</t>
  </si>
  <si>
    <t>SALAMANCA FAM HLTH</t>
  </si>
  <si>
    <t>Erie County Medical Center - Immunodeficiency Clinic</t>
  </si>
  <si>
    <t>(716) 898-4000</t>
  </si>
  <si>
    <t>462 Grider Street</t>
  </si>
  <si>
    <t>Botsford, Shannyn</t>
  </si>
  <si>
    <t>RALPH SHANNYN</t>
  </si>
  <si>
    <t>Bucholtz, Corinne</t>
  </si>
  <si>
    <t>BUCHOLTZ CORINNE</t>
  </si>
  <si>
    <t>E0010923</t>
  </si>
  <si>
    <t>VIRTUOSO CRISTINA ELLIA</t>
  </si>
  <si>
    <t>Cristina Virtuosa</t>
  </si>
  <si>
    <t>VIRTUOSO CRISTINA MS.</t>
  </si>
  <si>
    <t>GBUACO - WNY Medical PC - Northland</t>
  </si>
  <si>
    <t>E0089849</t>
  </si>
  <si>
    <t>KWAKYE-BERKO DANIELLE R MD</t>
  </si>
  <si>
    <t>Danielle Kwakye-Berko</t>
  </si>
  <si>
    <t>(716) 882-8989</t>
  </si>
  <si>
    <t>KWAKYE-BERKO DANIELLE</t>
  </si>
  <si>
    <t>KWAKYE-BERKO DANIELLE R</t>
  </si>
  <si>
    <t>ARNOT MEDICAL SERVIC</t>
  </si>
  <si>
    <t>WNY Pediatric Associates</t>
  </si>
  <si>
    <t>E0065692</t>
  </si>
  <si>
    <t>KISSEL-MAUTE SUSAN B</t>
  </si>
  <si>
    <t>Susan Kissel-Maute</t>
  </si>
  <si>
    <t>KISSEL-MAUTE SUSAN</t>
  </si>
  <si>
    <t>Susan Marmion</t>
  </si>
  <si>
    <t>1 School Street</t>
  </si>
  <si>
    <t>Gowanda</t>
  </si>
  <si>
    <t>Admoz, Lord</t>
  </si>
  <si>
    <t>gphofl@northpointecouncil.org</t>
  </si>
  <si>
    <t>ADMOZ LORD</t>
  </si>
  <si>
    <t>Allison, Tiandra</t>
  </si>
  <si>
    <t>ALLISON TIANDRA</t>
  </si>
  <si>
    <t>E0427239</t>
  </si>
  <si>
    <t>LUDWIG CARRIE A</t>
  </si>
  <si>
    <t>Carrie Ludwig</t>
  </si>
  <si>
    <t>LUDWIG CARRIE</t>
  </si>
  <si>
    <t>Northtown Medical LLC</t>
  </si>
  <si>
    <t>Cheryl Daniels</t>
  </si>
  <si>
    <t>2114 Eggert Road</t>
  </si>
  <si>
    <t>E0433084</t>
  </si>
  <si>
    <t>LUTKOFF REBEKAH R</t>
  </si>
  <si>
    <t>Rebekah Lutkoff</t>
  </si>
  <si>
    <t>LUTKOFF REBEKAH</t>
  </si>
  <si>
    <t>E0276479</t>
  </si>
  <si>
    <t>COWAN RICHARD B T          MD</t>
  </si>
  <si>
    <t>Richard Cowan</t>
  </si>
  <si>
    <t>COWAN RICHARD</t>
  </si>
  <si>
    <t>ERIE COUNTY MED CTR</t>
  </si>
  <si>
    <t xml:space="preserve">Meagan Aalto, M.D. </t>
  </si>
  <si>
    <t>Mobile Pharmacy</t>
  </si>
  <si>
    <t>GBUAHN - WNY Medical PC - Derby</t>
  </si>
  <si>
    <t>E0044857</t>
  </si>
  <si>
    <t>TRIPATHY ANIL KUMAR MD</t>
  </si>
  <si>
    <t>Anil Tripathy</t>
  </si>
  <si>
    <t>(716) 947-9147</t>
  </si>
  <si>
    <t>TRIPATHY ANIL DR.</t>
  </si>
  <si>
    <t>E0168498</t>
  </si>
  <si>
    <t>MARIANO KATHLEEN NP</t>
  </si>
  <si>
    <t>Kathleen Mariano</t>
  </si>
  <si>
    <t>DIGAUDIO MARIANO KATHLEEN</t>
  </si>
  <si>
    <t>GBUACO - WNY Medical PC - Walden</t>
  </si>
  <si>
    <t>E0388803</t>
  </si>
  <si>
    <t>HARE KATIE LYNNE</t>
  </si>
  <si>
    <t>Katie Hare</t>
  </si>
  <si>
    <t>(716) 681-9000</t>
  </si>
  <si>
    <t>HARE KATIE</t>
  </si>
  <si>
    <t>229 MAIN ST</t>
  </si>
  <si>
    <t>Niagara Falls Forward</t>
  </si>
  <si>
    <t>Keith Lindsay</t>
  </si>
  <si>
    <t xml:space="preserve">klindsay278@gmail.com </t>
  </si>
  <si>
    <t>Hanson, Kevin</t>
  </si>
  <si>
    <t>HANSON KEVIN MR.</t>
  </si>
  <si>
    <t>951 NIAGARA STREET, ADOLESCENT PROGRAM</t>
  </si>
  <si>
    <t>Haque, Shabrin</t>
  </si>
  <si>
    <t>E0031184</t>
  </si>
  <si>
    <t>HAQUE SHABRIN ANJUM MD</t>
  </si>
  <si>
    <t>HAQUE SHABRIN DR.</t>
  </si>
  <si>
    <t>Tri-County Family Medicine Associates</t>
  </si>
  <si>
    <t>E0415907</t>
  </si>
  <si>
    <t>WARD MALLORY K</t>
  </si>
  <si>
    <t>Mallory Ward</t>
  </si>
  <si>
    <t>WARD MALLORY MRS.</t>
  </si>
  <si>
    <t>1 SCHOOL ST STE 107</t>
  </si>
  <si>
    <t>E0065398</t>
  </si>
  <si>
    <t>SCHULER MARIANNE L</t>
  </si>
  <si>
    <t>Marianne Schuler</t>
  </si>
  <si>
    <t>SCHULER MARIANNE MS.</t>
  </si>
  <si>
    <t>Community Health Workers Network of Buffalo, Inc.</t>
  </si>
  <si>
    <t>Jessica Bauer</t>
  </si>
  <si>
    <t>(716) 465-2297</t>
  </si>
  <si>
    <t>jessica@chwbuffalo.org</t>
  </si>
  <si>
    <t xml:space="preserve">515 Main Street </t>
  </si>
  <si>
    <t>Catholic Medical Partners</t>
  </si>
  <si>
    <t>Barry Stelmach</t>
  </si>
  <si>
    <t>(716) 862-2169</t>
  </si>
  <si>
    <t>bstelmac@chsbuffalo.org</t>
  </si>
  <si>
    <t>144 Genesee Street</t>
  </si>
  <si>
    <t>Sendker, Megan</t>
  </si>
  <si>
    <t>SENDKER MEGAN</t>
  </si>
  <si>
    <t>Shallowhorn, Karl</t>
  </si>
  <si>
    <t>SHALLOWHORN KARL MR.</t>
  </si>
  <si>
    <t>Lockport Pediatric Associates</t>
  </si>
  <si>
    <t>E0424901</t>
  </si>
  <si>
    <t>MCNULTY KATIE</t>
  </si>
  <si>
    <t>Katie McNulty</t>
  </si>
  <si>
    <t>The Chautauqua Center - Dunkirk</t>
  </si>
  <si>
    <t>E0344879</t>
  </si>
  <si>
    <t>VINCENT KATTIE JANE</t>
  </si>
  <si>
    <t>Katie Vincent</t>
  </si>
  <si>
    <t>VINCENT KATTIE MRS.</t>
  </si>
  <si>
    <t>Niagara Ministerial Council</t>
  </si>
  <si>
    <t>Raymond Allen</t>
  </si>
  <si>
    <t>raymondallenh@aol.com</t>
  </si>
  <si>
    <t xml:space="preserve">NYS Health Foundation </t>
  </si>
  <si>
    <t>Lourdes Rodriguez</t>
  </si>
  <si>
    <t>rodriguez@nyshealth.org</t>
  </si>
  <si>
    <t>Holbrook, Jessica</t>
  </si>
  <si>
    <t>HOLBROOK JESSICA</t>
  </si>
  <si>
    <t>Jeziorski, Jennifer</t>
  </si>
  <si>
    <t>JEZIORSKI JENNIFER</t>
  </si>
  <si>
    <t>E0089337</t>
  </si>
  <si>
    <t>SMITH BETH M</t>
  </si>
  <si>
    <t>Beth Nicastro</t>
  </si>
  <si>
    <t>NICASTRO BETH</t>
  </si>
  <si>
    <t>NICASTRO BETH MARY</t>
  </si>
  <si>
    <t>Buffalo Pediatric Associates - Williamsville</t>
  </si>
  <si>
    <t>E0124070</t>
  </si>
  <si>
    <t>HINES CANDACE KINAL</t>
  </si>
  <si>
    <t>Candice Hines</t>
  </si>
  <si>
    <t>(716) 639-0744</t>
  </si>
  <si>
    <t>HINES CANDACE</t>
  </si>
  <si>
    <t>Ray Ganoe</t>
  </si>
  <si>
    <t>3950 E. Robinson Road</t>
  </si>
  <si>
    <t xml:space="preserve">West Amherst  </t>
  </si>
  <si>
    <t>GBUAHN- WNY Medical PC - Harlem</t>
  </si>
  <si>
    <t>E0393830</t>
  </si>
  <si>
    <t>SULTANA RAZIA</t>
  </si>
  <si>
    <t>Razia Sultana</t>
  </si>
  <si>
    <t>3163 SHERIDAN DR</t>
  </si>
  <si>
    <t>Wellsville Manor</t>
  </si>
  <si>
    <t>E0224498</t>
  </si>
  <si>
    <t>WELLSVILLE MANOR CARE CENTER</t>
  </si>
  <si>
    <t>(585) 593-4400</t>
  </si>
  <si>
    <t>WELLSVILLE MANOR LLC</t>
  </si>
  <si>
    <t>4192A BOLIVAR RD</t>
  </si>
  <si>
    <t>Cookie Ireland, CNM</t>
  </si>
  <si>
    <t>E0383248</t>
  </si>
  <si>
    <t>CHRISTOPHER ANDREA</t>
  </si>
  <si>
    <t>Andrea Christopher</t>
  </si>
  <si>
    <t>TALLCHIEF ANDREA</t>
  </si>
  <si>
    <t>TALLCHIEF ANDREA NICOLE</t>
  </si>
  <si>
    <t>E0020817</t>
  </si>
  <si>
    <t>AHMAD ANEES MD</t>
  </si>
  <si>
    <t>Anees Ahmad</t>
  </si>
  <si>
    <t>AHMAD ANEES MR.</t>
  </si>
  <si>
    <t>AHMAD ANEES</t>
  </si>
  <si>
    <t>396 BROADWAY</t>
  </si>
  <si>
    <t>E0347014</t>
  </si>
  <si>
    <t>SMALL LOLITA S</t>
  </si>
  <si>
    <t>Lolita Tramel</t>
  </si>
  <si>
    <t>TRAMEL LOLITA MS.</t>
  </si>
  <si>
    <t>206 S ELMWOOD AVE FL 2</t>
  </si>
  <si>
    <t>E0086427</t>
  </si>
  <si>
    <t>GRUCZA LYNN MARIE</t>
  </si>
  <si>
    <t>Lynn Grucza</t>
  </si>
  <si>
    <t>GRUCZA LYNN</t>
  </si>
  <si>
    <t>Absolut Center for Nursing and Rehabilitation at Dunkirk</t>
  </si>
  <si>
    <t>E0301384</t>
  </si>
  <si>
    <t>ABSOLUT CTR NRS &amp; REH AT DUNKIRK</t>
  </si>
  <si>
    <t xml:space="preserve">Hriczko,Matthew </t>
  </si>
  <si>
    <t>(716) 548-4781</t>
  </si>
  <si>
    <t>mhriczko@absolutcare.com</t>
  </si>
  <si>
    <t>ABSOLUT CENTER FOR NURSING AND REHABILITATION AT DUNKIRK, LLC</t>
  </si>
  <si>
    <t>447 449 LAKESHORE DR</t>
  </si>
  <si>
    <t xml:space="preserve">Absolut Center for Nursing and Rehabilitation at Houghton </t>
  </si>
  <si>
    <t>E0143868</t>
  </si>
  <si>
    <t>ABSOLUT CTR NUR/REHAB AT HOUGHTON</t>
  </si>
  <si>
    <t>Edwards, Heather</t>
  </si>
  <si>
    <t>(716) 873-1159</t>
  </si>
  <si>
    <t>hedwards@absolutcare.com</t>
  </si>
  <si>
    <t>ABSOLUT CENTER FOR NURSING AND REHABILITATION AT HOUGHTON, LLC</t>
  </si>
  <si>
    <t>9876 LUCKEY DR</t>
  </si>
  <si>
    <t>Radice, Christina</t>
  </si>
  <si>
    <t>RADICE CHRISTINA</t>
  </si>
  <si>
    <t>Riemer, Katelyn</t>
  </si>
  <si>
    <t>RIEMER KATELYN</t>
  </si>
  <si>
    <t>E0066112</t>
  </si>
  <si>
    <t>MCVEY JOANNE LOUISE</t>
  </si>
  <si>
    <t>Joanne McVey</t>
  </si>
  <si>
    <t>MCVEY JOANNE</t>
  </si>
  <si>
    <t>RPCI</t>
  </si>
  <si>
    <t>The Resource Center</t>
  </si>
  <si>
    <t>E0326626</t>
  </si>
  <si>
    <t>DECASTRO JODY</t>
  </si>
  <si>
    <t>Jody DeCastro</t>
  </si>
  <si>
    <t>DECASTRO JODY MR.</t>
  </si>
  <si>
    <t>15 S MAIN ST STE 160</t>
  </si>
  <si>
    <t>Heritage Center</t>
  </si>
  <si>
    <t>Christopher Ride</t>
  </si>
  <si>
    <t>porter388@msn.com</t>
  </si>
  <si>
    <t>Impacting Love Global Ministries</t>
  </si>
  <si>
    <t>Rev. Garney Davis</t>
  </si>
  <si>
    <t>gdavis@ecmc.edu</t>
  </si>
  <si>
    <t>Goodwin, Jennie</t>
  </si>
  <si>
    <t>GOODWIN JENNIE</t>
  </si>
  <si>
    <t>Graziano, Lynn</t>
  </si>
  <si>
    <t>E0368129</t>
  </si>
  <si>
    <t>GRAZIANO-SHAFFER LYNN MARIE</t>
  </si>
  <si>
    <t>GRAZIANO LYNN</t>
  </si>
  <si>
    <t>General Physician PC - Hamburg Family Medicine</t>
  </si>
  <si>
    <t>E0315418</t>
  </si>
  <si>
    <t>CRAWFORD KRISTEN MARIE</t>
  </si>
  <si>
    <t>Kristin Crawford</t>
  </si>
  <si>
    <t>(716) 646-2590</t>
  </si>
  <si>
    <t>CRAWFORD KRISTEN</t>
  </si>
  <si>
    <t>E0359512</t>
  </si>
  <si>
    <t>BELL LAUREN RAE</t>
  </si>
  <si>
    <t>Lauren Bell</t>
  </si>
  <si>
    <t>(585) 968-0686</t>
  </si>
  <si>
    <t>BELL LAUREN MS.</t>
  </si>
  <si>
    <t>2211 W STATE ST STE 121</t>
  </si>
  <si>
    <t>Empower</t>
  </si>
  <si>
    <t>Eric Dessoye</t>
  </si>
  <si>
    <t>(716) 830-2184</t>
  </si>
  <si>
    <t>edessoye@empower-wny.org</t>
  </si>
  <si>
    <t>Parent Network of WNY</t>
  </si>
  <si>
    <t>Susan  Barlow</t>
  </si>
  <si>
    <t>(716) 332-4170</t>
  </si>
  <si>
    <t>srb@parentnetworkwny.org</t>
  </si>
  <si>
    <t>Mason, Angela</t>
  </si>
  <si>
    <t>MASON ANGELA</t>
  </si>
  <si>
    <t>Meidenbauer, Cara</t>
  </si>
  <si>
    <t>MEIDENBAUER CARA</t>
  </si>
  <si>
    <t>Omega Family Medicine - Salamanca</t>
  </si>
  <si>
    <t>E0300425</t>
  </si>
  <si>
    <t>YOUNG KARISA</t>
  </si>
  <si>
    <t>Karisa Young</t>
  </si>
  <si>
    <t>(716) 945-3000</t>
  </si>
  <si>
    <t>401 N 8TH ST</t>
  </si>
  <si>
    <t>General Physician PC - Concord Medical Group</t>
  </si>
  <si>
    <t>E0395467</t>
  </si>
  <si>
    <t>KING KATHLEEN P</t>
  </si>
  <si>
    <t>Kathleen King</t>
  </si>
  <si>
    <t>KING KATHLEEN</t>
  </si>
  <si>
    <t>March of Dimes</t>
  </si>
  <si>
    <t>Darcy Dreyer</t>
  </si>
  <si>
    <t>ddreyer@marchofdimes.org</t>
  </si>
  <si>
    <t>National Black Leadership Commission on AIDS, Inc.</t>
  </si>
  <si>
    <t>Donna Chapman</t>
  </si>
  <si>
    <t xml:space="preserve">dchapman@nblca.org </t>
  </si>
  <si>
    <t>Green, Juanita</t>
  </si>
  <si>
    <t>GREEN JUANITA</t>
  </si>
  <si>
    <t>Halverson, Amber</t>
  </si>
  <si>
    <t>HALVERSON AMBER</t>
  </si>
  <si>
    <t>NFMMC - Summit Family Health Center</t>
  </si>
  <si>
    <t>E0066584</t>
  </si>
  <si>
    <t>BURNETT JEFFREY ORLANDO MD</t>
  </si>
  <si>
    <t>Jeffrey Burnett</t>
  </si>
  <si>
    <t>BURNETT JEFFREY</t>
  </si>
  <si>
    <t>E0065556</t>
  </si>
  <si>
    <t>MANKA JENNIFER ANN</t>
  </si>
  <si>
    <t>Jennifer Manka</t>
  </si>
  <si>
    <t>MANKA JENNIFER MRS.</t>
  </si>
  <si>
    <t>Durham's Central City Baby Cafe</t>
  </si>
  <si>
    <t>Diann Holt</t>
  </si>
  <si>
    <t>Family Justice Center</t>
  </si>
  <si>
    <t>Mary Travers-Murphy</t>
  </si>
  <si>
    <t>Dunn, Shannon</t>
  </si>
  <si>
    <t>DUNN SHANNON</t>
  </si>
  <si>
    <t>Ferrentino, Darlene</t>
  </si>
  <si>
    <t>E0412233</t>
  </si>
  <si>
    <t>FERRENTINO DARLENE</t>
  </si>
  <si>
    <t>FERRENTINO DARLENE MISS</t>
  </si>
  <si>
    <t>NFMMC - Grand Island Family Practice</t>
  </si>
  <si>
    <t>E0408642</t>
  </si>
  <si>
    <t>USLINOV LAUREN NICOLE</t>
  </si>
  <si>
    <t>Lauren Uslinov</t>
  </si>
  <si>
    <t>USLINOV LAUREN DR.</t>
  </si>
  <si>
    <t>E0322769</t>
  </si>
  <si>
    <t>INCE-MERCER LEIA K MD</t>
  </si>
  <si>
    <t>Leia Inse-Mercer</t>
  </si>
  <si>
    <t>INCE-MERCER LEIA</t>
  </si>
  <si>
    <t>AMERICAN DIABETES ASSOCIATION</t>
  </si>
  <si>
    <t>J.Elizabeth Smythe</t>
  </si>
  <si>
    <t>(585) 485-3040</t>
  </si>
  <si>
    <t>esmythe@diabetes.org</t>
  </si>
  <si>
    <t>315 Alberta Dr</t>
  </si>
  <si>
    <t>LAKE PLAINS COMMUNITY CARE NETWORK</t>
  </si>
  <si>
    <t>Charlotte Crawford</t>
  </si>
  <si>
    <t>(585) 345-6110</t>
  </si>
  <si>
    <t>CCRAWFORD@LAKPLAINS.ORG</t>
  </si>
  <si>
    <t>575 East Main Street</t>
  </si>
  <si>
    <t xml:space="preserve">Batavia </t>
  </si>
  <si>
    <t>Pates, Jessica</t>
  </si>
  <si>
    <t>PATES JESSICA</t>
  </si>
  <si>
    <t>Pepe, Alyssa</t>
  </si>
  <si>
    <t>PEPE ALYSSA</t>
  </si>
  <si>
    <t>E0325961</t>
  </si>
  <si>
    <t>REDDINGTON MADONNA MARIE</t>
  </si>
  <si>
    <t>Madonna Reddington</t>
  </si>
  <si>
    <t>REDDINGTON MADONNA MS.</t>
  </si>
  <si>
    <t>E0420468</t>
  </si>
  <si>
    <t>KUMAR MALINI</t>
  </si>
  <si>
    <t>Malini Kumar</t>
  </si>
  <si>
    <t>Safire Rehabilitation of Northtowns</t>
  </si>
  <si>
    <t>E0456681</t>
  </si>
  <si>
    <t>SAFIRE REHAB OF NORTHTOWNS LLC</t>
  </si>
  <si>
    <t>Dayan Ruffin</t>
  </si>
  <si>
    <t>(718) 866-8677</t>
  </si>
  <si>
    <t>druffin@glcmail.net</t>
  </si>
  <si>
    <t>SAFIRE REHABILITATION OF NORTHTOWNS LLC</t>
  </si>
  <si>
    <t>Safire Rehabilitation of Southtowns</t>
  </si>
  <si>
    <t>Chris Otterbein</t>
  </si>
  <si>
    <t>(718) 697-7523</t>
  </si>
  <si>
    <t>cotterbein@glcmail.net</t>
  </si>
  <si>
    <t>SAFIRE REHABILITATION OF SOUTHTOWNS LLC</t>
  </si>
  <si>
    <t>Rizzo, Rachell</t>
  </si>
  <si>
    <t>RIZZO RACHELL</t>
  </si>
  <si>
    <t>Seelbinder, Lynn</t>
  </si>
  <si>
    <t>SEELBINDER LYNN</t>
  </si>
  <si>
    <t>E0107410</t>
  </si>
  <si>
    <t>HUGHES DEBORAH CONNOR</t>
  </si>
  <si>
    <t>Deborah Hughes</t>
  </si>
  <si>
    <t>HUGHES DEBORAH MRS.</t>
  </si>
  <si>
    <t>138 W MAIN ST</t>
  </si>
  <si>
    <t>GBUACO - WNY Medical PC - Derby</t>
  </si>
  <si>
    <t>E0157003</t>
  </si>
  <si>
    <t>LONGBINE DEBRA RPA</t>
  </si>
  <si>
    <t>Debra Longbine</t>
  </si>
  <si>
    <t>LONGBINE DEBRA MRS.</t>
  </si>
  <si>
    <t>LONGBINE DEBRA</t>
  </si>
  <si>
    <t>E0138532</t>
  </si>
  <si>
    <t>TRZASKA SUSAN M</t>
  </si>
  <si>
    <t>Susan Trzaska</t>
  </si>
  <si>
    <t>TRZASKA SUSAN MS.</t>
  </si>
  <si>
    <t>Atherinis, Camilla</t>
  </si>
  <si>
    <t>E0206511</t>
  </si>
  <si>
    <t>NORTHPOINTE COUNCIL, INC</t>
  </si>
  <si>
    <t>NORTHPOINTE COUNCIL, INC.</t>
  </si>
  <si>
    <t>OAS CL</t>
  </si>
  <si>
    <t>Bartz, Megan</t>
  </si>
  <si>
    <t>BARTZ MEGAN</t>
  </si>
  <si>
    <t>NFMMC - River Road Primary Care</t>
  </si>
  <si>
    <t>E0049658</t>
  </si>
  <si>
    <t>LALLY ANNMARIE M</t>
  </si>
  <si>
    <t>Annmarie Lally</t>
  </si>
  <si>
    <t>(716) 694-0535</t>
  </si>
  <si>
    <t>LALLY ANNMARIE</t>
  </si>
  <si>
    <t>LALLY ANNMARIE MALEY</t>
  </si>
  <si>
    <t>533 NIAGARA ST</t>
  </si>
  <si>
    <t>General Physician PC - Lake Plains Internal Medicine - Albion</t>
  </si>
  <si>
    <t>E0048775</t>
  </si>
  <si>
    <t>EATON PAMELA A</t>
  </si>
  <si>
    <t>Pam Eaton</t>
  </si>
  <si>
    <t>EATON PAMELA</t>
  </si>
  <si>
    <t>GBUACO - WNY Medical PC - Cazenovia</t>
  </si>
  <si>
    <t>E0004289</t>
  </si>
  <si>
    <t>KHAN PERVEZ ALI</t>
  </si>
  <si>
    <t>Pervez Khan</t>
  </si>
  <si>
    <t>KHAN PERVEZ</t>
  </si>
  <si>
    <t>KHAN PERVEZ ALI MD</t>
  </si>
  <si>
    <t>McGuire Group -North Gate</t>
  </si>
  <si>
    <t>E0230847</t>
  </si>
  <si>
    <t>NORTH GATE HEALTH CARE FACILI</t>
  </si>
  <si>
    <t>Stephen Mercurio</t>
  </si>
  <si>
    <t>(716) 826-2010</t>
  </si>
  <si>
    <t>smercurio@mcguiregroup.com</t>
  </si>
  <si>
    <t>NORTHGATE HEALTH CARE FACILITY LLC</t>
  </si>
  <si>
    <t>7264 NASH RD</t>
  </si>
  <si>
    <t>McGuire Group - Seneca</t>
  </si>
  <si>
    <t>E0251994</t>
  </si>
  <si>
    <t>SENECA HEALTH CARE CENTER</t>
  </si>
  <si>
    <t>SENECA HEALTH CARE CENTER LLC</t>
  </si>
  <si>
    <t>2987 SENECA ST</t>
  </si>
  <si>
    <t>Adornettto, Amy</t>
  </si>
  <si>
    <t>Elizabeth Mauro</t>
  </si>
  <si>
    <t>ADORNETTO AMY</t>
  </si>
  <si>
    <t>Choe, Hong</t>
  </si>
  <si>
    <t>1526 Walden Avenue</t>
  </si>
  <si>
    <t>E0416262</t>
  </si>
  <si>
    <t>YOUNG JANELLE KATHRYN</t>
  </si>
  <si>
    <t>Janelle Young</t>
  </si>
  <si>
    <t>(585) 589-1322</t>
  </si>
  <si>
    <t>YOUNG JANELLE MRS.</t>
  </si>
  <si>
    <t>E0301426</t>
  </si>
  <si>
    <t>REIN JASON</t>
  </si>
  <si>
    <t>Jason Rein</t>
  </si>
  <si>
    <t>REIN JASON MR.</t>
  </si>
  <si>
    <t>REIN JASON THOMAS</t>
  </si>
  <si>
    <t>Buffalo Promise Neighborhood</t>
  </si>
  <si>
    <t>Tanya  Staples</t>
  </si>
  <si>
    <t xml:space="preserve">Compeer </t>
  </si>
  <si>
    <t>Michele Brown</t>
  </si>
  <si>
    <t>Dickson, Lori</t>
  </si>
  <si>
    <t>DICKSON LORI</t>
  </si>
  <si>
    <t>Doran, Alexandrea</t>
  </si>
  <si>
    <t>DORAN ALEXANDREA</t>
  </si>
  <si>
    <t>E0348729</t>
  </si>
  <si>
    <t>WILLIS MISTY L</t>
  </si>
  <si>
    <t>Misty Willis</t>
  </si>
  <si>
    <t>WILLIS MISTY</t>
  </si>
  <si>
    <t>E0317584</t>
  </si>
  <si>
    <t>CAPOTE NICOLE EILEEN</t>
  </si>
  <si>
    <t>Nicole Capote</t>
  </si>
  <si>
    <t>CAPOTE NICOLE</t>
  </si>
  <si>
    <t>2114 EGGERT RD</t>
  </si>
  <si>
    <t xml:space="preserve">McGuire Group </t>
  </si>
  <si>
    <t>560 Delaware Avenue</t>
  </si>
  <si>
    <t>McGuire Group - Autumn View</t>
  </si>
  <si>
    <t>E0223298</t>
  </si>
  <si>
    <t>AUTUMN VIEW HEALTH CR FACILIT</t>
  </si>
  <si>
    <t>AUTUMN VIEW HEALTH CARE FACILITY LLC</t>
  </si>
  <si>
    <t>AUTUMN VIEW HEALTH CARE FAC</t>
  </si>
  <si>
    <t>S 4650 SOUTHWEST BLV</t>
  </si>
  <si>
    <t>Vito, Diana</t>
  </si>
  <si>
    <t>VITO DIANA</t>
  </si>
  <si>
    <t>Walsh, Kelly</t>
  </si>
  <si>
    <t>WALSH KELLY</t>
  </si>
  <si>
    <t>East Aurora Pediatrics PC</t>
  </si>
  <si>
    <t>Barbara Jordan</t>
  </si>
  <si>
    <t>94 Olean St, Suite 110</t>
  </si>
  <si>
    <t>E0065634</t>
  </si>
  <si>
    <t>SMITH BARBARA A NP</t>
  </si>
  <si>
    <t>Barbara Smith</t>
  </si>
  <si>
    <t>SMITH BARBARA</t>
  </si>
  <si>
    <t>SMITH BARBARA ANN</t>
  </si>
  <si>
    <t>6477 TRANSIT RD</t>
  </si>
  <si>
    <t>E0032070</t>
  </si>
  <si>
    <t>BESSEY PHYLLIS C NP</t>
  </si>
  <si>
    <t>Phyllis Bessey</t>
  </si>
  <si>
    <t>BESSEY PHYLLIS</t>
  </si>
  <si>
    <t>Jericho Road Community Health Center - Genesee</t>
  </si>
  <si>
    <t>PJ Pitts</t>
  </si>
  <si>
    <t>PITTS PATRICIA DR.</t>
  </si>
  <si>
    <t>1712 WILLAMETTE ST</t>
  </si>
  <si>
    <t>EUGENE</t>
  </si>
  <si>
    <t>Orleans Community Health SNF</t>
  </si>
  <si>
    <t>(585) 589-2273</t>
  </si>
  <si>
    <t>14789 NY-31</t>
  </si>
  <si>
    <t xml:space="preserve">Albion </t>
  </si>
  <si>
    <t>Waterfront Center for Rehab and Healthcare</t>
  </si>
  <si>
    <t>Nocole Gallagher</t>
  </si>
  <si>
    <t>(716) 847-2500</t>
  </si>
  <si>
    <t>ngallagher@waterfrontrehab.net</t>
  </si>
  <si>
    <t>KALEIDA HEALTH WATERFRONT HEALTH CARE CENTER</t>
  </si>
  <si>
    <t>E0416198</t>
  </si>
  <si>
    <t>WOLFLEY AMANDA MARIE</t>
  </si>
  <si>
    <t>Amanda Wolfley</t>
  </si>
  <si>
    <t>WOLFLEY AMANDA DR.</t>
  </si>
  <si>
    <t>NFMMC - Williams Rd Suite 300</t>
  </si>
  <si>
    <t>E0386418</t>
  </si>
  <si>
    <t>MANGAT SIMMANJEET</t>
  </si>
  <si>
    <t>Amarpreet Mangat</t>
  </si>
  <si>
    <t>E0425874</t>
  </si>
  <si>
    <t>LAMONTAGNE ANNE ZITA</t>
  </si>
  <si>
    <t>Anne LaMontagne</t>
  </si>
  <si>
    <t>LAMONTAGNE ANNE</t>
  </si>
  <si>
    <t>Foothills Medical Group - Salamanca Health Center</t>
  </si>
  <si>
    <t>E0406361</t>
  </si>
  <si>
    <t>DRAKE NICOLE L</t>
  </si>
  <si>
    <t>Nicole Drake</t>
  </si>
  <si>
    <t>DRAKE NICOLE</t>
  </si>
  <si>
    <t>DRAKE NICOLE LYNN</t>
  </si>
  <si>
    <t>E0065626</t>
  </si>
  <si>
    <t>BOYD NORINE CONSTANCE</t>
  </si>
  <si>
    <t>Norine Boyd</t>
  </si>
  <si>
    <t>BOYD NORINE</t>
  </si>
  <si>
    <t>McGuire Group- Garden Gate</t>
  </si>
  <si>
    <t>E0252007</t>
  </si>
  <si>
    <t>GARDEN GATE HLTH CR FACILITY</t>
  </si>
  <si>
    <t>GARDEN GATE HEALTH CARE FACILITY LLC</t>
  </si>
  <si>
    <t>McGuire Group- Harris Hill</t>
  </si>
  <si>
    <t>E0167559</t>
  </si>
  <si>
    <t>HARRIS HILL NURSING FACILITY</t>
  </si>
  <si>
    <t>HARRIS HILL NURSING FACILITY, LLC</t>
  </si>
  <si>
    <t>2699 WEHRLE DR</t>
  </si>
  <si>
    <t>White, Arianna</t>
  </si>
  <si>
    <t>WHITE ARIANNA</t>
  </si>
  <si>
    <t>Wilson, Ralph</t>
  </si>
  <si>
    <t>WILSON RALPH</t>
  </si>
  <si>
    <t>E0322896</t>
  </si>
  <si>
    <t>NIXON KERRI</t>
  </si>
  <si>
    <t>Kerri Nixon</t>
  </si>
  <si>
    <t>NIXON KERRI MS.</t>
  </si>
  <si>
    <t>NIXON KERRI ANN</t>
  </si>
  <si>
    <t>NYS Quitline Roswell Park</t>
  </si>
  <si>
    <t>Patricia Bax</t>
  </si>
  <si>
    <t>patricia.bax@roswellpark.org</t>
  </si>
  <si>
    <t>Office of Children and Family Services</t>
  </si>
  <si>
    <t>Patricia Harper</t>
  </si>
  <si>
    <t>(716) 847-2299</t>
  </si>
  <si>
    <t>Patricia.Harper@ocfs.ny.gov</t>
  </si>
  <si>
    <t>Johnston, Jennifer</t>
  </si>
  <si>
    <t>GRALEY JENNIFER</t>
  </si>
  <si>
    <t>Kalstek, Ashley</t>
  </si>
  <si>
    <t>KALSTEK ASHLEY</t>
  </si>
  <si>
    <t>UBMD Internal Medicine - Amherst</t>
  </si>
  <si>
    <t>E0418923</t>
  </si>
  <si>
    <t>GOSINE DEEPA K</t>
  </si>
  <si>
    <t>Deepa Gosine</t>
  </si>
  <si>
    <t>GOSINE DEEPA</t>
  </si>
  <si>
    <t>Kaleida Health - Hodge Pediatrics</t>
  </si>
  <si>
    <t>E0424951</t>
  </si>
  <si>
    <t>BERNOSKY EDITH</t>
  </si>
  <si>
    <t>Edith Bernosky</t>
  </si>
  <si>
    <t>BERNOSKY EDITH DR.</t>
  </si>
  <si>
    <t>3245 SOUTHWESTERN BLVD</t>
  </si>
  <si>
    <t>E0371804</t>
  </si>
  <si>
    <t>SEAGER TIFFANY LYNN</t>
  </si>
  <si>
    <t>Tiffany Mock</t>
  </si>
  <si>
    <t>MOCK TIFFANY</t>
  </si>
  <si>
    <t>E0310642</t>
  </si>
  <si>
    <t>MURPHY TIMOTHY</t>
  </si>
  <si>
    <t>Timothy Murphy</t>
  </si>
  <si>
    <t>MURPHY TIMOTHY DR.</t>
  </si>
  <si>
    <t>MURPHY TIMOTHY G</t>
  </si>
  <si>
    <t>227 RIDGE RD</t>
  </si>
  <si>
    <t>Bennett, Megan</t>
  </si>
  <si>
    <t>BENNETT MEGAN MS.</t>
  </si>
  <si>
    <t>Borowczyk, Aaron</t>
  </si>
  <si>
    <t>BOROWCZYK AARON</t>
  </si>
  <si>
    <t>E0003328</t>
  </si>
  <si>
    <t>PINZEL MARK DEREK RPA</t>
  </si>
  <si>
    <t>Mark Pinzel</t>
  </si>
  <si>
    <t>PINZEL MARK MR.</t>
  </si>
  <si>
    <t>E0022598</t>
  </si>
  <si>
    <t>PIETRZYK MARYANN K NP</t>
  </si>
  <si>
    <t>Mary Ann Pietrzyk</t>
  </si>
  <si>
    <t>PIETRZYK MARYANN</t>
  </si>
  <si>
    <t>PIETRZYK MARYANN KATHY</t>
  </si>
  <si>
    <t>Jericho Road Community Health Center</t>
  </si>
  <si>
    <t>Brett Lawton</t>
  </si>
  <si>
    <t>(716) 348-3016</t>
  </si>
  <si>
    <t>E0147958</t>
  </si>
  <si>
    <t>HERITAGE PK HCC SNF</t>
  </si>
  <si>
    <t>GERRY HOMES</t>
  </si>
  <si>
    <t>150 PRATHER AVE</t>
  </si>
  <si>
    <t>Thornton, Marlon</t>
  </si>
  <si>
    <t>THORNTON MARLON</t>
  </si>
  <si>
    <t>800 MAIN ST, SUITE 2A</t>
  </si>
  <si>
    <t>Tobias, Tamara</t>
  </si>
  <si>
    <t>TOBIAS TAMARA</t>
  </si>
  <si>
    <t>HAASE-SMITH JULIE</t>
  </si>
  <si>
    <t>E0427926</t>
  </si>
  <si>
    <t>HAASE-SMITH JULIE ANN</t>
  </si>
  <si>
    <t>Frank Azzarelli</t>
  </si>
  <si>
    <t>fazzarelli@people-inc.org</t>
  </si>
  <si>
    <t>MODEN-GIROUX,INC</t>
  </si>
  <si>
    <t>E0222128</t>
  </si>
  <si>
    <t>MODEN GIROUX INC</t>
  </si>
  <si>
    <t>Ryan Lindenau, PharmD</t>
  </si>
  <si>
    <t>linder26@dyc.edu</t>
  </si>
  <si>
    <t>81 TELEGRAPH RD</t>
  </si>
  <si>
    <t>WHITCOMB JENNELLE MRS.</t>
  </si>
  <si>
    <t>E0011719</t>
  </si>
  <si>
    <t>WHITCOMB JENNELLE</t>
  </si>
  <si>
    <t>WHITCOMB JENNELLE R</t>
  </si>
  <si>
    <t>MARMION SUSAN MRS.</t>
  </si>
  <si>
    <t>E0009847</t>
  </si>
  <si>
    <t>MARMION SUSAN MARY</t>
  </si>
  <si>
    <t>MERRITT PATRICIA MS.</t>
  </si>
  <si>
    <t>E0020526</t>
  </si>
  <si>
    <t>MERRITT PATRICIA</t>
  </si>
  <si>
    <t>MERRITT PATRICIA A.</t>
  </si>
  <si>
    <t>JACKSON ROSEANNE MS.</t>
  </si>
  <si>
    <t>E0447985</t>
  </si>
  <si>
    <t>JACKSON ROSEANNE JOHNSON</t>
  </si>
  <si>
    <t>SNYDER TERESA</t>
  </si>
  <si>
    <t>E0397498</t>
  </si>
  <si>
    <t>SNYDER TERESA MARIE</t>
  </si>
  <si>
    <t>KILLEEN ALLISON MRS.</t>
  </si>
  <si>
    <t>E0322611</t>
  </si>
  <si>
    <t>ALLISON KILLEEN NP</t>
  </si>
  <si>
    <t>Dr. Lavonne Ansari</t>
  </si>
  <si>
    <t>lansari@chcb.net</t>
  </si>
  <si>
    <t>KILLEEN ALLISON MARIE NP</t>
  </si>
  <si>
    <t>FOUSKARIS THEANO</t>
  </si>
  <si>
    <t>E0457064</t>
  </si>
  <si>
    <t>COPELAND ERIKA MS.</t>
  </si>
  <si>
    <t>E0002203</t>
  </si>
  <si>
    <t>COPELAND ERIKA ELISHIA RPA</t>
  </si>
  <si>
    <t>COPELAND ERIKA ELISHIA</t>
  </si>
  <si>
    <t>KAPRIELIAN TRISHA MRS.</t>
  </si>
  <si>
    <t>E0399905</t>
  </si>
  <si>
    <t>KAPRIELIAN TRISHA CONSTANCE</t>
  </si>
  <si>
    <t>PORWAL ANJANA MRS.</t>
  </si>
  <si>
    <t>E0307610</t>
  </si>
  <si>
    <t>PORWAL ANJANA HEMRAJ</t>
  </si>
  <si>
    <t>6970 ERIE RD STE A</t>
  </si>
  <si>
    <t>MACLEOD BERNADETTE</t>
  </si>
  <si>
    <t>E0103386</t>
  </si>
  <si>
    <t>MACLEOD BERNADETTE P</t>
  </si>
  <si>
    <t>WHITE ABBATESSA LAURIE</t>
  </si>
  <si>
    <t>E0283498</t>
  </si>
  <si>
    <t>ABBATESSA LAURIE A</t>
  </si>
  <si>
    <t>FOX KATHERINE</t>
  </si>
  <si>
    <t>E0425960</t>
  </si>
  <si>
    <t>FOX KATHERINE ELIZABETH</t>
  </si>
  <si>
    <t>YEMCHUK LIDIA</t>
  </si>
  <si>
    <t>E0398719</t>
  </si>
  <si>
    <t>BARBER DARYL</t>
  </si>
  <si>
    <t>E0396809</t>
  </si>
  <si>
    <t>BARBER DARYL A</t>
  </si>
  <si>
    <t>BARBER DARYL ANTHONY</t>
  </si>
  <si>
    <t>1175 DELAWARE AVE</t>
  </si>
  <si>
    <t>FLICK ROSE ANN</t>
  </si>
  <si>
    <t>E0425798</t>
  </si>
  <si>
    <t>FLICK ROSE ANN ROCHELLE</t>
  </si>
  <si>
    <t>AZZINARO TIFFANY</t>
  </si>
  <si>
    <t>E0386200</t>
  </si>
  <si>
    <t>GRINNELL THOMAS MR.</t>
  </si>
  <si>
    <t>E0338925</t>
  </si>
  <si>
    <t>GRINNELL THOMAS DONALD JR</t>
  </si>
  <si>
    <t>625 DELAWARE AVE STE 204</t>
  </si>
  <si>
    <t>GLASGOW PATRICK DR.</t>
  </si>
  <si>
    <t>E0424935</t>
  </si>
  <si>
    <t>GLASGOW PATRICK DAVID LILFORD</t>
  </si>
  <si>
    <t>FRONCZAK THOMAS</t>
  </si>
  <si>
    <t>E0379665</t>
  </si>
  <si>
    <t>WILLIAMS RASHIDA</t>
  </si>
  <si>
    <t>E0018368</t>
  </si>
  <si>
    <t>AMRA WILLIAMS RASHIDA</t>
  </si>
  <si>
    <t>SWITZER KYLE MR.</t>
  </si>
  <si>
    <t>E0399653</t>
  </si>
  <si>
    <t>SWITZER KYLE EDWARD</t>
  </si>
  <si>
    <t>MASCI JAROD DR.</t>
  </si>
  <si>
    <t>E0334770</t>
  </si>
  <si>
    <t>MASCI JAROD STEPHEN</t>
  </si>
  <si>
    <t>3176 ABBOTT RD UNIT 500 BLDG A</t>
  </si>
  <si>
    <t>MATECKI JOSH MR.</t>
  </si>
  <si>
    <t>E0432229</t>
  </si>
  <si>
    <t>MATECKI JOSH MICHAEL</t>
  </si>
  <si>
    <t>KOSGEI ELIUD</t>
  </si>
  <si>
    <t>E0446380</t>
  </si>
  <si>
    <t>KOSGEI ELIUD KIPRUTO</t>
  </si>
  <si>
    <t>WIER STACIE MS.</t>
  </si>
  <si>
    <t>E0037186</t>
  </si>
  <si>
    <t>WIER STACIE L</t>
  </si>
  <si>
    <t>WIER STACIE LEE</t>
  </si>
  <si>
    <t>WASHINGTON KENDRA</t>
  </si>
  <si>
    <t>E0001856</t>
  </si>
  <si>
    <t>WASHINGTON KENDRA P</t>
  </si>
  <si>
    <t>HONG JUNG</t>
  </si>
  <si>
    <t>E0372597</t>
  </si>
  <si>
    <t>HONG JUNG MIN</t>
  </si>
  <si>
    <t>57 DAVISON CT # D</t>
  </si>
  <si>
    <t>KAKKAR SONIA</t>
  </si>
  <si>
    <t>E0019540</t>
  </si>
  <si>
    <t>BHAMBA SONIA</t>
  </si>
  <si>
    <t>KAKKAR SONIA  DDS</t>
  </si>
  <si>
    <t>5875 S TRANSIT RD</t>
  </si>
  <si>
    <t>MASUD NOUR DR.</t>
  </si>
  <si>
    <t>E0015020</t>
  </si>
  <si>
    <t>MASUD NOUR N DDS</t>
  </si>
  <si>
    <t>4007 HARLEM RD</t>
  </si>
  <si>
    <t>RUSSELL JOSHUA</t>
  </si>
  <si>
    <t>E0427226</t>
  </si>
  <si>
    <t>FITZGERALD CHRISTOPHER DR.</t>
  </si>
  <si>
    <t>E0423083</t>
  </si>
  <si>
    <t>FITZGERALD CHRISTOPHER JAMES</t>
  </si>
  <si>
    <t>ROSEBERRY ANNE MS.</t>
  </si>
  <si>
    <t>E0022716</t>
  </si>
  <si>
    <t>ROSEBERRY ANNE</t>
  </si>
  <si>
    <t>DEPT OF CHILD AND AD</t>
  </si>
  <si>
    <t>STOLTZFUS JAMES</t>
  </si>
  <si>
    <t>E0442254</t>
  </si>
  <si>
    <t>STOLTZFUS JAMES DANIEL JR</t>
  </si>
  <si>
    <t>BUDWINE AMANDA</t>
  </si>
  <si>
    <t>E0442812</t>
  </si>
  <si>
    <t>BUDWINE AMANDA PRIOLA</t>
  </si>
  <si>
    <t>WOJEWODA KAITLYN</t>
  </si>
  <si>
    <t>E0421391</t>
  </si>
  <si>
    <t>WOJEWODA KAITLYN ALEXANDRA</t>
  </si>
  <si>
    <t>6951 WILLIAMS RD</t>
  </si>
  <si>
    <t>BRENNAN LISA</t>
  </si>
  <si>
    <t>E0057229</t>
  </si>
  <si>
    <t>BRENNAN LISA C</t>
  </si>
  <si>
    <t>ANAND RENATA</t>
  </si>
  <si>
    <t>E0419430</t>
  </si>
  <si>
    <t>BRIEN JENNIFER MRS.</t>
  </si>
  <si>
    <t>E0043743</t>
  </si>
  <si>
    <t>BRIEN JENNIFER</t>
  </si>
  <si>
    <t>300 ESSJAY RD STE 100</t>
  </si>
  <si>
    <t>DAVIS ANNE MARIE DR.</t>
  </si>
  <si>
    <t>E0419453</t>
  </si>
  <si>
    <t>DAVIS ANNE MARIE</t>
  </si>
  <si>
    <t>DEVITO ANTHONY</t>
  </si>
  <si>
    <t>E0455456</t>
  </si>
  <si>
    <t>DEVITO ANTHONY JOSEPH</t>
  </si>
  <si>
    <t>HAM KIM</t>
  </si>
  <si>
    <t>E0378389</t>
  </si>
  <si>
    <t>HAM KIM MARIE</t>
  </si>
  <si>
    <t>LA SCALA JOHN</t>
  </si>
  <si>
    <t>E0446619</t>
  </si>
  <si>
    <t>LASCALA JOHN PETER</t>
  </si>
  <si>
    <t>NASCA JOSEPH DR.</t>
  </si>
  <si>
    <t>E0205224</t>
  </si>
  <si>
    <t>NASCA JOSEPH MICHAEL DPM</t>
  </si>
  <si>
    <t>NASCA JOSEPH MICHAEL</t>
  </si>
  <si>
    <t>369 KENMORE AVE</t>
  </si>
  <si>
    <t>AGRO CHANDA MRS.</t>
  </si>
  <si>
    <t>E0305041</t>
  </si>
  <si>
    <t>AGRO CHANDA GAIL</t>
  </si>
  <si>
    <t>GLOSE HEATHER</t>
  </si>
  <si>
    <t>E0390330</t>
  </si>
  <si>
    <t>GLOSE HEATHER JULIA</t>
  </si>
  <si>
    <t>BULL ROBERT DR.</t>
  </si>
  <si>
    <t>E0215603</t>
  </si>
  <si>
    <t>BULL ROBERT LEONARD JR     MD</t>
  </si>
  <si>
    <t>STE 106</t>
  </si>
  <si>
    <t>URGO JAMES MR.</t>
  </si>
  <si>
    <t>E0079861</t>
  </si>
  <si>
    <t>URGO JAMES RONALD</t>
  </si>
  <si>
    <t>7430 OLEAN RD</t>
  </si>
  <si>
    <t>HOLLAND</t>
  </si>
  <si>
    <t>MACK VERONICA</t>
  </si>
  <si>
    <t>E0406634</t>
  </si>
  <si>
    <t>MACK VERONICA K</t>
  </si>
  <si>
    <t>BAMBRAH SAWARAN DR.</t>
  </si>
  <si>
    <t>E0227829</t>
  </si>
  <si>
    <t>BAMBRAH SAWARAN PC         MD</t>
  </si>
  <si>
    <t>320 PRATHER AVE</t>
  </si>
  <si>
    <t>BYRD EMMA MS.</t>
  </si>
  <si>
    <t>E0318461</t>
  </si>
  <si>
    <t>BYRD EMMA WINKFIELD</t>
  </si>
  <si>
    <t>OH SANGROK DR.</t>
  </si>
  <si>
    <t>E0443104</t>
  </si>
  <si>
    <t>OH SANGROK</t>
  </si>
  <si>
    <t>PASTORE PATRICIA</t>
  </si>
  <si>
    <t>E0050310</t>
  </si>
  <si>
    <t>PASTORE PATRICIA ANNE O'LAUGHLIN</t>
  </si>
  <si>
    <t>PORTER LISA</t>
  </si>
  <si>
    <t>E0455494</t>
  </si>
  <si>
    <t>PORTER LISA RYAN</t>
  </si>
  <si>
    <t>KOENIGSBERG MARLON</t>
  </si>
  <si>
    <t>E0206699</t>
  </si>
  <si>
    <t>KOENIGSBERG MARLON RUSSELL</t>
  </si>
  <si>
    <t>LAZAR FAMILY MED CTR</t>
  </si>
  <si>
    <t>ANDERSON ANN</t>
  </si>
  <si>
    <t>E0367544</t>
  </si>
  <si>
    <t>BLICHARZ ANN N</t>
  </si>
  <si>
    <t>ANDERSON ANN N</t>
  </si>
  <si>
    <t>BRUBAKER DAVID</t>
  </si>
  <si>
    <t>E0123432</t>
  </si>
  <si>
    <t>BRUBAKER DAVID A MD</t>
  </si>
  <si>
    <t>OLEAN GEN HOSPITAL</t>
  </si>
  <si>
    <t>DELANG EDDO DR.</t>
  </si>
  <si>
    <t>E0165043</t>
  </si>
  <si>
    <t>DE LANG EDDO</t>
  </si>
  <si>
    <t>134 HOMER AVE</t>
  </si>
  <si>
    <t>CORTLAND</t>
  </si>
  <si>
    <t>DEYOE TAMMIE MS.</t>
  </si>
  <si>
    <t>E0351988</t>
  </si>
  <si>
    <t>DEYOE TAMMIE LYNN</t>
  </si>
  <si>
    <t>305 E FAIRMOUNT AVE UNIT 7</t>
  </si>
  <si>
    <t>FERRELL JOSHUA</t>
  </si>
  <si>
    <t>E0442935</t>
  </si>
  <si>
    <t>FERRELL JOSHUA CHARLES</t>
  </si>
  <si>
    <t>MEKA NAGA</t>
  </si>
  <si>
    <t>E0445121</t>
  </si>
  <si>
    <t>MEKA NAGA PURNACHAND</t>
  </si>
  <si>
    <t>SMITH GINA</t>
  </si>
  <si>
    <t>E0427912</t>
  </si>
  <si>
    <t>SMITH GINA M</t>
  </si>
  <si>
    <t>WOOLSEY MATTHEW</t>
  </si>
  <si>
    <t>E0194735</t>
  </si>
  <si>
    <t>WOOLSEY MATTHEW WARREN    DDS</t>
  </si>
  <si>
    <t>WOOLSEY MATTHEW W</t>
  </si>
  <si>
    <t>601 B WEST WASHINGTON ST</t>
  </si>
  <si>
    <t>GENEVA</t>
  </si>
  <si>
    <t>ALICANDRI DARREN DR.</t>
  </si>
  <si>
    <t>E0058090</t>
  </si>
  <si>
    <t>ALICANDRI DARREN A MD</t>
  </si>
  <si>
    <t>SULLIVAN ERIN</t>
  </si>
  <si>
    <t>E0432374</t>
  </si>
  <si>
    <t>FINVER TORIN DR.</t>
  </si>
  <si>
    <t>E0072217</t>
  </si>
  <si>
    <t>FINVER TORIN JONATHAN MD</t>
  </si>
  <si>
    <t>FINVER TORIN JONATHAN</t>
  </si>
  <si>
    <t>ASRIBEKOVA ANNA</t>
  </si>
  <si>
    <t>E0445163</t>
  </si>
  <si>
    <t>TEDESCO COLIN</t>
  </si>
  <si>
    <t>E0432392</t>
  </si>
  <si>
    <t>TEDESCO COLIN JOSEPH</t>
  </si>
  <si>
    <t>Wyoming County Mental Health Department</t>
  </si>
  <si>
    <t>Nancy Balbick</t>
  </si>
  <si>
    <t>(585) 786-8871</t>
  </si>
  <si>
    <t>nbalbick@wyomingco.net</t>
  </si>
  <si>
    <t>Community Psychiatric Support and Treatment (CPST)</t>
  </si>
  <si>
    <t>460 N. Main Street</t>
  </si>
  <si>
    <t>Buffalo Municipal Housing Authority</t>
  </si>
  <si>
    <t>Dawn Sanders-Garrett</t>
  </si>
  <si>
    <t>(716) 853-6711</t>
  </si>
  <si>
    <t>dsanders@bmhahousing.org</t>
  </si>
  <si>
    <t>300 Perry</t>
  </si>
  <si>
    <t>American Heart Association</t>
  </si>
  <si>
    <t>Nina Lenhard</t>
  </si>
  <si>
    <t>(716) 243-4603</t>
  </si>
  <si>
    <t>nina.lenhard@heart.org</t>
  </si>
  <si>
    <t>5488 Sheridan Dr., Apt. 300</t>
  </si>
  <si>
    <t>BROOKS MEMORIAL HOSPITAL</t>
  </si>
  <si>
    <t>E0261091</t>
  </si>
  <si>
    <t>CAMPBELL-JULIEN SHERYL MRS.</t>
  </si>
  <si>
    <t>E0422674</t>
  </si>
  <si>
    <t>CAMPBELL-JULIEN SHERYL ANTOINETT</t>
  </si>
  <si>
    <t>CARRIERE PHILIP DR.</t>
  </si>
  <si>
    <t>E0450040</t>
  </si>
  <si>
    <t>CARRIERE PHILIP JOHN</t>
  </si>
  <si>
    <t>GERSAPPE VRUSHALI</t>
  </si>
  <si>
    <t>E0003356</t>
  </si>
  <si>
    <t>GERSAPPE VRUSHALI ANAND</t>
  </si>
  <si>
    <t>6105 TRANSIT RD</t>
  </si>
  <si>
    <t>VASCUSCRIPT INC</t>
  </si>
  <si>
    <t>E0295957</t>
  </si>
  <si>
    <t>Scott Monte</t>
  </si>
  <si>
    <t>(716) 247-5300</t>
  </si>
  <si>
    <t>scott.monte@mpswny.com</t>
  </si>
  <si>
    <t>2470 WALDEN AVE STE 2400</t>
  </si>
  <si>
    <t>BIELINSKI JOHN MR.</t>
  </si>
  <si>
    <t>E0065967</t>
  </si>
  <si>
    <t>BIELINSKI JOHN JR RPA</t>
  </si>
  <si>
    <t>BIELINSKI JOHN JR  RPA</t>
  </si>
  <si>
    <t>156 WEST AVE</t>
  </si>
  <si>
    <t>COUGHLIN THOMAS</t>
  </si>
  <si>
    <t>E0318630</t>
  </si>
  <si>
    <t>COUGHLIN THOMAS RICHARD JR</t>
  </si>
  <si>
    <t>ELLIE CARMEN DR.</t>
  </si>
  <si>
    <t>E0151250</t>
  </si>
  <si>
    <t>ELLIE C JAY MD</t>
  </si>
  <si>
    <t>MIDDLE ROAD</t>
  </si>
  <si>
    <t>SODUS</t>
  </si>
  <si>
    <t>RUIZ VERONICA</t>
  </si>
  <si>
    <t>E0159842</t>
  </si>
  <si>
    <t>RUIZ VERONICA MD</t>
  </si>
  <si>
    <t>BROOKLYN EMERG SRVS</t>
  </si>
  <si>
    <t>VANDUZER WILLIAM</t>
  </si>
  <si>
    <t>E0071184</t>
  </si>
  <si>
    <t>VANDUZER WILLIAM LEWIS RPA</t>
  </si>
  <si>
    <t>DIVENCENZO ROBERT</t>
  </si>
  <si>
    <t>E0165726</t>
  </si>
  <si>
    <t>DIVENCENZO ROBERT F MD</t>
  </si>
  <si>
    <t>HANNA DEAN DR.</t>
  </si>
  <si>
    <t>E0291051</t>
  </si>
  <si>
    <t>DEAN HANNA MD</t>
  </si>
  <si>
    <t>HANNA DEAN JOHN MD</t>
  </si>
  <si>
    <t>KUNDULA SRIDHAR DR.</t>
  </si>
  <si>
    <t>E0450461</t>
  </si>
  <si>
    <t>KUNDULA SRIDHAR</t>
  </si>
  <si>
    <t>PATEL RAJIV DR.</t>
  </si>
  <si>
    <t>E0371603</t>
  </si>
  <si>
    <t>PATEL RAJIV A</t>
  </si>
  <si>
    <t>1500 N JAMES ST</t>
  </si>
  <si>
    <t>ROME</t>
  </si>
  <si>
    <t>BHATTI MANSIMRAN MR.</t>
  </si>
  <si>
    <t>Physician</t>
  </si>
  <si>
    <t>462 GRIDER ST.</t>
  </si>
  <si>
    <t>DIAB MICHAEL MR.</t>
  </si>
  <si>
    <t>GORIL SHERY DR.</t>
  </si>
  <si>
    <t>77 GOODELL ST SUITE 240T</t>
  </si>
  <si>
    <t>JAWAID FAHAD DR.</t>
  </si>
  <si>
    <t>77 GOODELL ST, SECOND FLOOR, SUITE 240T</t>
  </si>
  <si>
    <t>JOH JU DR.</t>
  </si>
  <si>
    <t>77 GOODELL ST, SUITE 240 T</t>
  </si>
  <si>
    <t>KAPUR NEERU</t>
  </si>
  <si>
    <t>77 GOODELL ST, SUITE 240T</t>
  </si>
  <si>
    <t>KHAN USMAN</t>
  </si>
  <si>
    <t>MAJITHIA SHYAMAL DR.</t>
  </si>
  <si>
    <t>MEHTA AJAY DR.</t>
  </si>
  <si>
    <t>77 GOODELL ST., SUITE 240T</t>
  </si>
  <si>
    <t>NADARAJAH SHARON MS.</t>
  </si>
  <si>
    <t>OGLE CHANTAL MS.</t>
  </si>
  <si>
    <t>ORELLANA MARIA</t>
  </si>
  <si>
    <t>77 GOODELL ST, SUITES 220 AND 240</t>
  </si>
  <si>
    <t>RICHLI MEGHAN</t>
  </si>
  <si>
    <t>SOHAL MANVIR</t>
  </si>
  <si>
    <t>STRIKE DARIUS DR.</t>
  </si>
  <si>
    <t>DESBORDES KADIE</t>
  </si>
  <si>
    <t>Other Practitioners</t>
  </si>
  <si>
    <t>430 NIAGARA</t>
  </si>
  <si>
    <t>HISPANOS UNIDOS DE BUFFALO</t>
  </si>
  <si>
    <t>E0126349</t>
  </si>
  <si>
    <t>HISPANICS UNITED/BUFFALO HCBS</t>
  </si>
  <si>
    <t>Eugenio Russi</t>
  </si>
  <si>
    <t>HISPANOS UNIDOS DE BUFFALO INC</t>
  </si>
  <si>
    <t>ZEWE ROBERT DR.</t>
  </si>
  <si>
    <t>E0290551</t>
  </si>
  <si>
    <t>ZEWE ROBERT RICHARD MD</t>
  </si>
  <si>
    <t>ZEWE ROBERT RICHARD DO</t>
  </si>
  <si>
    <t>201 STATE ST</t>
  </si>
  <si>
    <t>ERIE</t>
  </si>
  <si>
    <t>WRONECKI MARK</t>
  </si>
  <si>
    <t>E0049625</t>
  </si>
  <si>
    <t>WRONECKI MARK D RPA</t>
  </si>
  <si>
    <t>LEE SUNYOUNG DR.</t>
  </si>
  <si>
    <t>Universal Primary Care Houghton (Southern Tier Community Health Center Network)</t>
  </si>
  <si>
    <t>(716) 375-7500</t>
  </si>
  <si>
    <t>GSpeedy@upchealth.net</t>
  </si>
  <si>
    <t>Missing Non Medicaid Provider Type</t>
  </si>
  <si>
    <t>Universal Primary Care Olean (Southern Tier Community Health Center Network)</t>
  </si>
  <si>
    <t>Universal Primary Care Cuba (Southern Tier Community Health Center Network)</t>
  </si>
  <si>
    <t>1881721611</t>
  </si>
  <si>
    <t>1063549889</t>
  </si>
  <si>
    <t>1558406009</t>
  </si>
  <si>
    <t>1508993320</t>
  </si>
  <si>
    <t>1417084237</t>
  </si>
  <si>
    <t>1235266057</t>
  </si>
  <si>
    <t>1518094333</t>
  </si>
  <si>
    <t>1144357963</t>
  </si>
  <si>
    <t>1528195344</t>
  </si>
  <si>
    <t>1558423350</t>
  </si>
  <si>
    <t>1386632628</t>
  </si>
  <si>
    <t>1124089859</t>
  </si>
  <si>
    <t>1467725101</t>
  </si>
  <si>
    <t>1306119078</t>
  </si>
  <si>
    <t>1013280759</t>
  </si>
  <si>
    <t>1205109949</t>
  </si>
  <si>
    <t>1053684720</t>
  </si>
  <si>
    <t>1891068532</t>
  </si>
  <si>
    <t>1467725168</t>
  </si>
  <si>
    <t>1831195270</t>
  </si>
  <si>
    <t>1194715870</t>
  </si>
  <si>
    <t>1235116286</t>
  </si>
  <si>
    <t>1194857292</t>
  </si>
  <si>
    <t>1700944998</t>
  </si>
  <si>
    <t>1871553537</t>
  </si>
  <si>
    <t>1194702506</t>
  </si>
  <si>
    <t>1437365129</t>
  </si>
  <si>
    <t>1093980856</t>
  </si>
  <si>
    <t>ECMC</t>
  </si>
  <si>
    <t>Healthy Community Alliance, Inc.</t>
  </si>
  <si>
    <t>N</t>
  </si>
  <si>
    <t>McGuire Group</t>
  </si>
  <si>
    <t>Buffalo Psychiatric Center</t>
  </si>
  <si>
    <t>Other (Safety Net PPS)</t>
  </si>
  <si>
    <t>Catholic Medical Partners (Community Partners of Western New York)</t>
  </si>
  <si>
    <t>UB Family Medicine</t>
  </si>
  <si>
    <t>Chautauqua Alcoholism and Substance Abuse Council</t>
  </si>
  <si>
    <t>ECCPASA</t>
  </si>
  <si>
    <t>Genesee County CASA for Children</t>
  </si>
  <si>
    <t>Genesee/Orleans Council</t>
  </si>
  <si>
    <t>Northpointe Council</t>
  </si>
  <si>
    <t>WNY United Against Drugs &amp; Alcohol Abuse</t>
  </si>
  <si>
    <t>Humboldt House</t>
  </si>
  <si>
    <t>Summit Pediatrics PC</t>
  </si>
  <si>
    <t>Newfane Rehabilitation and Health Care Center</t>
  </si>
  <si>
    <t>Olean Medical Group LLP</t>
  </si>
  <si>
    <t>Main Buffalo Pediatrics LLP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</si>
</sst>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6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12" applyNumberFormat="0" applyAlignment="0" applyProtection="0"/>
    <xf numFmtId="0" fontId="12" fillId="10" borderId="13" applyNumberFormat="0" applyAlignment="0" applyProtection="0"/>
    <xf numFmtId="0" fontId="13" fillId="10" borderId="12" applyNumberFormat="0" applyAlignment="0" applyProtection="0"/>
    <xf numFmtId="0" fontId="14" fillId="0" borderId="14" applyNumberFormat="0" applyFill="0" applyAlignment="0" applyProtection="0"/>
    <xf numFmtId="0" fontId="2" fillId="11" borderId="15" applyNumberFormat="0" applyAlignment="0" applyProtection="0"/>
    <xf numFmtId="0" fontId="15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16" fillId="0" borderId="0" applyNumberFormat="0" applyFill="0" applyBorder="0" applyAlignment="0" applyProtection="0"/>
    <xf numFmtId="0" fontId="3" fillId="0" borderId="17" applyNumberFormat="0" applyFill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3" fontId="0" fillId="0" borderId="0" xfId="0" applyNumberFormat="1"/>
    <xf numFmtId="44" fontId="0" fillId="3" borderId="1" xfId="0" applyNumberForma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NumberFormat="1" applyFill="1" applyBorder="1"/>
    <xf numFmtId="49" fontId="0" fillId="0" borderId="1" xfId="0" applyNumberFormat="1" applyBorder="1" applyAlignment="1">
      <alignment wrapText="1"/>
    </xf>
    <xf numFmtId="0" fontId="0" fillId="3" borderId="18" xfId="0" applyFill="1" applyBorder="1"/>
    <xf numFmtId="0" fontId="0" fillId="0" borderId="4" xfId="0" applyBorder="1"/>
    <xf numFmtId="0" fontId="0" fillId="0" borderId="4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8" fillId="0" borderId="1" xfId="0" applyNumberFormat="1" applyFont="1" applyFill="1" applyBorder="1"/>
    <xf numFmtId="0" fontId="0" fillId="0" borderId="0" xfId="0" applyBorder="1"/>
    <xf numFmtId="0" fontId="18" fillId="0" borderId="4" xfId="0" applyFont="1" applyFill="1" applyBorder="1"/>
    <xf numFmtId="49" fontId="0" fillId="0" borderId="0" xfId="0" applyNumberFormat="1" applyBorder="1" applyAlignment="1">
      <alignment wrapText="1"/>
    </xf>
    <xf numFmtId="0" fontId="0" fillId="0" borderId="1" xfId="0" applyFill="1" applyBorder="1"/>
    <xf numFmtId="0" fontId="0" fillId="0" borderId="0" xfId="0" applyNumberFormat="1" applyBorder="1"/>
    <xf numFmtId="164" fontId="0" fillId="0" borderId="1" xfId="0" applyNumberFormat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/>
  </sheetViews>
  <sheetFormatPr defaultRowHeight="15" x14ac:dyDescent="0.25"/>
  <cols>
    <col min="1" max="1" width="50.28515625" bestFit="1" customWidth="1"/>
    <col min="2" max="2" width="1.28515625" customWidth="1"/>
    <col min="3" max="3" width="14.140625" bestFit="1" customWidth="1"/>
    <col min="4" max="4" width="13.42578125" customWidth="1"/>
    <col min="5" max="5" width="14.140625" bestFit="1" customWidth="1"/>
    <col min="6" max="6" width="1.28515625" customWidth="1"/>
    <col min="7" max="9" width="13.42578125" customWidth="1"/>
  </cols>
  <sheetData>
    <row r="1" spans="1:9" x14ac:dyDescent="0.25">
      <c r="A1" s="1" t="s">
        <v>0</v>
      </c>
    </row>
    <row r="3" spans="1:9" x14ac:dyDescent="0.25">
      <c r="A3" s="40" t="s">
        <v>1</v>
      </c>
      <c r="B3" s="8"/>
      <c r="C3" s="39" t="s">
        <v>2</v>
      </c>
      <c r="D3" s="39"/>
      <c r="E3" s="39"/>
      <c r="F3" s="39"/>
      <c r="G3" s="39"/>
      <c r="H3" s="39"/>
      <c r="I3" s="39"/>
    </row>
    <row r="4" spans="1:9" ht="60" x14ac:dyDescent="0.25">
      <c r="A4" s="40"/>
      <c r="B4" s="8"/>
      <c r="C4" s="20" t="s">
        <v>3</v>
      </c>
      <c r="D4" s="20" t="s">
        <v>4</v>
      </c>
      <c r="E4" s="20" t="s">
        <v>5</v>
      </c>
      <c r="F4" s="8"/>
      <c r="G4" s="20" t="s">
        <v>6</v>
      </c>
      <c r="H4" s="20" t="s">
        <v>7</v>
      </c>
      <c r="I4" s="20" t="s">
        <v>8</v>
      </c>
    </row>
    <row r="5" spans="1:9" x14ac:dyDescent="0.25">
      <c r="A5" s="2" t="s">
        <v>9</v>
      </c>
      <c r="B5" s="8"/>
      <c r="C5" s="4">
        <f>'Funds Flow - Partner Detail'!H23</f>
        <v>1136314</v>
      </c>
      <c r="D5" s="4">
        <f>'Funds Flow - Partner Detail'!I23</f>
        <v>0</v>
      </c>
      <c r="E5" s="4">
        <f>C5+D5</f>
        <v>1136314</v>
      </c>
      <c r="F5" s="8"/>
      <c r="G5" s="5">
        <f t="shared" ref="G5:G23" si="0">IF(C5&gt;0,C5/$C$24,0)</f>
        <v>0.1557156459918691</v>
      </c>
      <c r="H5" s="5">
        <f t="shared" ref="H5:H23" si="1">IF(D5&gt;0,D5/$D$24,0)</f>
        <v>0</v>
      </c>
      <c r="I5" s="5">
        <f t="shared" ref="I5:I23" si="2">IF(E5&gt;0,E5/$E$24,0)</f>
        <v>0.1557156459918691</v>
      </c>
    </row>
    <row r="6" spans="1:9" x14ac:dyDescent="0.25">
      <c r="A6" s="2" t="s">
        <v>10</v>
      </c>
      <c r="B6" s="8"/>
      <c r="C6" s="4">
        <f>'Funds Flow - Partner Detail'!H29</f>
        <v>0</v>
      </c>
      <c r="D6" s="4">
        <f>'Funds Flow - Partner Detail'!I29</f>
        <v>0</v>
      </c>
      <c r="E6" s="4">
        <f t="shared" ref="E6:E23" si="3">C6+D6</f>
        <v>0</v>
      </c>
      <c r="F6" s="8"/>
      <c r="G6" s="5">
        <f t="shared" si="0"/>
        <v>0</v>
      </c>
      <c r="H6" s="5">
        <f t="shared" si="1"/>
        <v>0</v>
      </c>
      <c r="I6" s="5">
        <f t="shared" si="2"/>
        <v>0</v>
      </c>
    </row>
    <row r="7" spans="1:9" x14ac:dyDescent="0.25">
      <c r="A7" s="2" t="s">
        <v>11</v>
      </c>
      <c r="B7" s="8"/>
      <c r="C7" s="4">
        <f>'Funds Flow - Partner Detail'!H38</f>
        <v>947041.37</v>
      </c>
      <c r="D7" s="4">
        <f>'Funds Flow - Partner Detail'!I38</f>
        <v>0</v>
      </c>
      <c r="E7" s="4">
        <f t="shared" si="3"/>
        <v>947041.37</v>
      </c>
      <c r="F7" s="8"/>
      <c r="G7" s="5">
        <f t="shared" si="0"/>
        <v>0.1297785283914259</v>
      </c>
      <c r="H7" s="5">
        <f t="shared" si="1"/>
        <v>0</v>
      </c>
      <c r="I7" s="5">
        <f t="shared" si="2"/>
        <v>0.1297785283914259</v>
      </c>
    </row>
    <row r="8" spans="1:9" x14ac:dyDescent="0.25">
      <c r="A8" s="2" t="s">
        <v>12</v>
      </c>
      <c r="B8" s="8"/>
      <c r="C8" s="4">
        <f>'Funds Flow - Partner Detail'!H47</f>
        <v>456606</v>
      </c>
      <c r="D8" s="4">
        <f>'Funds Flow - Partner Detail'!I47</f>
        <v>0</v>
      </c>
      <c r="E8" s="4">
        <f t="shared" si="3"/>
        <v>456606</v>
      </c>
      <c r="F8" s="8"/>
      <c r="G8" s="5">
        <f t="shared" si="0"/>
        <v>6.2571347579774061E-2</v>
      </c>
      <c r="H8" s="5">
        <f t="shared" si="1"/>
        <v>0</v>
      </c>
      <c r="I8" s="5">
        <f t="shared" si="2"/>
        <v>6.2571347579774061E-2</v>
      </c>
    </row>
    <row r="9" spans="1:9" x14ac:dyDescent="0.25">
      <c r="A9" s="2" t="s">
        <v>13</v>
      </c>
      <c r="B9" s="8"/>
      <c r="C9" s="4">
        <f>'Funds Flow - Partner Detail'!H52</f>
        <v>0</v>
      </c>
      <c r="D9" s="4">
        <f>'Funds Flow - Partner Detail'!I52</f>
        <v>0</v>
      </c>
      <c r="E9" s="4">
        <f t="shared" si="3"/>
        <v>0</v>
      </c>
      <c r="F9" s="8"/>
      <c r="G9" s="5">
        <f t="shared" si="0"/>
        <v>0</v>
      </c>
      <c r="H9" s="5">
        <f t="shared" si="1"/>
        <v>0</v>
      </c>
      <c r="I9" s="5">
        <f t="shared" si="2"/>
        <v>0</v>
      </c>
    </row>
    <row r="10" spans="1:9" x14ac:dyDescent="0.25">
      <c r="A10" s="2" t="s">
        <v>14</v>
      </c>
      <c r="B10" s="8"/>
      <c r="C10" s="4">
        <f>'Funds Flow - Partner Detail'!H71</f>
        <v>667743</v>
      </c>
      <c r="D10" s="4">
        <f>'Funds Flow - Partner Detail'!I71</f>
        <v>0</v>
      </c>
      <c r="E10" s="4">
        <f t="shared" si="3"/>
        <v>667743</v>
      </c>
      <c r="F10" s="8"/>
      <c r="G10" s="5">
        <f t="shared" si="0"/>
        <v>9.1504665613156802E-2</v>
      </c>
      <c r="H10" s="5">
        <f t="shared" si="1"/>
        <v>0</v>
      </c>
      <c r="I10" s="5">
        <f t="shared" si="2"/>
        <v>9.1504665613156802E-2</v>
      </c>
    </row>
    <row r="11" spans="1:9" x14ac:dyDescent="0.25">
      <c r="A11" s="2" t="s">
        <v>15</v>
      </c>
      <c r="B11" s="8"/>
      <c r="C11" s="4">
        <f>'Funds Flow - Partner Detail'!H76</f>
        <v>0</v>
      </c>
      <c r="D11" s="4">
        <f>'Funds Flow - Partner Detail'!I76</f>
        <v>0</v>
      </c>
      <c r="E11" s="4">
        <f t="shared" si="3"/>
        <v>0</v>
      </c>
      <c r="F11" s="8"/>
      <c r="G11" s="5">
        <f t="shared" si="0"/>
        <v>0</v>
      </c>
      <c r="H11" s="5">
        <f t="shared" si="1"/>
        <v>0</v>
      </c>
      <c r="I11" s="5">
        <f t="shared" si="2"/>
        <v>0</v>
      </c>
    </row>
    <row r="12" spans="1:9" x14ac:dyDescent="0.25">
      <c r="A12" s="2" t="s">
        <v>16</v>
      </c>
      <c r="B12" s="8"/>
      <c r="C12" s="4">
        <f>'Funds Flow - Partner Detail'!H81</f>
        <v>0</v>
      </c>
      <c r="D12" s="4">
        <f>'Funds Flow - Partner Detail'!I81</f>
        <v>0</v>
      </c>
      <c r="E12" s="4">
        <f t="shared" si="3"/>
        <v>0</v>
      </c>
      <c r="F12" s="8"/>
      <c r="G12" s="5">
        <f t="shared" si="0"/>
        <v>0</v>
      </c>
      <c r="H12" s="5">
        <f t="shared" si="1"/>
        <v>0</v>
      </c>
      <c r="I12" s="5">
        <f t="shared" si="2"/>
        <v>0</v>
      </c>
    </row>
    <row r="13" spans="1:9" x14ac:dyDescent="0.25">
      <c r="A13" s="2" t="s">
        <v>17</v>
      </c>
      <c r="B13" s="8"/>
      <c r="C13" s="4">
        <f>'Funds Flow - Partner Detail'!H86</f>
        <v>0</v>
      </c>
      <c r="D13" s="4">
        <f>'Funds Flow - Partner Detail'!I86</f>
        <v>0</v>
      </c>
      <c r="E13" s="4">
        <f t="shared" si="3"/>
        <v>0</v>
      </c>
      <c r="F13" s="8"/>
      <c r="G13" s="5">
        <f t="shared" si="0"/>
        <v>0</v>
      </c>
      <c r="H13" s="5">
        <f t="shared" si="1"/>
        <v>0</v>
      </c>
      <c r="I13" s="5">
        <f t="shared" si="2"/>
        <v>0</v>
      </c>
    </row>
    <row r="14" spans="1:9" x14ac:dyDescent="0.25">
      <c r="A14" s="2" t="s">
        <v>18</v>
      </c>
      <c r="B14" s="8"/>
      <c r="C14" s="4">
        <f>'Funds Flow - Partner Detail'!H96</f>
        <v>421006.45</v>
      </c>
      <c r="D14" s="4">
        <f>'Funds Flow - Partner Detail'!I96</f>
        <v>0</v>
      </c>
      <c r="E14" s="4">
        <f t="shared" si="3"/>
        <v>421006.45</v>
      </c>
      <c r="F14" s="8"/>
      <c r="G14" s="5">
        <f t="shared" si="0"/>
        <v>5.7692936396536117E-2</v>
      </c>
      <c r="H14" s="5">
        <f t="shared" si="1"/>
        <v>0</v>
      </c>
      <c r="I14" s="5">
        <f t="shared" si="2"/>
        <v>5.7692936396536117E-2</v>
      </c>
    </row>
    <row r="15" spans="1:9" x14ac:dyDescent="0.25">
      <c r="A15" s="2" t="s">
        <v>19</v>
      </c>
      <c r="B15" s="8"/>
      <c r="C15" s="4">
        <f>'Funds Flow - Partner Detail'!H138</f>
        <v>474139</v>
      </c>
      <c r="D15" s="4">
        <f>'Funds Flow - Partner Detail'!I138</f>
        <v>0</v>
      </c>
      <c r="E15" s="4">
        <f t="shared" si="3"/>
        <v>474139</v>
      </c>
      <c r="F15" s="8"/>
      <c r="G15" s="5">
        <f t="shared" si="0"/>
        <v>6.4973995458067771E-2</v>
      </c>
      <c r="H15" s="5">
        <f t="shared" si="1"/>
        <v>0</v>
      </c>
      <c r="I15" s="5">
        <f t="shared" si="2"/>
        <v>6.4973995458067771E-2</v>
      </c>
    </row>
    <row r="16" spans="1:9" x14ac:dyDescent="0.25">
      <c r="A16" s="2" t="s">
        <v>20</v>
      </c>
      <c r="B16" s="8"/>
      <c r="C16" s="4">
        <f>'Funds Flow - Partner Detail'!H143</f>
        <v>0</v>
      </c>
      <c r="D16" s="4">
        <f>'Funds Flow - Partner Detail'!I143</f>
        <v>0</v>
      </c>
      <c r="E16" s="4">
        <f t="shared" si="3"/>
        <v>0</v>
      </c>
      <c r="F16" s="8"/>
      <c r="G16" s="5">
        <f t="shared" si="0"/>
        <v>0</v>
      </c>
      <c r="H16" s="5">
        <f t="shared" si="1"/>
        <v>0</v>
      </c>
      <c r="I16" s="5">
        <f t="shared" si="2"/>
        <v>0</v>
      </c>
    </row>
    <row r="17" spans="1:9" x14ac:dyDescent="0.25">
      <c r="A17" s="2" t="s">
        <v>21</v>
      </c>
      <c r="B17" s="8"/>
      <c r="C17" s="4">
        <f>'Funds Flow - Partner Detail'!H148</f>
        <v>0</v>
      </c>
      <c r="D17" s="4">
        <f>'Funds Flow - Partner Detail'!I148</f>
        <v>0</v>
      </c>
      <c r="E17" s="4">
        <f t="shared" si="3"/>
        <v>0</v>
      </c>
      <c r="F17" s="8"/>
      <c r="G17" s="5">
        <f t="shared" si="0"/>
        <v>0</v>
      </c>
      <c r="H17" s="5">
        <f t="shared" si="1"/>
        <v>0</v>
      </c>
      <c r="I17" s="5">
        <f t="shared" si="2"/>
        <v>0</v>
      </c>
    </row>
    <row r="18" spans="1:9" x14ac:dyDescent="0.25">
      <c r="A18" s="2" t="s">
        <v>22</v>
      </c>
      <c r="B18" s="8"/>
      <c r="C18" s="4">
        <f>'Funds Flow - Partner Detail'!H157</f>
        <v>141741</v>
      </c>
      <c r="D18" s="4">
        <f>'Funds Flow - Partner Detail'!I157</f>
        <v>0</v>
      </c>
      <c r="E18" s="4">
        <f t="shared" si="3"/>
        <v>141741</v>
      </c>
      <c r="F18" s="8"/>
      <c r="G18" s="5">
        <f t="shared" si="0"/>
        <v>1.9423584835295101E-2</v>
      </c>
      <c r="H18" s="5">
        <f t="shared" si="1"/>
        <v>0</v>
      </c>
      <c r="I18" s="5">
        <f t="shared" si="2"/>
        <v>1.9423584835295101E-2</v>
      </c>
    </row>
    <row r="19" spans="1:9" x14ac:dyDescent="0.25">
      <c r="A19" s="2" t="s">
        <v>23</v>
      </c>
      <c r="B19" s="8"/>
      <c r="C19" s="4">
        <v>2592376.88</v>
      </c>
      <c r="D19" s="4"/>
      <c r="E19" s="4">
        <f t="shared" si="3"/>
        <v>2592376.88</v>
      </c>
      <c r="F19" s="8"/>
      <c r="G19" s="5">
        <f t="shared" si="0"/>
        <v>0.35524832090741304</v>
      </c>
      <c r="H19" s="5">
        <f t="shared" si="1"/>
        <v>0</v>
      </c>
      <c r="I19" s="5">
        <f t="shared" si="2"/>
        <v>0.35524832090741304</v>
      </c>
    </row>
    <row r="20" spans="1:9" x14ac:dyDescent="0.25">
      <c r="A20" s="2" t="s">
        <v>24</v>
      </c>
      <c r="B20" s="8"/>
      <c r="C20" s="4">
        <f>'Funds Flow - Partner Detail'!H162</f>
        <v>0</v>
      </c>
      <c r="D20" s="4">
        <f>'Funds Flow - Partner Detail'!I162</f>
        <v>0</v>
      </c>
      <c r="E20" s="4">
        <f t="shared" si="3"/>
        <v>0</v>
      </c>
      <c r="F20" s="8"/>
      <c r="G20" s="5">
        <f t="shared" si="0"/>
        <v>0</v>
      </c>
      <c r="H20" s="5">
        <f t="shared" si="1"/>
        <v>0</v>
      </c>
      <c r="I20" s="5">
        <f t="shared" si="2"/>
        <v>0</v>
      </c>
    </row>
    <row r="21" spans="1:9" x14ac:dyDescent="0.25">
      <c r="A21" s="2" t="str">
        <f>'Funds Flow - Partner Detail'!A163</f>
        <v>Other (Safety Net PPS)</v>
      </c>
      <c r="B21" s="8"/>
      <c r="C21" s="4">
        <f>'Funds Flow - Partner Detail'!H170</f>
        <v>460397.91</v>
      </c>
      <c r="D21" s="4">
        <f>'Funds Flow - Partner Detail'!I170</f>
        <v>0</v>
      </c>
      <c r="E21" s="4">
        <f t="shared" ref="E21" si="4">C21+D21</f>
        <v>460397.91</v>
      </c>
      <c r="F21" s="8"/>
      <c r="G21" s="5">
        <f t="shared" si="0"/>
        <v>6.309097482646206E-2</v>
      </c>
      <c r="H21" s="5">
        <f t="shared" si="1"/>
        <v>0</v>
      </c>
      <c r="I21" s="5">
        <f t="shared" si="2"/>
        <v>6.309097482646206E-2</v>
      </c>
    </row>
    <row r="22" spans="1:9" x14ac:dyDescent="0.25">
      <c r="A22" s="2" t="s">
        <v>25</v>
      </c>
      <c r="B22" s="8"/>
      <c r="C22" s="4">
        <f>'Funds Flow - Partner Detail'!H175</f>
        <v>0</v>
      </c>
      <c r="D22" s="4">
        <f>'Funds Flow - Partner Detail'!I175</f>
        <v>0</v>
      </c>
      <c r="E22" s="4">
        <f t="shared" si="3"/>
        <v>0</v>
      </c>
      <c r="F22" s="8"/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9" x14ac:dyDescent="0.25">
      <c r="A23" s="2" t="s">
        <v>25</v>
      </c>
      <c r="B23" s="8"/>
      <c r="C23" s="4">
        <f>'Funds Flow - Partner Detail'!H180</f>
        <v>0</v>
      </c>
      <c r="D23" s="4">
        <f>'Funds Flow - Partner Detail'!I180</f>
        <v>0</v>
      </c>
      <c r="E23" s="4">
        <f t="shared" si="3"/>
        <v>0</v>
      </c>
      <c r="F23" s="8"/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9" x14ac:dyDescent="0.25">
      <c r="A24" s="3" t="s">
        <v>26</v>
      </c>
      <c r="B24" s="8"/>
      <c r="C24" s="6">
        <f>SUM(C5:C23)</f>
        <v>7297365.6100000003</v>
      </c>
      <c r="D24" s="6">
        <f t="shared" ref="D24:E24" si="5">SUM(D5:D23)</f>
        <v>0</v>
      </c>
      <c r="E24" s="6">
        <f t="shared" si="5"/>
        <v>7297365.6100000003</v>
      </c>
      <c r="F24" s="8"/>
      <c r="G24" s="7">
        <f>SUM(G5:G23)</f>
        <v>1</v>
      </c>
      <c r="H24" s="7">
        <f t="shared" ref="H24:I24" si="6">SUM(H5:H23)</f>
        <v>0</v>
      </c>
      <c r="I24" s="7">
        <f t="shared" si="6"/>
        <v>1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"/>
  <sheetViews>
    <sheetView zoomScale="85" zoomScaleNormal="85" workbookViewId="0">
      <selection activeCell="B1" sqref="B1:C1048576"/>
    </sheetView>
  </sheetViews>
  <sheetFormatPr defaultRowHeight="15" x14ac:dyDescent="0.25"/>
  <cols>
    <col min="1" max="1" width="32" bestFit="1" customWidth="1"/>
    <col min="2" max="3" width="13.42578125" hidden="1" customWidth="1"/>
    <col min="4" max="4" width="62.85546875" bestFit="1" customWidth="1"/>
    <col min="5" max="5" width="9.85546875" bestFit="1" customWidth="1"/>
    <col min="6" max="6" width="48.140625" customWidth="1"/>
    <col min="7" max="7" width="1.28515625" customWidth="1"/>
    <col min="8" max="8" width="14.28515625" bestFit="1" customWidth="1"/>
    <col min="9" max="9" width="13.42578125" customWidth="1"/>
    <col min="10" max="10" width="15" bestFit="1" customWidth="1"/>
  </cols>
  <sheetData>
    <row r="1" spans="1:10" x14ac:dyDescent="0.25">
      <c r="A1" s="1" t="s">
        <v>27</v>
      </c>
    </row>
    <row r="3" spans="1:10" x14ac:dyDescent="0.25">
      <c r="A3" s="2"/>
      <c r="B3" s="41" t="s">
        <v>28</v>
      </c>
      <c r="C3" s="42"/>
      <c r="D3" s="42"/>
      <c r="E3" s="42"/>
      <c r="F3" s="44"/>
      <c r="G3" s="2"/>
      <c r="H3" s="41" t="s">
        <v>29</v>
      </c>
      <c r="I3" s="42"/>
      <c r="J3" s="44"/>
    </row>
    <row r="4" spans="1:10" ht="45" x14ac:dyDescent="0.25">
      <c r="A4" s="20"/>
      <c r="B4" s="20" t="s">
        <v>30</v>
      </c>
      <c r="C4" s="20" t="s">
        <v>31</v>
      </c>
      <c r="D4" s="20" t="s">
        <v>32</v>
      </c>
      <c r="E4" s="20" t="s">
        <v>33</v>
      </c>
      <c r="F4" s="20" t="s">
        <v>34</v>
      </c>
      <c r="G4" s="2"/>
      <c r="H4" s="20" t="s">
        <v>3</v>
      </c>
      <c r="I4" s="20" t="s">
        <v>4</v>
      </c>
      <c r="J4" s="20" t="s">
        <v>5</v>
      </c>
    </row>
    <row r="5" spans="1:10" x14ac:dyDescent="0.25">
      <c r="A5" s="43" t="s">
        <v>9</v>
      </c>
      <c r="B5" s="2" t="str">
        <f>"1346337011"</f>
        <v>1346337011</v>
      </c>
      <c r="C5" s="2"/>
      <c r="D5" s="10" t="str">
        <f>_xlfn.IFNA(VLOOKUP($B5,'Millennium Perf Network 032017'!$A$2:$AI$5000,18,FALSE),"")</f>
        <v>ASPIRE OF WESTERN NEW YORK INC.</v>
      </c>
      <c r="E5" s="10" t="str">
        <f>_xlfn.IFNA(VLOOKUP($B5,'Millennium Perf Network 032017'!$A$2:$AI$5000,13,FALSE),"")</f>
        <v>Yes</v>
      </c>
      <c r="F5" s="10" t="str">
        <f>_xlfn.IFNA(VLOOKUP($B5,'Millennium Perf Network 032017'!$A$2:$AI$5000,12,FALSE),"")</f>
        <v>All Other:: Clinic</v>
      </c>
      <c r="G5" s="2"/>
      <c r="H5" s="2">
        <v>43448</v>
      </c>
      <c r="I5" s="2"/>
      <c r="J5" s="4">
        <f t="shared" ref="J5:J21" si="0">H5+I5</f>
        <v>43448</v>
      </c>
    </row>
    <row r="6" spans="1:10" x14ac:dyDescent="0.25">
      <c r="A6" s="43"/>
      <c r="B6" s="2" t="str">
        <f>"1043275159"</f>
        <v>1043275159</v>
      </c>
      <c r="C6" s="2"/>
      <c r="D6" s="10" t="str">
        <f>_xlfn.IFNA(VLOOKUP($B6,'Millennium Perf Network 032017'!$A$2:$AI$5000,18,FALSE),"")</f>
        <v>BAIER WILLIAM</v>
      </c>
      <c r="E6" s="10" t="str">
        <f>_xlfn.IFNA(VLOOKUP($B6,'Millennium Perf Network 032017'!$A$2:$AI$5000,13,FALSE),"")</f>
        <v>Yes</v>
      </c>
      <c r="F6" s="10" t="str">
        <f>_xlfn.IFNA(VLOOKUP($B6,'Millennium Perf Network 032017'!$A$2:$AI$5000,12,FALSE),"")</f>
        <v>All Other:: Practitioner - Primary Care Provider (PCP)</v>
      </c>
      <c r="G6" s="2"/>
      <c r="H6" s="2">
        <v>43448</v>
      </c>
      <c r="I6" s="2"/>
      <c r="J6" s="4">
        <f t="shared" si="0"/>
        <v>43448</v>
      </c>
    </row>
    <row r="7" spans="1:10" x14ac:dyDescent="0.25">
      <c r="A7" s="43"/>
      <c r="B7" s="2" t="str">
        <f>"1861722019"</f>
        <v>1861722019</v>
      </c>
      <c r="C7" s="2"/>
      <c r="D7" s="10" t="str">
        <f>_xlfn.IFNA(VLOOKUP($B7,'Millennium Perf Network 032017'!$A$2:$AI$5000,18,FALSE),"")</f>
        <v>CAPOTE EILEEN</v>
      </c>
      <c r="E7" s="22" t="str">
        <f>_xlfn.IFNA(VLOOKUP($B7,'Millennium Perf Network 032017'!$A$2:$AI$5000,13,FALSE),"")</f>
        <v>Yes</v>
      </c>
      <c r="F7" s="10" t="str">
        <f>_xlfn.IFNA(VLOOKUP($B7,'Millennium Perf Network 032017'!$A$2:$AI$5000,12,FALSE),"")</f>
        <v>All Other:: Practitioner - Primary Care Provider (PCP)</v>
      </c>
      <c r="G7" s="2"/>
      <c r="H7" s="2">
        <v>21724</v>
      </c>
      <c r="I7" s="2"/>
      <c r="J7" s="4">
        <f t="shared" si="0"/>
        <v>21724</v>
      </c>
    </row>
    <row r="8" spans="1:10" x14ac:dyDescent="0.25">
      <c r="A8" s="43"/>
      <c r="B8" s="33" t="str">
        <f>"1538223110"</f>
        <v>1538223110</v>
      </c>
      <c r="C8" s="2"/>
      <c r="D8" s="10" t="str">
        <f>_xlfn.IFNA(VLOOKUP($B8,'Millennium Perf Network 032017'!$A$2:$AI$5000,18,FALSE),"")</f>
        <v>CHAUTAUQUA COUNTY CHAPTER OF NYSARC INC.</v>
      </c>
      <c r="E8" s="10" t="str">
        <f>_xlfn.IFNA(VLOOKUP($B8,'Millennium Perf Network 032017'!$A$2:$AI$5000,13,FALSE),"")</f>
        <v>Yes</v>
      </c>
      <c r="F8" s="10" t="str">
        <f>_xlfn.IFNA(VLOOKUP($B8,'Millennium Perf Network 032017'!$A$2:$AI$5000,12,FALSE),"")</f>
        <v>All Other:: Clinic:: Mental Health</v>
      </c>
      <c r="G8" s="2"/>
      <c r="H8" s="2">
        <v>65272</v>
      </c>
      <c r="I8" s="2"/>
      <c r="J8" s="4">
        <f t="shared" si="0"/>
        <v>65272</v>
      </c>
    </row>
    <row r="9" spans="1:10" x14ac:dyDescent="0.25">
      <c r="A9" s="43"/>
      <c r="B9" s="2" t="str">
        <f>"1790787919"</f>
        <v>1790787919</v>
      </c>
      <c r="C9" s="2"/>
      <c r="D9" s="10" t="str">
        <f>_xlfn.IFNA(VLOOKUP($B9,'Millennium Perf Network 032017'!$A$2:$AI$5000,18,FALSE),"")</f>
        <v>COMMUNITY HEALTH CENTER OF BUFFALO, INC.</v>
      </c>
      <c r="E9" s="22" t="str">
        <f>_xlfn.IFNA(VLOOKUP($B9,'Millennium Perf Network 032017'!$A$2:$AI$5000,13,FALSE),"")</f>
        <v>Yes</v>
      </c>
      <c r="F9" s="10" t="str">
        <f>_xlfn.IFNA(VLOOKUP($B9,'Millennium Perf Network 032017'!$A$2:$AI$5000,12,FALSE),"")</f>
        <v>All Other:: Clinic</v>
      </c>
      <c r="G9" s="2"/>
      <c r="H9" s="2">
        <v>65172</v>
      </c>
      <c r="I9" s="2"/>
      <c r="J9" s="4">
        <f t="shared" si="0"/>
        <v>65172</v>
      </c>
    </row>
    <row r="10" spans="1:10" s="29" customFormat="1" x14ac:dyDescent="0.25">
      <c r="A10" s="43"/>
      <c r="B10" s="2" t="str">
        <f>"1356390918"</f>
        <v>1356390918</v>
      </c>
      <c r="C10" s="2"/>
      <c r="D10" s="10" t="str">
        <f>_xlfn.IFNA(VLOOKUP($B10,'Millennium Perf Network 032017'!$A$2:$AI$5000,18,FALSE),"")</f>
        <v>EHS, INC.</v>
      </c>
      <c r="E10" s="10" t="str">
        <f>_xlfn.IFNA(VLOOKUP($B10,'Millennium Perf Network 032017'!$A$2:$AI$5000,13,FALSE),"")</f>
        <v>Yes</v>
      </c>
      <c r="F10" s="10" t="str">
        <f>_xlfn.IFNA(VLOOKUP($B10,'Millennium Perf Network 032017'!$A$2:$AI$5000,12,FALSE),"")</f>
        <v>All Other:: Case Management / Health Home:: Clinic:: Substance Abuse</v>
      </c>
      <c r="G10" s="2"/>
      <c r="H10" s="2">
        <v>65172</v>
      </c>
      <c r="I10" s="2"/>
      <c r="J10" s="4">
        <f t="shared" si="0"/>
        <v>65172</v>
      </c>
    </row>
    <row r="11" spans="1:10" s="29" customFormat="1" x14ac:dyDescent="0.25">
      <c r="A11" s="43"/>
      <c r="B11" s="2" t="str">
        <f>"1033484894"</f>
        <v>1033484894</v>
      </c>
      <c r="C11" s="2"/>
      <c r="D11" s="10" t="str">
        <f>_xlfn.IFNA(VLOOKUP($B11,'Millennium Perf Network 032017'!$A$2:$AI$5000,18,FALSE),"")</f>
        <v>GREATER BUFFALO UNITED IPA</v>
      </c>
      <c r="E11" s="10" t="str">
        <f>_xlfn.IFNA(VLOOKUP($B11,'Millennium Perf Network 032017'!$A$2:$AI$5000,13,FALSE),"")</f>
        <v>Yes</v>
      </c>
      <c r="F11" s="10" t="str">
        <f>_xlfn.IFNA(VLOOKUP($B11,'Millennium Perf Network 032017'!$A$2:$AI$5000,12,FALSE),"")</f>
        <v>Case Management / Health Home</v>
      </c>
      <c r="G11" s="2"/>
      <c r="H11" s="2">
        <v>195516</v>
      </c>
      <c r="I11" s="2"/>
      <c r="J11" s="4">
        <f t="shared" si="0"/>
        <v>195516</v>
      </c>
    </row>
    <row r="12" spans="1:10" s="29" customFormat="1" x14ac:dyDescent="0.25">
      <c r="A12" s="43"/>
      <c r="B12" s="2"/>
      <c r="C12" s="2"/>
      <c r="D12" s="10" t="s">
        <v>24883</v>
      </c>
      <c r="E12" s="22" t="str">
        <f>_xlfn.IFNA(VLOOKUP($B12,'Millennium Perf Network 032017'!$A$2:$AI$5000,13,FALSE),"")</f>
        <v/>
      </c>
      <c r="F12" s="10" t="str">
        <f>_xlfn.IFNA(VLOOKUP($B12,'Millennium Perf Network 032017'!$A$2:$AI$5000,12,FALSE),"")</f>
        <v/>
      </c>
      <c r="G12" s="2"/>
      <c r="H12" s="2">
        <v>119397</v>
      </c>
      <c r="I12" s="2"/>
      <c r="J12" s="4">
        <f t="shared" si="0"/>
        <v>119397</v>
      </c>
    </row>
    <row r="13" spans="1:10" s="29" customFormat="1" x14ac:dyDescent="0.25">
      <c r="A13" s="43"/>
      <c r="B13" s="2"/>
      <c r="C13" s="2"/>
      <c r="D13" s="10" t="s">
        <v>25299</v>
      </c>
      <c r="E13" s="22" t="str">
        <f>_xlfn.IFNA(VLOOKUP($B13,'Millennium Perf Network 032017'!$A$2:$AI$5000,13,FALSE),"")</f>
        <v/>
      </c>
      <c r="F13" s="10" t="str">
        <f>_xlfn.IFNA(VLOOKUP($B13,'Millennium Perf Network 032017'!$A$2:$AI$5000,12,FALSE),"")</f>
        <v/>
      </c>
      <c r="G13" s="2"/>
      <c r="H13" s="2">
        <v>65172</v>
      </c>
      <c r="I13" s="2"/>
      <c r="J13" s="4">
        <f t="shared" si="0"/>
        <v>65172</v>
      </c>
    </row>
    <row r="14" spans="1:10" s="29" customFormat="1" x14ac:dyDescent="0.25">
      <c r="A14" s="43"/>
      <c r="B14" s="2" t="str">
        <f>"1881789014"</f>
        <v>1881789014</v>
      </c>
      <c r="C14" s="2"/>
      <c r="D14" s="10" t="str">
        <f>_xlfn.IFNA(VLOOKUP($B14,'Millennium Perf Network 032017'!$A$2:$AI$5000,18,FALSE),"")</f>
        <v>NORTHWEST BUFFALO COMMUNITY HEALTH CARE CENTER, INC.</v>
      </c>
      <c r="E14" s="22" t="str">
        <f>_xlfn.IFNA(VLOOKUP($B14,'Millennium Perf Network 032017'!$A$2:$AI$5000,13,FALSE),"")</f>
        <v>Yes</v>
      </c>
      <c r="F14" s="10" t="str">
        <f>_xlfn.IFNA(VLOOKUP($B14,'Millennium Perf Network 032017'!$A$2:$AI$5000,12,FALSE),"")</f>
        <v>All Other:: Clinic</v>
      </c>
      <c r="G14" s="2"/>
      <c r="H14" s="2">
        <v>65172</v>
      </c>
      <c r="I14" s="2"/>
      <c r="J14" s="4">
        <f t="shared" si="0"/>
        <v>65172</v>
      </c>
    </row>
    <row r="15" spans="1:10" s="29" customFormat="1" x14ac:dyDescent="0.25">
      <c r="A15" s="43"/>
      <c r="B15" s="33"/>
      <c r="C15" s="2"/>
      <c r="D15" s="10" t="s">
        <v>25298</v>
      </c>
      <c r="E15" s="10" t="str">
        <f>_xlfn.IFNA(VLOOKUP($B15,'Millennium Perf Network 032017'!$A$2:$AI$5000,13,FALSE),"")</f>
        <v/>
      </c>
      <c r="F15" s="10" t="str">
        <f>_xlfn.IFNA(VLOOKUP($B15,'Millennium Perf Network 032017'!$A$2:$AI$5000,12,FALSE),"")</f>
        <v/>
      </c>
      <c r="G15" s="2"/>
      <c r="H15" s="2">
        <v>43448</v>
      </c>
      <c r="I15" s="2"/>
      <c r="J15" s="4">
        <f t="shared" si="0"/>
        <v>43448</v>
      </c>
    </row>
    <row r="16" spans="1:10" s="29" customFormat="1" x14ac:dyDescent="0.25">
      <c r="A16" s="43"/>
      <c r="B16" s="2" t="str">
        <f>"1922073774"</f>
        <v>1922073774</v>
      </c>
      <c r="C16" s="2"/>
      <c r="D16" s="10" t="str">
        <f>_xlfn.IFNA(VLOOKUP($B16,'Millennium Perf Network 032017'!$A$2:$AI$5000,18,FALSE),"")</f>
        <v>PEOPLE INC</v>
      </c>
      <c r="E16" s="10" t="str">
        <f>_xlfn.IFNA(VLOOKUP($B16,'Millennium Perf Network 032017'!$A$2:$AI$5000,13,FALSE),"")</f>
        <v>Yes</v>
      </c>
      <c r="F16" s="10" t="str">
        <f>_xlfn.IFNA(VLOOKUP($B16,'Millennium Perf Network 032017'!$A$2:$AI$5000,12,FALSE),"")</f>
        <v>All Other:: Clinic</v>
      </c>
      <c r="G16" s="2"/>
      <c r="H16" s="2">
        <v>65172</v>
      </c>
      <c r="I16" s="2"/>
      <c r="J16" s="4">
        <f t="shared" si="0"/>
        <v>65172</v>
      </c>
    </row>
    <row r="17" spans="1:10" s="29" customFormat="1" x14ac:dyDescent="0.25">
      <c r="A17" s="43"/>
      <c r="B17" s="2" t="str">
        <f>"1669568937"</f>
        <v>1669568937</v>
      </c>
      <c r="C17" s="2"/>
      <c r="D17" s="10" t="str">
        <f>_xlfn.IFNA(VLOOKUP($B17,'Millennium Perf Network 032017'!$A$2:$AI$5000,18,FALSE),"")</f>
        <v>PLANNED PARENTHOOD OF THE ROCHESTER/SYRACUSE REGION</v>
      </c>
      <c r="E17" s="22" t="str">
        <f>_xlfn.IFNA(VLOOKUP($B17,'Millennium Perf Network 032017'!$A$2:$AI$5000,13,FALSE),"")</f>
        <v>Yes</v>
      </c>
      <c r="F17" s="10" t="str">
        <f>_xlfn.IFNA(VLOOKUP($B17,'Millennium Perf Network 032017'!$A$2:$AI$5000,12,FALSE),"")</f>
        <v>All Other:: Clinic</v>
      </c>
      <c r="G17" s="2"/>
      <c r="H17" s="2">
        <v>21724</v>
      </c>
      <c r="I17" s="2"/>
      <c r="J17" s="4">
        <f t="shared" si="0"/>
        <v>21724</v>
      </c>
    </row>
    <row r="18" spans="1:10" s="29" customFormat="1" x14ac:dyDescent="0.25">
      <c r="A18" s="43"/>
      <c r="B18" s="2" t="str">
        <f>"1184654477"</f>
        <v>1184654477</v>
      </c>
      <c r="C18" s="2"/>
      <c r="D18" s="10" t="str">
        <f>_xlfn.IFNA(VLOOKUP($B18,'Millennium Perf Network 032017'!$A$2:$AI$5000,18,FALSE),"")</f>
        <v>SOUTHERN TIER COMMUNITY HEALTH CENTER NETWORK, INC.</v>
      </c>
      <c r="E18" s="22" t="str">
        <f>_xlfn.IFNA(VLOOKUP($B18,'Millennium Perf Network 032017'!$A$2:$AI$5000,13,FALSE),"")</f>
        <v>Yes</v>
      </c>
      <c r="F18" s="10" t="str">
        <f>_xlfn.IFNA(VLOOKUP($B18,'Millennium Perf Network 032017'!$A$2:$AI$5000,12,FALSE),"")</f>
        <v>All Other:: Clinic</v>
      </c>
      <c r="G18" s="2"/>
      <c r="H18" s="2">
        <v>147857</v>
      </c>
      <c r="I18" s="2"/>
      <c r="J18" s="4">
        <f t="shared" si="0"/>
        <v>147857</v>
      </c>
    </row>
    <row r="19" spans="1:10" s="29" customFormat="1" x14ac:dyDescent="0.25">
      <c r="A19" s="43"/>
      <c r="B19" s="2"/>
      <c r="C19" s="2"/>
      <c r="D19" s="10" t="s">
        <v>25296</v>
      </c>
      <c r="E19" s="22" t="str">
        <f>_xlfn.IFNA(VLOOKUP($B19,'Millennium Perf Network 032017'!$A$2:$AI$5000,13,FALSE),"")</f>
        <v/>
      </c>
      <c r="F19" s="10" t="str">
        <f>_xlfn.IFNA(VLOOKUP($B19,'Millennium Perf Network 032017'!$A$2:$AI$5000,12,FALSE),"")</f>
        <v/>
      </c>
      <c r="G19" s="2"/>
      <c r="H19" s="2">
        <v>43448</v>
      </c>
      <c r="I19" s="2"/>
      <c r="J19" s="4">
        <f t="shared" si="0"/>
        <v>43448</v>
      </c>
    </row>
    <row r="20" spans="1:10" s="29" customFormat="1" x14ac:dyDescent="0.25">
      <c r="A20" s="43"/>
      <c r="B20" s="2" t="str">
        <f>"1760747521"</f>
        <v>1760747521</v>
      </c>
      <c r="C20" s="2"/>
      <c r="D20" s="10" t="str">
        <f>_xlfn.IFNA(VLOOKUP($B20,'Millennium Perf Network 032017'!$A$2:$AI$5000,18,FALSE),"")</f>
        <v>THE CHAUTAUQUA CENTER, INC</v>
      </c>
      <c r="E20" s="10" t="str">
        <f>_xlfn.IFNA(VLOOKUP($B20,'Millennium Perf Network 032017'!$A$2:$AI$5000,13,FALSE),"")</f>
        <v>Yes</v>
      </c>
      <c r="F20" s="10" t="str">
        <f>_xlfn.IFNA(VLOOKUP($B20,'Millennium Perf Network 032017'!$A$2:$AI$5000,12,FALSE),"")</f>
        <v>All Other:: Clinic</v>
      </c>
      <c r="G20" s="2"/>
      <c r="H20" s="2">
        <v>21724</v>
      </c>
      <c r="I20" s="2"/>
      <c r="J20" s="4">
        <f t="shared" si="0"/>
        <v>21724</v>
      </c>
    </row>
    <row r="21" spans="1:10" x14ac:dyDescent="0.25">
      <c r="A21" s="43"/>
      <c r="B21" s="2"/>
      <c r="C21" s="2"/>
      <c r="D21" s="10" t="s">
        <v>25288</v>
      </c>
      <c r="E21" s="22" t="str">
        <f>_xlfn.IFNA(VLOOKUP($B21,'Millennium Perf Network 032017'!$A$2:$AI$5000,13,FALSE),"")</f>
        <v/>
      </c>
      <c r="F21" s="10" t="str">
        <f>_xlfn.IFNA(VLOOKUP($B21,'Millennium Perf Network 032017'!$A$2:$AI$5000,12,FALSE),"")</f>
        <v/>
      </c>
      <c r="G21" s="2"/>
      <c r="H21" s="2">
        <f>43448</f>
        <v>43448</v>
      </c>
      <c r="I21" s="2"/>
      <c r="J21" s="4">
        <f t="shared" si="0"/>
        <v>43448</v>
      </c>
    </row>
    <row r="22" spans="1:10" x14ac:dyDescent="0.25">
      <c r="A22" s="43"/>
      <c r="B22" s="41" t="s">
        <v>35</v>
      </c>
      <c r="C22" s="42"/>
      <c r="D22" s="42"/>
      <c r="E22" s="42"/>
      <c r="F22" s="42"/>
      <c r="G22" s="42"/>
      <c r="H22" s="42"/>
      <c r="I22" s="42"/>
      <c r="J22" s="42"/>
    </row>
    <row r="23" spans="1:10" x14ac:dyDescent="0.25">
      <c r="A23" s="8"/>
      <c r="B23" s="9"/>
      <c r="C23" s="9"/>
      <c r="D23" s="9"/>
      <c r="E23" s="9"/>
      <c r="F23" s="9"/>
      <c r="G23" s="9"/>
      <c r="H23" s="12">
        <f>SUM(H5:H21)</f>
        <v>1136314</v>
      </c>
      <c r="I23" s="12">
        <f>SUM(I5:I21)</f>
        <v>0</v>
      </c>
      <c r="J23" s="12">
        <f>SUM(J5:J21)</f>
        <v>1136314</v>
      </c>
    </row>
    <row r="24" spans="1:10" ht="14.25" customHeight="1" x14ac:dyDescent="0.25">
      <c r="A24" s="43" t="s">
        <v>10</v>
      </c>
      <c r="B24" s="2"/>
      <c r="C24" s="2"/>
      <c r="D24" s="10" t="str">
        <f>_xlfn.IFNA(VLOOKUP($B24,'Millennium Perf Network 032017'!$A$2:$AI$5000,18,FALSE),"")</f>
        <v/>
      </c>
      <c r="E24" s="10" t="str">
        <f>_xlfn.IFNA(VLOOKUP($B24,'Millennium Perf Network 032017'!$A$2:$AI$5000,13,FALSE),"")</f>
        <v/>
      </c>
      <c r="F24" s="10" t="str">
        <f>_xlfn.IFNA(VLOOKUP($B24,'Millennium Perf Network 032017'!$A$2:$AI$5000,12,FALSE),"")</f>
        <v/>
      </c>
      <c r="G24" s="2"/>
      <c r="H24" s="2"/>
      <c r="I24" s="2"/>
      <c r="J24" s="4">
        <f t="shared" ref="J24:J27" si="1">H24+I24</f>
        <v>0</v>
      </c>
    </row>
    <row r="25" spans="1:10" x14ac:dyDescent="0.25">
      <c r="A25" s="43"/>
      <c r="B25" s="2"/>
      <c r="C25" s="2"/>
      <c r="D25" s="10" t="str">
        <f>_xlfn.IFNA(VLOOKUP($B25,'Millennium Perf Network 032017'!$A$2:$AI$5000,18,FALSE),"")</f>
        <v/>
      </c>
      <c r="E25" s="10" t="str">
        <f>_xlfn.IFNA(VLOOKUP($B25,'Millennium Perf Network 032017'!$A$2:$AI$5000,13,FALSE),"")</f>
        <v/>
      </c>
      <c r="F25" s="10" t="str">
        <f>_xlfn.IFNA(VLOOKUP($B25,'Millennium Perf Network 032017'!$A$2:$AI$5000,12,FALSE),"")</f>
        <v/>
      </c>
      <c r="G25" s="2"/>
      <c r="H25" s="2"/>
      <c r="I25" s="2"/>
      <c r="J25" s="4">
        <f t="shared" si="1"/>
        <v>0</v>
      </c>
    </row>
    <row r="26" spans="1:10" x14ac:dyDescent="0.25">
      <c r="A26" s="43"/>
      <c r="B26" s="2"/>
      <c r="C26" s="2"/>
      <c r="D26" s="10" t="str">
        <f>_xlfn.IFNA(VLOOKUP($B26,'Millennium Perf Network 032017'!$A$2:$AI$5000,18,FALSE),"")</f>
        <v/>
      </c>
      <c r="E26" s="10" t="str">
        <f>_xlfn.IFNA(VLOOKUP($B26,'Millennium Perf Network 032017'!$A$2:$AI$5000,13,FALSE),"")</f>
        <v/>
      </c>
      <c r="F26" s="10" t="str">
        <f>_xlfn.IFNA(VLOOKUP($B26,'Millennium Perf Network 032017'!$A$2:$AI$5000,12,FALSE),"")</f>
        <v/>
      </c>
      <c r="G26" s="2"/>
      <c r="H26" s="2"/>
      <c r="I26" s="2"/>
      <c r="J26" s="4">
        <f t="shared" si="1"/>
        <v>0</v>
      </c>
    </row>
    <row r="27" spans="1:10" x14ac:dyDescent="0.25">
      <c r="A27" s="43"/>
      <c r="B27" s="2"/>
      <c r="C27" s="2"/>
      <c r="D27" s="10" t="str">
        <f>_xlfn.IFNA(VLOOKUP($B27,'Millennium Perf Network 032017'!$A$2:$AI$5000,18,FALSE),"")</f>
        <v/>
      </c>
      <c r="E27" s="10" t="str">
        <f>_xlfn.IFNA(VLOOKUP($B27,'Millennium Perf Network 032017'!$A$2:$AI$5000,13,FALSE),"")</f>
        <v/>
      </c>
      <c r="F27" s="10" t="str">
        <f>_xlfn.IFNA(VLOOKUP($B27,'Millennium Perf Network 032017'!$A$2:$AI$5000,12,FALSE),"")</f>
        <v/>
      </c>
      <c r="G27" s="2"/>
      <c r="H27" s="2"/>
      <c r="I27" s="2"/>
      <c r="J27" s="4">
        <f t="shared" si="1"/>
        <v>0</v>
      </c>
    </row>
    <row r="28" spans="1:10" x14ac:dyDescent="0.25">
      <c r="A28" s="43"/>
      <c r="B28" s="41" t="s">
        <v>35</v>
      </c>
      <c r="C28" s="42"/>
      <c r="D28" s="42"/>
      <c r="E28" s="42"/>
      <c r="F28" s="42"/>
      <c r="G28" s="42"/>
      <c r="H28" s="42"/>
      <c r="I28" s="42"/>
      <c r="J28" s="42"/>
    </row>
    <row r="29" spans="1:10" x14ac:dyDescent="0.25">
      <c r="A29" s="8"/>
      <c r="B29" s="9"/>
      <c r="C29" s="9"/>
      <c r="D29" s="9"/>
      <c r="E29" s="9"/>
      <c r="F29" s="9"/>
      <c r="G29" s="9"/>
      <c r="H29" s="12">
        <f>SUM(H24:H27)</f>
        <v>0</v>
      </c>
      <c r="I29" s="12">
        <f>SUM(I24:I27)</f>
        <v>0</v>
      </c>
      <c r="J29" s="12">
        <f>SUM(J24:J27)</f>
        <v>0</v>
      </c>
    </row>
    <row r="30" spans="1:10" ht="14.25" customHeight="1" x14ac:dyDescent="0.25">
      <c r="A30" s="43" t="s">
        <v>11</v>
      </c>
      <c r="B30" s="2" t="str">
        <f>"1689880494"</f>
        <v>1689880494</v>
      </c>
      <c r="C30" s="2"/>
      <c r="D30" s="10" t="str">
        <f>_xlfn.IFNA(VLOOKUP($B30,'Millennium Perf Network 032017'!$A$2:$AI$5000,18,FALSE),"")</f>
        <v>ERIE COUNTY MEDICAL CENTER CORPORATION</v>
      </c>
      <c r="E30" s="10" t="str">
        <f>_xlfn.IFNA(VLOOKUP($B30,'Millennium Perf Network 032017'!$A$2:$AI$5000,13,FALSE),"")</f>
        <v>Yes</v>
      </c>
      <c r="F30" s="10" t="str">
        <f>_xlfn.IFNA(VLOOKUP($B30,'Millennium Perf Network 032017'!$A$2:$AI$5000,12,FALSE),"")</f>
        <v>All Other:: Case Management / Health Home:: Clinic:: Hospital:: Mental Health:: Substance Abuse</v>
      </c>
      <c r="G30" s="2"/>
      <c r="H30" s="2">
        <v>241231</v>
      </c>
      <c r="I30" s="2"/>
      <c r="J30" s="4">
        <f>H30+I30</f>
        <v>241231</v>
      </c>
    </row>
    <row r="31" spans="1:10" x14ac:dyDescent="0.25">
      <c r="A31" s="43"/>
      <c r="B31" s="2" t="str">
        <f>"1689708109"</f>
        <v>1689708109</v>
      </c>
      <c r="C31" s="2"/>
      <c r="D31" s="10" t="str">
        <f>_xlfn.IFNA(VLOOKUP($B31,'Millennium Perf Network 032017'!$A$2:$AI$5000,18,FALSE),"")</f>
        <v>KALEIDA HEALTH</v>
      </c>
      <c r="E31" s="10" t="str">
        <f>_xlfn.IFNA(VLOOKUP($B31,'Millennium Perf Network 032017'!$A$2:$AI$5000,13,FALSE),"")</f>
        <v>Yes</v>
      </c>
      <c r="F31" s="10" t="str">
        <f>_xlfn.IFNA(VLOOKUP($B31,'Millennium Perf Network 032017'!$A$2:$AI$5000,12,FALSE),"")</f>
        <v>All Other:: Clinic:: Hospital:: Mental Health:: Pharmacy:: Substance Abuse</v>
      </c>
      <c r="G31" s="2"/>
      <c r="H31" s="2">
        <v>183452.78</v>
      </c>
      <c r="I31" s="2"/>
      <c r="J31" s="4">
        <f>H31+I31</f>
        <v>183452.78</v>
      </c>
    </row>
    <row r="32" spans="1:10" x14ac:dyDescent="0.25">
      <c r="A32" s="43"/>
      <c r="B32" s="2" t="str">
        <f>"1285717298"</f>
        <v>1285717298</v>
      </c>
      <c r="C32" s="2"/>
      <c r="D32" s="10" t="str">
        <f>_xlfn.IFNA(VLOOKUP($B32,'Millennium Perf Network 032017'!$A$2:$AI$5000,18,FALSE),"")</f>
        <v>NIAGARA FALLS MEMORIAL MEDICAL CENTER</v>
      </c>
      <c r="E32" s="10" t="str">
        <f>_xlfn.IFNA(VLOOKUP($B32,'Millennium Perf Network 032017'!$A$2:$AI$5000,13,FALSE),"")</f>
        <v>Yes</v>
      </c>
      <c r="F32" s="10" t="str">
        <f>_xlfn.IFNA(VLOOKUP($B32,'Millennium Perf Network 032017'!$A$2:$AI$5000,12,FALSE),"")</f>
        <v>All Other:: Case Management / Health Home:: Clinic:: Hospital:: Mental Health</v>
      </c>
      <c r="G32" s="2"/>
      <c r="H32" s="2">
        <v>341623.5</v>
      </c>
      <c r="I32" s="2"/>
      <c r="J32" s="4">
        <f>H32+I32</f>
        <v>341623.5</v>
      </c>
    </row>
    <row r="33" spans="1:10" x14ac:dyDescent="0.25">
      <c r="A33" s="43"/>
      <c r="B33" s="2" t="str">
        <f>"1699715904"</f>
        <v>1699715904</v>
      </c>
      <c r="C33" s="2"/>
      <c r="D33" s="10" t="str">
        <f>_xlfn.IFNA(VLOOKUP($B33,'Millennium Perf Network 032017'!$A$2:$AI$5000,18,FALSE),"")</f>
        <v>OLEAN GENERAL HOSPITAL</v>
      </c>
      <c r="E33" s="10" t="str">
        <f>_xlfn.IFNA(VLOOKUP($B33,'Millennium Perf Network 032017'!$A$2:$AI$5000,13,FALSE),"")</f>
        <v>Yes</v>
      </c>
      <c r="F33" s="10" t="str">
        <f>_xlfn.IFNA(VLOOKUP($B33,'Millennium Perf Network 032017'!$A$2:$AI$5000,12,FALSE),"")</f>
        <v>All Other:: Clinic:: Hospital:: Mental Health:: Pharmacy</v>
      </c>
      <c r="G33" s="2"/>
      <c r="H33" s="2">
        <v>129306.09</v>
      </c>
      <c r="I33" s="2"/>
      <c r="J33" s="4">
        <f>H33+I33</f>
        <v>129306.09</v>
      </c>
    </row>
    <row r="34" spans="1:10" x14ac:dyDescent="0.25">
      <c r="A34" s="43"/>
      <c r="B34" s="29" t="str">
        <f>"1598876732"</f>
        <v>1598876732</v>
      </c>
      <c r="C34" s="2"/>
      <c r="D34" s="10" t="str">
        <f>_xlfn.IFNA(VLOOKUP($B34,'Millennium Perf Network 032017'!$A$2:$AI$5000,18,FALSE),"")</f>
        <v>TLC HEALTH NETWORK</v>
      </c>
      <c r="E34" s="10" t="str">
        <f>_xlfn.IFNA(VLOOKUP($B34,'Millennium Perf Network 032017'!$A$2:$AI$5000,13,FALSE),"")</f>
        <v>Yes</v>
      </c>
      <c r="F34" s="10" t="str">
        <f>_xlfn.IFNA(VLOOKUP($B34,'Millennium Perf Network 032017'!$A$2:$AI$5000,12,FALSE),"")</f>
        <v>All Other:: Clinic:: Hospital:: Mental Health:: Substance Abuse</v>
      </c>
      <c r="G34" s="2"/>
      <c r="H34" s="2">
        <v>51428</v>
      </c>
      <c r="I34" s="2"/>
      <c r="J34" s="4">
        <f>H34+I34</f>
        <v>51428</v>
      </c>
    </row>
    <row r="35" spans="1:10" s="29" customFormat="1" x14ac:dyDescent="0.25">
      <c r="A35" s="43"/>
      <c r="B35" s="2"/>
      <c r="C35" s="2"/>
      <c r="D35" s="10" t="str">
        <f>_xlfn.IFNA(VLOOKUP($B35,'Millennium Perf Network 032017'!$A$2:$AI$5000,18,FALSE),"")</f>
        <v/>
      </c>
      <c r="E35" s="10" t="str">
        <f>_xlfn.IFNA(VLOOKUP($B35,'Millennium Perf Network 032017'!$A$2:$AI$5000,13,FALSE),"")</f>
        <v/>
      </c>
      <c r="F35" s="10" t="str">
        <f>_xlfn.IFNA(VLOOKUP($B35,'Millennium Perf Network 032017'!$A$2:$AI$5000,12,FALSE),"")</f>
        <v/>
      </c>
      <c r="G35" s="2"/>
      <c r="H35" s="2"/>
      <c r="I35" s="2"/>
      <c r="J35" s="4">
        <f t="shared" ref="J35" si="2">H35+I35</f>
        <v>0</v>
      </c>
    </row>
    <row r="36" spans="1:10" x14ac:dyDescent="0.25">
      <c r="A36" s="43"/>
      <c r="B36" s="2"/>
      <c r="C36" s="2"/>
      <c r="D36" s="10" t="str">
        <f>_xlfn.IFNA(VLOOKUP($B36,'Millennium Perf Network 032017'!$A$2:$AI$5000,18,FALSE),"")</f>
        <v/>
      </c>
      <c r="E36" s="10" t="str">
        <f>_xlfn.IFNA(VLOOKUP($B36,'Millennium Perf Network 032017'!$A$2:$AI$5000,13,FALSE),"")</f>
        <v/>
      </c>
      <c r="F36" s="10" t="str">
        <f>_xlfn.IFNA(VLOOKUP($B36,'Millennium Perf Network 032017'!$A$2:$AI$5000,12,FALSE),"")</f>
        <v/>
      </c>
      <c r="G36" s="2"/>
      <c r="H36" s="2"/>
      <c r="I36" s="2"/>
      <c r="J36" s="4">
        <f t="shared" ref="J36" si="3">H36+I36</f>
        <v>0</v>
      </c>
    </row>
    <row r="37" spans="1:10" x14ac:dyDescent="0.25">
      <c r="A37" s="43"/>
      <c r="B37" s="41" t="s">
        <v>35</v>
      </c>
      <c r="C37" s="42"/>
      <c r="D37" s="42"/>
      <c r="E37" s="42"/>
      <c r="F37" s="42"/>
      <c r="G37" s="42"/>
      <c r="H37" s="42"/>
      <c r="I37" s="42"/>
      <c r="J37" s="42"/>
    </row>
    <row r="38" spans="1:10" x14ac:dyDescent="0.25">
      <c r="A38" s="8"/>
      <c r="B38" s="9"/>
      <c r="C38" s="9"/>
      <c r="D38" s="9"/>
      <c r="E38" s="9"/>
      <c r="F38" s="9"/>
      <c r="G38" s="9"/>
      <c r="H38" s="12">
        <f t="shared" ref="H38:I38" si="4">SUM(H30:H36)</f>
        <v>947041.37</v>
      </c>
      <c r="I38" s="12">
        <f t="shared" si="4"/>
        <v>0</v>
      </c>
      <c r="J38" s="12">
        <f>SUM(J30:J36)</f>
        <v>947041.37</v>
      </c>
    </row>
    <row r="39" spans="1:10" ht="14.25" customHeight="1" x14ac:dyDescent="0.25">
      <c r="A39" s="43" t="s">
        <v>12</v>
      </c>
      <c r="B39" s="2" t="str">
        <f>"1689880494"</f>
        <v>1689880494</v>
      </c>
      <c r="C39" s="2"/>
      <c r="D39" s="10" t="str">
        <f>_xlfn.IFNA(VLOOKUP($B39,'Millennium Perf Network 032017'!$A$2:$AI$5000,18,FALSE),"")</f>
        <v>ERIE COUNTY MEDICAL CENTER CORPORATION</v>
      </c>
      <c r="E39" s="10" t="str">
        <f>_xlfn.IFNA(VLOOKUP($B39,'Millennium Perf Network 032017'!$A$2:$AI$5000,13,FALSE),"")</f>
        <v>Yes</v>
      </c>
      <c r="F39" s="10" t="str">
        <f>_xlfn.IFNA(VLOOKUP($B39,'Millennium Perf Network 032017'!$A$2:$AI$5000,12,FALSE),"")</f>
        <v>All Other:: Case Management / Health Home:: Clinic:: Hospital:: Mental Health:: Substance Abuse</v>
      </c>
      <c r="G39" s="2"/>
      <c r="H39" s="2">
        <v>152269</v>
      </c>
      <c r="I39" s="2"/>
      <c r="J39" s="4">
        <f>H39+I39</f>
        <v>152269</v>
      </c>
    </row>
    <row r="40" spans="1:10" x14ac:dyDescent="0.25">
      <c r="A40" s="43"/>
      <c r="B40" s="2" t="str">
        <f>"1689708109"</f>
        <v>1689708109</v>
      </c>
      <c r="C40" s="2"/>
      <c r="D40" s="10" t="str">
        <f>_xlfn.IFNA(VLOOKUP($B40,'Millennium Perf Network 032017'!$A$2:$AI$5000,18,FALSE),"")</f>
        <v>KALEIDA HEALTH</v>
      </c>
      <c r="E40" s="10" t="str">
        <f>_xlfn.IFNA(VLOOKUP($B40,'Millennium Perf Network 032017'!$A$2:$AI$5000,13,FALSE),"")</f>
        <v>Yes</v>
      </c>
      <c r="F40" s="10" t="str">
        <f>_xlfn.IFNA(VLOOKUP($B40,'Millennium Perf Network 032017'!$A$2:$AI$5000,12,FALSE),"")</f>
        <v>All Other:: Clinic:: Hospital:: Mental Health:: Pharmacy:: Substance Abuse</v>
      </c>
      <c r="G40" s="2"/>
      <c r="H40" s="2">
        <v>65172</v>
      </c>
      <c r="I40" s="2"/>
      <c r="J40" s="4">
        <f>H40+I40</f>
        <v>65172</v>
      </c>
    </row>
    <row r="41" spans="1:10" x14ac:dyDescent="0.25">
      <c r="A41" s="43"/>
      <c r="B41" s="2" t="str">
        <f>"1285717298"</f>
        <v>1285717298</v>
      </c>
      <c r="C41" s="2"/>
      <c r="D41" s="10" t="str">
        <f>_xlfn.IFNA(VLOOKUP($B41,'Millennium Perf Network 032017'!$A$2:$AI$5000,18,FALSE),"")</f>
        <v>NIAGARA FALLS MEMORIAL MEDICAL CENTER</v>
      </c>
      <c r="E41" s="10" t="str">
        <f>_xlfn.IFNA(VLOOKUP($B41,'Millennium Perf Network 032017'!$A$2:$AI$5000,13,FALSE),"")</f>
        <v>Yes</v>
      </c>
      <c r="F41" s="10" t="str">
        <f>_xlfn.IFNA(VLOOKUP($B41,'Millennium Perf Network 032017'!$A$2:$AI$5000,12,FALSE),"")</f>
        <v>All Other:: Case Management / Health Home:: Clinic:: Hospital:: Mental Health</v>
      </c>
      <c r="G41" s="2"/>
      <c r="H41" s="2">
        <v>152269</v>
      </c>
      <c r="I41" s="2"/>
      <c r="J41" s="4">
        <f>H41+I41</f>
        <v>152269</v>
      </c>
    </row>
    <row r="42" spans="1:10" x14ac:dyDescent="0.25">
      <c r="A42" s="43"/>
      <c r="B42" s="2" t="str">
        <f>"1699715904"</f>
        <v>1699715904</v>
      </c>
      <c r="C42" s="2"/>
      <c r="D42" s="10" t="str">
        <f>_xlfn.IFNA(VLOOKUP($B42,'Millennium Perf Network 032017'!$A$2:$AI$5000,18,FALSE),"")</f>
        <v>OLEAN GENERAL HOSPITAL</v>
      </c>
      <c r="E42" s="10" t="str">
        <f>_xlfn.IFNA(VLOOKUP($B42,'Millennium Perf Network 032017'!$A$2:$AI$5000,13,FALSE),"")</f>
        <v>Yes</v>
      </c>
      <c r="F42" s="10" t="str">
        <f>_xlfn.IFNA(VLOOKUP($B42,'Millennium Perf Network 032017'!$A$2:$AI$5000,12,FALSE),"")</f>
        <v>All Other:: Clinic:: Hospital:: Mental Health:: Pharmacy</v>
      </c>
      <c r="G42" s="2"/>
      <c r="H42" s="2">
        <v>43448</v>
      </c>
      <c r="I42" s="2"/>
      <c r="J42" s="4">
        <f>H42+I42</f>
        <v>43448</v>
      </c>
    </row>
    <row r="43" spans="1:10" x14ac:dyDescent="0.25">
      <c r="A43" s="43"/>
      <c r="B43" s="29" t="str">
        <f>"1598876732"</f>
        <v>1598876732</v>
      </c>
      <c r="C43" s="2"/>
      <c r="D43" s="10" t="str">
        <f>_xlfn.IFNA(VLOOKUP($B43,'Millennium Perf Network 032017'!$A$2:$AI$5000,18,FALSE),"")</f>
        <v>TLC HEALTH NETWORK</v>
      </c>
      <c r="E43" s="10" t="str">
        <f>_xlfn.IFNA(VLOOKUP($B43,'Millennium Perf Network 032017'!$A$2:$AI$5000,13,FALSE),"")</f>
        <v>Yes</v>
      </c>
      <c r="F43" s="10" t="str">
        <f>_xlfn.IFNA(VLOOKUP($B43,'Millennium Perf Network 032017'!$A$2:$AI$5000,12,FALSE),"")</f>
        <v>All Other:: Clinic:: Hospital:: Mental Health:: Substance Abuse</v>
      </c>
      <c r="G43" s="2"/>
      <c r="H43" s="2">
        <v>43448</v>
      </c>
      <c r="I43" s="2"/>
      <c r="J43" s="4">
        <f>H43+I43</f>
        <v>43448</v>
      </c>
    </row>
    <row r="44" spans="1:10" s="29" customFormat="1" x14ac:dyDescent="0.25">
      <c r="A44" s="43"/>
      <c r="B44" s="2"/>
      <c r="C44" s="2"/>
      <c r="D44" s="10" t="str">
        <f>_xlfn.IFNA(VLOOKUP($B44,'Millennium Perf Network 032017'!$A$2:$AI$5000,18,FALSE),"")</f>
        <v/>
      </c>
      <c r="E44" s="10" t="str">
        <f>_xlfn.IFNA(VLOOKUP($B44,'Millennium Perf Network 032017'!$A$2:$AI$5000,13,FALSE),"")</f>
        <v/>
      </c>
      <c r="F44" s="10" t="str">
        <f>_xlfn.IFNA(VLOOKUP($B44,'Millennium Perf Network 032017'!$A$2:$AI$5000,12,FALSE),"")</f>
        <v/>
      </c>
      <c r="G44" s="2"/>
      <c r="H44" s="2"/>
      <c r="I44" s="2"/>
      <c r="J44" s="4">
        <f t="shared" ref="J44" si="5">H44+I44</f>
        <v>0</v>
      </c>
    </row>
    <row r="45" spans="1:10" x14ac:dyDescent="0.25">
      <c r="A45" s="43"/>
      <c r="B45" s="2"/>
      <c r="C45" s="2"/>
      <c r="D45" s="10" t="str">
        <f>_xlfn.IFNA(VLOOKUP($B45,'Millennium Perf Network 032017'!$A$2:$AI$5000,18,FALSE),"")</f>
        <v/>
      </c>
      <c r="E45" s="10" t="str">
        <f>_xlfn.IFNA(VLOOKUP($B45,'Millennium Perf Network 032017'!$A$2:$AI$5000,13,FALSE),"")</f>
        <v/>
      </c>
      <c r="F45" s="10" t="str">
        <f>_xlfn.IFNA(VLOOKUP($B45,'Millennium Perf Network 032017'!$A$2:$AI$5000,12,FALSE),"")</f>
        <v/>
      </c>
      <c r="G45" s="2"/>
      <c r="H45" s="2"/>
      <c r="I45" s="2"/>
      <c r="J45" s="4">
        <f t="shared" ref="J45" si="6">H45+I45</f>
        <v>0</v>
      </c>
    </row>
    <row r="46" spans="1:10" x14ac:dyDescent="0.25">
      <c r="A46" s="43"/>
      <c r="B46" s="41" t="s">
        <v>35</v>
      </c>
      <c r="C46" s="42"/>
      <c r="D46" s="42"/>
      <c r="E46" s="42"/>
      <c r="F46" s="42"/>
      <c r="G46" s="42"/>
      <c r="H46" s="42"/>
      <c r="I46" s="42"/>
      <c r="J46" s="42"/>
    </row>
    <row r="47" spans="1:10" x14ac:dyDescent="0.25">
      <c r="A47" s="8"/>
      <c r="B47" s="9"/>
      <c r="C47" s="9"/>
      <c r="D47" s="9"/>
      <c r="E47" s="9"/>
      <c r="F47" s="9"/>
      <c r="G47" s="9"/>
      <c r="H47" s="12">
        <f t="shared" ref="H47:I47" si="7">SUM(H39:H45)</f>
        <v>456606</v>
      </c>
      <c r="I47" s="12">
        <f t="shared" si="7"/>
        <v>0</v>
      </c>
      <c r="J47" s="12">
        <f>SUM(J39:J45)</f>
        <v>456606</v>
      </c>
    </row>
    <row r="48" spans="1:10" x14ac:dyDescent="0.25">
      <c r="A48" s="43" t="s">
        <v>13</v>
      </c>
      <c r="B48" s="2"/>
      <c r="C48" s="2"/>
      <c r="D48" s="10" t="str">
        <f>_xlfn.IFNA(VLOOKUP($B48,'Millennium Perf Network 032017'!$A$2:$AI$5000,18,FALSE),"")</f>
        <v/>
      </c>
      <c r="E48" s="10" t="str">
        <f>_xlfn.IFNA(VLOOKUP($B48,'Millennium Perf Network 032017'!$A$2:$AI$5000,13,FALSE),"")</f>
        <v/>
      </c>
      <c r="F48" s="10" t="str">
        <f>_xlfn.IFNA(VLOOKUP($B48,'Millennium Perf Network 032017'!$A$2:$AI$5000,12,FALSE),"")</f>
        <v/>
      </c>
      <c r="G48" s="2"/>
      <c r="H48" s="2"/>
      <c r="I48" s="2"/>
      <c r="J48" s="4">
        <f t="shared" ref="J48:J50" si="8">H48+I48</f>
        <v>0</v>
      </c>
    </row>
    <row r="49" spans="1:10" x14ac:dyDescent="0.25">
      <c r="A49" s="43"/>
      <c r="B49" s="2"/>
      <c r="C49" s="2"/>
      <c r="D49" s="10" t="str">
        <f>_xlfn.IFNA(VLOOKUP($B49,'Millennium Perf Network 032017'!$A$2:$AI$5000,18,FALSE),"")</f>
        <v/>
      </c>
      <c r="E49" s="10" t="str">
        <f>_xlfn.IFNA(VLOOKUP($B49,'Millennium Perf Network 032017'!$A$2:$AI$5000,13,FALSE),"")</f>
        <v/>
      </c>
      <c r="F49" s="10" t="str">
        <f>_xlfn.IFNA(VLOOKUP($B49,'Millennium Perf Network 032017'!$A$2:$AI$5000,12,FALSE),"")</f>
        <v/>
      </c>
      <c r="G49" s="2"/>
      <c r="H49" s="2"/>
      <c r="I49" s="2"/>
      <c r="J49" s="4">
        <f t="shared" si="8"/>
        <v>0</v>
      </c>
    </row>
    <row r="50" spans="1:10" x14ac:dyDescent="0.25">
      <c r="A50" s="43"/>
      <c r="B50" s="2"/>
      <c r="C50" s="2"/>
      <c r="D50" s="10" t="str">
        <f>_xlfn.IFNA(VLOOKUP($B50,'Millennium Perf Network 032017'!$A$2:$AI$5000,18,FALSE),"")</f>
        <v/>
      </c>
      <c r="E50" s="10" t="str">
        <f>_xlfn.IFNA(VLOOKUP($B50,'Millennium Perf Network 032017'!$A$2:$AI$5000,13,FALSE),"")</f>
        <v/>
      </c>
      <c r="F50" s="10" t="str">
        <f>_xlfn.IFNA(VLOOKUP($B50,'Millennium Perf Network 032017'!$A$2:$AI$5000,12,FALSE),"")</f>
        <v/>
      </c>
      <c r="G50" s="2"/>
      <c r="H50" s="2"/>
      <c r="I50" s="2"/>
      <c r="J50" s="4">
        <f t="shared" si="8"/>
        <v>0</v>
      </c>
    </row>
    <row r="51" spans="1:10" x14ac:dyDescent="0.25">
      <c r="A51" s="43"/>
      <c r="B51" s="41" t="s">
        <v>35</v>
      </c>
      <c r="C51" s="42"/>
      <c r="D51" s="42"/>
      <c r="E51" s="42"/>
      <c r="F51" s="42"/>
      <c r="G51" s="42"/>
      <c r="H51" s="42"/>
      <c r="I51" s="42"/>
      <c r="J51" s="42"/>
    </row>
    <row r="52" spans="1:10" x14ac:dyDescent="0.25">
      <c r="A52" s="8"/>
      <c r="B52" s="9"/>
      <c r="C52" s="9"/>
      <c r="D52" s="9"/>
      <c r="E52" s="9"/>
      <c r="F52" s="9"/>
      <c r="G52" s="9"/>
      <c r="H52" s="12">
        <f>SUM(H48:H50)</f>
        <v>0</v>
      </c>
      <c r="I52" s="12">
        <f>SUM(I48:I50)</f>
        <v>0</v>
      </c>
      <c r="J52" s="12">
        <f>SUM(J48:J50)</f>
        <v>0</v>
      </c>
    </row>
    <row r="53" spans="1:10" x14ac:dyDescent="0.25">
      <c r="A53" s="43" t="s">
        <v>14</v>
      </c>
      <c r="B53" s="2"/>
      <c r="C53" s="2"/>
      <c r="D53" s="26" t="s">
        <v>25285</v>
      </c>
      <c r="E53" s="22" t="str">
        <f>_xlfn.IFNA(VLOOKUP($B53,'Millennium Perf Network 032017'!$A$2:$AI$5000,13,FALSE),"")</f>
        <v/>
      </c>
      <c r="F53" s="10" t="str">
        <f>_xlfn.IFNA(VLOOKUP($B53,'Millennium Perf Network 032017'!$A$2:$AI$5000,12,FALSE),"")</f>
        <v/>
      </c>
      <c r="G53" s="2"/>
      <c r="H53" s="2">
        <v>29032</v>
      </c>
      <c r="I53" s="2"/>
      <c r="J53" s="4">
        <f t="shared" ref="J53:J66" si="9">H53+I53</f>
        <v>29032</v>
      </c>
    </row>
    <row r="54" spans="1:10" x14ac:dyDescent="0.25">
      <c r="A54" s="43"/>
      <c r="B54" s="2" t="str">
        <f>"1538223110"</f>
        <v>1538223110</v>
      </c>
      <c r="C54" s="2"/>
      <c r="D54" s="26" t="str">
        <f>_xlfn.IFNA(VLOOKUP($B54,'Millennium Perf Network 032017'!$A$2:$AI$5000,18,FALSE),"")</f>
        <v>CHAUTAUQUA COUNTY CHAPTER OF NYSARC INC.</v>
      </c>
      <c r="E54" s="10" t="str">
        <f>_xlfn.IFNA(VLOOKUP($B54,'Millennium Perf Network 032017'!$A$2:$AI$5000,13,FALSE),"")</f>
        <v>Yes</v>
      </c>
      <c r="F54" s="10" t="str">
        <f>_xlfn.IFNA(VLOOKUP($B54,'Millennium Perf Network 032017'!$A$2:$AI$5000,12,FALSE),"")</f>
        <v>All Other:: Clinic:: Mental Health</v>
      </c>
      <c r="G54" s="2"/>
      <c r="H54" s="2">
        <v>87097</v>
      </c>
      <c r="I54" s="2"/>
      <c r="J54" s="4">
        <f t="shared" si="9"/>
        <v>87097</v>
      </c>
    </row>
    <row r="55" spans="1:10" x14ac:dyDescent="0.25">
      <c r="A55" s="43"/>
      <c r="B55" s="2" t="str">
        <f>"1477807097"</f>
        <v>1477807097</v>
      </c>
      <c r="C55" s="2"/>
      <c r="D55" s="26" t="str">
        <f>_xlfn.IFNA(VLOOKUP($B55,'Millennium Perf Network 032017'!$A$2:$AI$5000,18,FALSE),"")</f>
        <v>CHAUTAUQUA COUNTY DMH HEALTH HOMES</v>
      </c>
      <c r="E55" s="10" t="str">
        <f>_xlfn.IFNA(VLOOKUP($B55,'Millennium Perf Network 032017'!$A$2:$AI$5000,13,FALSE),"")</f>
        <v>Yes</v>
      </c>
      <c r="F55" s="10" t="str">
        <f>_xlfn.IFNA(VLOOKUP($B55,'Millennium Perf Network 032017'!$A$2:$AI$5000,12,FALSE),"")</f>
        <v>Case Management / Health Home</v>
      </c>
      <c r="G55" s="2"/>
      <c r="H55" s="2">
        <v>29032</v>
      </c>
      <c r="I55" s="2"/>
      <c r="J55" s="4">
        <f t="shared" si="9"/>
        <v>29032</v>
      </c>
    </row>
    <row r="56" spans="1:10" x14ac:dyDescent="0.25">
      <c r="A56" s="43"/>
      <c r="B56" s="2" t="str">
        <f>"1609042605"</f>
        <v>1609042605</v>
      </c>
      <c r="C56" s="2"/>
      <c r="D56" s="10" t="str">
        <f>_xlfn.IFNA(VLOOKUP($B56,'Millennium Perf Network 032017'!$A$2:$AI$5000,18,FALSE),"")</f>
        <v>CHILD AND FAMILY SERVICES OF ERIE COUNTY</v>
      </c>
      <c r="E56" s="10" t="str">
        <f>_xlfn.IFNA(VLOOKUP($B56,'Millennium Perf Network 032017'!$A$2:$AI$5000,13,FALSE),"")</f>
        <v>Yes</v>
      </c>
      <c r="F56" s="10" t="str">
        <f>_xlfn.IFNA(VLOOKUP($B56,'Millennium Perf Network 032017'!$A$2:$AI$5000,12,FALSE),"")</f>
        <v>Uncategorized</v>
      </c>
      <c r="G56" s="2"/>
      <c r="H56" s="2">
        <v>58065</v>
      </c>
      <c r="I56" s="2"/>
      <c r="J56" s="4">
        <f t="shared" si="9"/>
        <v>58065</v>
      </c>
    </row>
    <row r="57" spans="1:10" x14ac:dyDescent="0.25">
      <c r="A57" s="43"/>
      <c r="B57" s="2"/>
      <c r="C57" s="2" t="str">
        <f>"02253469"</f>
        <v>02253469</v>
      </c>
      <c r="D57" s="2" t="s">
        <v>15525</v>
      </c>
      <c r="E57" s="10" t="str">
        <f>_xlfn.IFNA(VLOOKUP($B57,'Millennium Perf Network 032017'!$A$2:$AI$5000,13,FALSE),"")</f>
        <v/>
      </c>
      <c r="F57" s="10" t="str">
        <f>_xlfn.IFNA(VLOOKUP($B57,'Millennium Perf Network 032017'!$A$2:$AI$5000,12,FALSE),"")</f>
        <v/>
      </c>
      <c r="G57" s="2"/>
      <c r="H57" s="2">
        <v>87097</v>
      </c>
      <c r="I57" s="2"/>
      <c r="J57" s="4">
        <f t="shared" si="9"/>
        <v>87097</v>
      </c>
    </row>
    <row r="58" spans="1:10" s="29" customFormat="1" x14ac:dyDescent="0.25">
      <c r="A58" s="43"/>
      <c r="B58" s="2" t="str">
        <f>"1689880494"</f>
        <v>1689880494</v>
      </c>
      <c r="C58" s="2"/>
      <c r="D58" s="10" t="str">
        <f>_xlfn.IFNA(VLOOKUP($B58,'Millennium Perf Network 032017'!$A$2:$AI$5000,18,FALSE),"")</f>
        <v>ERIE COUNTY MEDICAL CENTER CORPORATION</v>
      </c>
      <c r="E58" s="10" t="str">
        <f>_xlfn.IFNA(VLOOKUP($B58,'Millennium Perf Network 032017'!$A$2:$AI$5000,13,FALSE),"")</f>
        <v>Yes</v>
      </c>
      <c r="F58" s="10" t="str">
        <f>_xlfn.IFNA(VLOOKUP($B58,'Millennium Perf Network 032017'!$A$2:$AI$5000,12,FALSE),"")</f>
        <v>All Other:: Case Management / Health Home:: Clinic:: Hospital:: Mental Health:: Substance Abuse</v>
      </c>
      <c r="G58" s="2"/>
      <c r="H58" s="2"/>
      <c r="I58" s="2"/>
      <c r="J58" s="4">
        <f t="shared" si="9"/>
        <v>0</v>
      </c>
    </row>
    <row r="59" spans="1:10" s="29" customFormat="1" x14ac:dyDescent="0.25">
      <c r="A59" s="43"/>
      <c r="B59" s="2" t="str">
        <f>"1043387152"</f>
        <v>1043387152</v>
      </c>
      <c r="C59" s="2"/>
      <c r="D59" s="10" t="str">
        <f>_xlfn.IFNA(VLOOKUP($B59,'Millennium Perf Network 032017'!$A$2:$AI$5000,18,FALSE),"")</f>
        <v>HORIZON HEALTH SERVICES, INC.</v>
      </c>
      <c r="E59" s="10" t="str">
        <f>_xlfn.IFNA(VLOOKUP($B59,'Millennium Perf Network 032017'!$A$2:$AI$5000,13,FALSE),"")</f>
        <v>Yes</v>
      </c>
      <c r="F59" s="10" t="str">
        <f>_xlfn.IFNA(VLOOKUP($B59,'Millennium Perf Network 032017'!$A$2:$AI$5000,12,FALSE),"")</f>
        <v>All Other:: Case Management / Health Home:: Clinic:: Mental Health:: Substance Abuse</v>
      </c>
      <c r="G59" s="2"/>
      <c r="H59" s="2">
        <v>116129</v>
      </c>
      <c r="I59" s="2"/>
      <c r="J59" s="4">
        <f t="shared" si="9"/>
        <v>116129</v>
      </c>
    </row>
    <row r="60" spans="1:10" s="29" customFormat="1" x14ac:dyDescent="0.25">
      <c r="A60" s="43"/>
      <c r="B60" s="2" t="str">
        <f>"1689708109"</f>
        <v>1689708109</v>
      </c>
      <c r="C60" s="2"/>
      <c r="D60" s="10" t="str">
        <f>_xlfn.IFNA(VLOOKUP($B60,'Millennium Perf Network 032017'!$A$2:$AI$5000,18,FALSE),"")</f>
        <v>KALEIDA HEALTH</v>
      </c>
      <c r="E60" s="10" t="str">
        <f>_xlfn.IFNA(VLOOKUP($B60,'Millennium Perf Network 032017'!$A$2:$AI$5000,13,FALSE),"")</f>
        <v>Yes</v>
      </c>
      <c r="F60" s="10" t="str">
        <f>_xlfn.IFNA(VLOOKUP($B60,'Millennium Perf Network 032017'!$A$2:$AI$5000,12,FALSE),"")</f>
        <v>All Other:: Clinic:: Hospital:: Mental Health:: Pharmacy:: Substance Abuse</v>
      </c>
      <c r="G60" s="2"/>
      <c r="H60" s="2"/>
      <c r="I60" s="2"/>
      <c r="J60" s="4">
        <f t="shared" si="9"/>
        <v>0</v>
      </c>
    </row>
    <row r="61" spans="1:10" s="29" customFormat="1" x14ac:dyDescent="0.25">
      <c r="A61" s="43"/>
      <c r="B61" s="2" t="str">
        <f>"1023230695"</f>
        <v>1023230695</v>
      </c>
      <c r="C61" s="2"/>
      <c r="D61" s="10" t="str">
        <f>_xlfn.IFNA(VLOOKUP($B61,'Millennium Perf Network 032017'!$A$2:$AI$5000,18,FALSE),"")</f>
        <v>LAKE SHORE BEHAVIORAL HEALTH, INC.</v>
      </c>
      <c r="E61" s="10" t="str">
        <f>_xlfn.IFNA(VLOOKUP($B61,'Millennium Perf Network 032017'!$A$2:$AI$5000,13,FALSE),"")</f>
        <v>Yes</v>
      </c>
      <c r="F61" s="10" t="str">
        <f>_xlfn.IFNA(VLOOKUP($B61,'Millennium Perf Network 032017'!$A$2:$AI$5000,12,FALSE),"")</f>
        <v>All Other:: Case Management / Health Home:: Mental Health:: Substance Abuse</v>
      </c>
      <c r="G61" s="2"/>
      <c r="H61" s="2">
        <v>87097</v>
      </c>
      <c r="I61" s="2"/>
      <c r="J61" s="4">
        <f t="shared" si="9"/>
        <v>87097</v>
      </c>
    </row>
    <row r="62" spans="1:10" s="29" customFormat="1" x14ac:dyDescent="0.25">
      <c r="A62" s="43"/>
      <c r="B62" s="2" t="s">
        <v>25280</v>
      </c>
      <c r="C62" s="2"/>
      <c r="D62" s="22" t="str">
        <f>_xlfn.IFNA(VLOOKUP($B62,'Millennium Perf Network 032017'!$A$2:$AI$5000,18,FALSE),"")</f>
        <v>MENTAL HEALTH SERVICES OF ERIE COUNTY SECV</v>
      </c>
      <c r="E62" s="10" t="str">
        <f>_xlfn.IFNA(VLOOKUP($B62,'Millennium Perf Network 032017'!$A$2:$AI$5000,13,FALSE),"")</f>
        <v>Yes</v>
      </c>
      <c r="F62" s="10" t="str">
        <f>_xlfn.IFNA(VLOOKUP($B62,'Millennium Perf Network 032017'!$A$2:$AI$5000,12,FALSE),"")</f>
        <v>All Other:: Mental Health:: Substance Abuse</v>
      </c>
      <c r="G62" s="2"/>
      <c r="H62" s="2">
        <v>58065</v>
      </c>
      <c r="I62" s="2"/>
      <c r="J62" s="4">
        <f t="shared" si="9"/>
        <v>58065</v>
      </c>
    </row>
    <row r="63" spans="1:10" s="29" customFormat="1" x14ac:dyDescent="0.25">
      <c r="A63" s="43"/>
      <c r="B63" s="2" t="str">
        <f>"1225095201"</f>
        <v>1225095201</v>
      </c>
      <c r="C63" s="2"/>
      <c r="D63" s="10" t="str">
        <f>_xlfn.IFNA(VLOOKUP($B63,'Millennium Perf Network 032017'!$A$2:$AI$5000,18,FALSE),"")</f>
        <v>MID ERIE MENTAL HEALTH SERVICES INC</v>
      </c>
      <c r="E63" s="10" t="str">
        <f>_xlfn.IFNA(VLOOKUP($B63,'Millennium Perf Network 032017'!$A$2:$AI$5000,13,FALSE),"")</f>
        <v>Yes</v>
      </c>
      <c r="F63" s="10" t="str">
        <f>_xlfn.IFNA(VLOOKUP($B63,'Millennium Perf Network 032017'!$A$2:$AI$5000,12,FALSE),"")</f>
        <v>All Other:: Case Management / Health Home:: Mental Health:: Substance Abuse</v>
      </c>
      <c r="G63" s="2"/>
      <c r="H63" s="2">
        <v>58065</v>
      </c>
      <c r="I63" s="2"/>
      <c r="J63" s="4">
        <f t="shared" si="9"/>
        <v>58065</v>
      </c>
    </row>
    <row r="64" spans="1:10" s="29" customFormat="1" x14ac:dyDescent="0.25">
      <c r="A64" s="43"/>
      <c r="B64" s="2" t="str">
        <f>"1841340569"</f>
        <v>1841340569</v>
      </c>
      <c r="C64" s="2"/>
      <c r="D64" s="10" t="str">
        <f>_xlfn.IFNA(VLOOKUP($B64,'Millennium Perf Network 032017'!$A$2:$AI$5000,18,FALSE),"")</f>
        <v>NIAGARA COUNTY TREASURERS OFFICE</v>
      </c>
      <c r="E64" s="10" t="str">
        <f>_xlfn.IFNA(VLOOKUP($B64,'Millennium Perf Network 032017'!$A$2:$AI$5000,13,FALSE),"")</f>
        <v>Yes</v>
      </c>
      <c r="F64" s="10" t="str">
        <f>_xlfn.IFNA(VLOOKUP($B64,'Millennium Perf Network 032017'!$A$2:$AI$5000,12,FALSE),"")</f>
        <v>All Other:: Mental Health</v>
      </c>
      <c r="G64" s="2"/>
      <c r="H64" s="2">
        <v>29032</v>
      </c>
      <c r="I64" s="2"/>
      <c r="J64" s="4">
        <f t="shared" si="9"/>
        <v>29032</v>
      </c>
    </row>
    <row r="65" spans="1:10" s="29" customFormat="1" x14ac:dyDescent="0.25">
      <c r="A65" s="43"/>
      <c r="B65" s="2" t="str">
        <f>"1285717298"</f>
        <v>1285717298</v>
      </c>
      <c r="C65" s="2"/>
      <c r="D65" s="10" t="str">
        <f>_xlfn.IFNA(VLOOKUP($B65,'Millennium Perf Network 032017'!$A$2:$AI$5000,18,FALSE),"")</f>
        <v>NIAGARA FALLS MEMORIAL MEDICAL CENTER</v>
      </c>
      <c r="E65" s="10" t="str">
        <f>_xlfn.IFNA(VLOOKUP($B65,'Millennium Perf Network 032017'!$A$2:$AI$5000,13,FALSE),"")</f>
        <v>Yes</v>
      </c>
      <c r="F65" s="10" t="str">
        <f>_xlfn.IFNA(VLOOKUP($B65,'Millennium Perf Network 032017'!$A$2:$AI$5000,12,FALSE),"")</f>
        <v>All Other:: Case Management / Health Home:: Clinic:: Hospital:: Mental Health</v>
      </c>
      <c r="G65" s="2"/>
      <c r="H65" s="2"/>
      <c r="I65" s="2"/>
      <c r="J65" s="4">
        <f t="shared" si="9"/>
        <v>0</v>
      </c>
    </row>
    <row r="66" spans="1:10" s="29" customFormat="1" x14ac:dyDescent="0.25">
      <c r="A66" s="43"/>
      <c r="B66" s="2" t="str">
        <f>"1265665954"</f>
        <v>1265665954</v>
      </c>
      <c r="C66" s="2"/>
      <c r="D66" s="37" t="str">
        <f>_xlfn.IFNA(VLOOKUP($B66,'Millennium Perf Network 032017'!$A$2:$AI$5000,18,FALSE),"")</f>
        <v>NORTHPOINTE COUNCIL INC</v>
      </c>
      <c r="E66" s="10" t="str">
        <f>_xlfn.IFNA(VLOOKUP($B66,'Millennium Perf Network 032017'!$A$2:$AI$5000,13,FALSE),"")</f>
        <v>Yes</v>
      </c>
      <c r="F66" s="10" t="str">
        <f>_xlfn.IFNA(VLOOKUP($B66,'Millennium Perf Network 032017'!$A$2:$AI$5000,12,FALSE),"")</f>
        <v>Substance Abuse</v>
      </c>
      <c r="G66" s="2"/>
      <c r="H66" s="2">
        <v>29032</v>
      </c>
      <c r="I66" s="2"/>
      <c r="J66" s="4">
        <f t="shared" si="9"/>
        <v>29032</v>
      </c>
    </row>
    <row r="67" spans="1:10" s="29" customFormat="1" x14ac:dyDescent="0.25">
      <c r="A67" s="43"/>
      <c r="B67" s="2"/>
      <c r="C67" s="2"/>
      <c r="D67" s="10" t="str">
        <f>_xlfn.IFNA(VLOOKUP($B67,'Millennium Perf Network 032017'!$A$2:$AI$5000,18,FALSE),"")</f>
        <v/>
      </c>
      <c r="E67" s="10" t="str">
        <f>_xlfn.IFNA(VLOOKUP($B67,'Millennium Perf Network 032017'!$A$2:$AI$5000,13,FALSE),"")</f>
        <v/>
      </c>
      <c r="F67" s="10" t="str">
        <f>_xlfn.IFNA(VLOOKUP($B67,'Millennium Perf Network 032017'!$A$2:$AI$5000,12,FALSE),"")</f>
        <v/>
      </c>
      <c r="G67" s="2"/>
      <c r="H67" s="2"/>
      <c r="I67" s="2"/>
      <c r="J67" s="4">
        <f t="shared" ref="J67" si="10">H67+I67</f>
        <v>0</v>
      </c>
    </row>
    <row r="68" spans="1:10" s="29" customFormat="1" x14ac:dyDescent="0.25">
      <c r="A68" s="43"/>
      <c r="B68" s="2"/>
      <c r="C68" s="2"/>
      <c r="D68" s="10" t="str">
        <f>_xlfn.IFNA(VLOOKUP($B68,'Millennium Perf Network 032017'!$A$2:$AI$5000,18,FALSE),"")</f>
        <v/>
      </c>
      <c r="E68" s="10" t="str">
        <f>_xlfn.IFNA(VLOOKUP($B68,'Millennium Perf Network 032017'!$A$2:$AI$5000,13,FALSE),"")</f>
        <v/>
      </c>
      <c r="F68" s="10" t="str">
        <f>_xlfn.IFNA(VLOOKUP($B68,'Millennium Perf Network 032017'!$A$2:$AI$5000,12,FALSE),"")</f>
        <v/>
      </c>
      <c r="G68" s="2"/>
      <c r="H68" s="2"/>
      <c r="I68" s="2"/>
      <c r="J68" s="4">
        <f t="shared" ref="J68" si="11">H68+I68</f>
        <v>0</v>
      </c>
    </row>
    <row r="69" spans="1:10" x14ac:dyDescent="0.25">
      <c r="A69" s="43"/>
      <c r="B69" s="2"/>
      <c r="C69" s="2"/>
      <c r="D69" s="10" t="str">
        <f>_xlfn.IFNA(VLOOKUP($B69,'Millennium Perf Network 032017'!$A$2:$AI$5000,18,FALSE),"")</f>
        <v/>
      </c>
      <c r="E69" s="10" t="str">
        <f>_xlfn.IFNA(VLOOKUP($B69,'Millennium Perf Network 032017'!$A$2:$AI$5000,13,FALSE),"")</f>
        <v/>
      </c>
      <c r="F69" s="10" t="str">
        <f>_xlfn.IFNA(VLOOKUP($B69,'Millennium Perf Network 032017'!$A$2:$AI$5000,12,FALSE),"")</f>
        <v/>
      </c>
      <c r="G69" s="2"/>
      <c r="H69" s="2"/>
      <c r="I69" s="2"/>
      <c r="J69" s="4">
        <f t="shared" ref="J69" si="12">H69+I69</f>
        <v>0</v>
      </c>
    </row>
    <row r="70" spans="1:10" x14ac:dyDescent="0.25">
      <c r="A70" s="43"/>
      <c r="B70" s="41" t="s">
        <v>35</v>
      </c>
      <c r="C70" s="42"/>
      <c r="D70" s="42"/>
      <c r="E70" s="42"/>
      <c r="F70" s="42"/>
      <c r="G70" s="42"/>
      <c r="H70" s="42"/>
      <c r="I70" s="42"/>
      <c r="J70" s="42"/>
    </row>
    <row r="71" spans="1:10" x14ac:dyDescent="0.25">
      <c r="A71" s="8"/>
      <c r="B71" s="9"/>
      <c r="C71" s="9"/>
      <c r="D71" s="9"/>
      <c r="E71" s="9"/>
      <c r="F71" s="9"/>
      <c r="G71" s="9"/>
      <c r="H71" s="12">
        <f>SUM(H53:H69)</f>
        <v>667743</v>
      </c>
      <c r="I71" s="12">
        <f>SUM(I53:I69)</f>
        <v>0</v>
      </c>
      <c r="J71" s="12">
        <f>SUM(J53:J69)</f>
        <v>667743</v>
      </c>
    </row>
    <row r="72" spans="1:10" x14ac:dyDescent="0.25">
      <c r="A72" s="43" t="s">
        <v>15</v>
      </c>
      <c r="B72" s="2"/>
      <c r="C72" s="2"/>
      <c r="D72" s="10" t="str">
        <f>_xlfn.IFNA(VLOOKUP($B72,'Millennium Perf Network 032017'!$A$2:$AI$5000,18,FALSE),"")</f>
        <v/>
      </c>
      <c r="E72" s="10" t="str">
        <f>_xlfn.IFNA(VLOOKUP($B72,'Millennium Perf Network 032017'!$A$2:$AI$5000,13,FALSE),"")</f>
        <v/>
      </c>
      <c r="F72" s="10" t="str">
        <f>_xlfn.IFNA(VLOOKUP($B72,'Millennium Perf Network 032017'!$A$2:$AI$5000,12,FALSE),"")</f>
        <v/>
      </c>
      <c r="G72" s="2"/>
      <c r="H72" s="2"/>
      <c r="I72" s="2"/>
      <c r="J72" s="4">
        <f t="shared" ref="J72:J74" si="13">H72+I72</f>
        <v>0</v>
      </c>
    </row>
    <row r="73" spans="1:10" x14ac:dyDescent="0.25">
      <c r="A73" s="43"/>
      <c r="B73" s="2"/>
      <c r="C73" s="2"/>
      <c r="D73" s="10" t="str">
        <f>_xlfn.IFNA(VLOOKUP($B73,'Millennium Perf Network 032017'!$A$2:$AI$5000,18,FALSE),"")</f>
        <v/>
      </c>
      <c r="E73" s="10" t="str">
        <f>_xlfn.IFNA(VLOOKUP($B73,'Millennium Perf Network 032017'!$A$2:$AI$5000,13,FALSE),"")</f>
        <v/>
      </c>
      <c r="F73" s="10" t="str">
        <f>_xlfn.IFNA(VLOOKUP($B73,'Millennium Perf Network 032017'!$A$2:$AI$5000,12,FALSE),"")</f>
        <v/>
      </c>
      <c r="G73" s="2"/>
      <c r="H73" s="2"/>
      <c r="I73" s="2"/>
      <c r="J73" s="4">
        <f t="shared" si="13"/>
        <v>0</v>
      </c>
    </row>
    <row r="74" spans="1:10" x14ac:dyDescent="0.25">
      <c r="A74" s="43"/>
      <c r="B74" s="2"/>
      <c r="C74" s="2"/>
      <c r="D74" s="10" t="str">
        <f>_xlfn.IFNA(VLOOKUP($B74,'Millennium Perf Network 032017'!$A$2:$AI$5000,18,FALSE),"")</f>
        <v/>
      </c>
      <c r="E74" s="10" t="str">
        <f>_xlfn.IFNA(VLOOKUP($B74,'Millennium Perf Network 032017'!$A$2:$AI$5000,13,FALSE),"")</f>
        <v/>
      </c>
      <c r="F74" s="10" t="str">
        <f>_xlfn.IFNA(VLOOKUP($B74,'Millennium Perf Network 032017'!$A$2:$AI$5000,12,FALSE),"")</f>
        <v/>
      </c>
      <c r="G74" s="2"/>
      <c r="H74" s="2"/>
      <c r="I74" s="2"/>
      <c r="J74" s="4">
        <f t="shared" si="13"/>
        <v>0</v>
      </c>
    </row>
    <row r="75" spans="1:10" x14ac:dyDescent="0.25">
      <c r="A75" s="43"/>
      <c r="B75" s="41" t="s">
        <v>35</v>
      </c>
      <c r="C75" s="42"/>
      <c r="D75" s="42"/>
      <c r="E75" s="42"/>
      <c r="F75" s="42"/>
      <c r="G75" s="42"/>
      <c r="H75" s="42"/>
      <c r="I75" s="42"/>
      <c r="J75" s="42"/>
    </row>
    <row r="76" spans="1:10" x14ac:dyDescent="0.25">
      <c r="A76" s="8"/>
      <c r="B76" s="9"/>
      <c r="C76" s="9"/>
      <c r="D76" s="9"/>
      <c r="E76" s="9"/>
      <c r="F76" s="9"/>
      <c r="G76" s="9"/>
      <c r="H76" s="12">
        <f>SUM(H72:H74)</f>
        <v>0</v>
      </c>
      <c r="I76" s="12">
        <f>SUM(I72:I74)</f>
        <v>0</v>
      </c>
      <c r="J76" s="12">
        <f>SUM(J72:J74)</f>
        <v>0</v>
      </c>
    </row>
    <row r="77" spans="1:10" x14ac:dyDescent="0.25">
      <c r="A77" s="43" t="s">
        <v>16</v>
      </c>
      <c r="B77" s="2"/>
      <c r="C77" s="2"/>
      <c r="D77" s="10" t="str">
        <f>_xlfn.IFNA(VLOOKUP($B77,'Millennium Perf Network 032017'!$A$2:$AI$5000,18,FALSE),"")</f>
        <v/>
      </c>
      <c r="E77" s="10" t="str">
        <f>_xlfn.IFNA(VLOOKUP($B77,'Millennium Perf Network 032017'!$A$2:$AI$5000,13,FALSE),"")</f>
        <v/>
      </c>
      <c r="F77" s="10" t="str">
        <f>_xlfn.IFNA(VLOOKUP($B77,'Millennium Perf Network 032017'!$A$2:$AI$5000,12,FALSE),"")</f>
        <v/>
      </c>
      <c r="G77" s="2"/>
      <c r="H77" s="2"/>
      <c r="I77" s="2"/>
      <c r="J77" s="4">
        <f t="shared" ref="J77:J79" si="14">H77+I77</f>
        <v>0</v>
      </c>
    </row>
    <row r="78" spans="1:10" x14ac:dyDescent="0.25">
      <c r="A78" s="43"/>
      <c r="B78" s="2"/>
      <c r="C78" s="2"/>
      <c r="D78" s="10" t="str">
        <f>_xlfn.IFNA(VLOOKUP($B78,'Millennium Perf Network 032017'!$A$2:$AI$5000,18,FALSE),"")</f>
        <v/>
      </c>
      <c r="E78" s="10" t="str">
        <f>_xlfn.IFNA(VLOOKUP($B78,'Millennium Perf Network 032017'!$A$2:$AI$5000,13,FALSE),"")</f>
        <v/>
      </c>
      <c r="F78" s="10" t="str">
        <f>_xlfn.IFNA(VLOOKUP($B78,'Millennium Perf Network 032017'!$A$2:$AI$5000,12,FALSE),"")</f>
        <v/>
      </c>
      <c r="G78" s="2"/>
      <c r="H78" s="2"/>
      <c r="I78" s="2"/>
      <c r="J78" s="4">
        <f t="shared" si="14"/>
        <v>0</v>
      </c>
    </row>
    <row r="79" spans="1:10" x14ac:dyDescent="0.25">
      <c r="A79" s="43"/>
      <c r="B79" s="2"/>
      <c r="C79" s="2"/>
      <c r="D79" s="10" t="str">
        <f>_xlfn.IFNA(VLOOKUP($B79,'Millennium Perf Network 032017'!$A$2:$AI$5000,18,FALSE),"")</f>
        <v/>
      </c>
      <c r="E79" s="10" t="str">
        <f>_xlfn.IFNA(VLOOKUP($B79,'Millennium Perf Network 032017'!$A$2:$AI$5000,13,FALSE),"")</f>
        <v/>
      </c>
      <c r="F79" s="10" t="str">
        <f>_xlfn.IFNA(VLOOKUP($B79,'Millennium Perf Network 032017'!$A$2:$AI$5000,12,FALSE),"")</f>
        <v/>
      </c>
      <c r="G79" s="2"/>
      <c r="H79" s="2"/>
      <c r="I79" s="2"/>
      <c r="J79" s="4">
        <f t="shared" si="14"/>
        <v>0</v>
      </c>
    </row>
    <row r="80" spans="1:10" x14ac:dyDescent="0.25">
      <c r="A80" s="43"/>
      <c r="B80" s="41" t="s">
        <v>35</v>
      </c>
      <c r="C80" s="42"/>
      <c r="D80" s="42"/>
      <c r="E80" s="42"/>
      <c r="F80" s="42"/>
      <c r="G80" s="42"/>
      <c r="H80" s="42"/>
      <c r="I80" s="42"/>
      <c r="J80" s="42"/>
    </row>
    <row r="81" spans="1:10" x14ac:dyDescent="0.25">
      <c r="A81" s="8"/>
      <c r="B81" s="9"/>
      <c r="C81" s="9"/>
      <c r="D81" s="9"/>
      <c r="E81" s="9"/>
      <c r="F81" s="9"/>
      <c r="G81" s="9"/>
      <c r="H81" s="12">
        <f>SUM(H77:H79)</f>
        <v>0</v>
      </c>
      <c r="I81" s="12">
        <f>SUM(I77:I79)</f>
        <v>0</v>
      </c>
      <c r="J81" s="12">
        <f>SUM(J77:J79)</f>
        <v>0</v>
      </c>
    </row>
    <row r="82" spans="1:10" x14ac:dyDescent="0.25">
      <c r="A82" s="43" t="s">
        <v>17</v>
      </c>
      <c r="B82" s="2"/>
      <c r="C82" s="2"/>
      <c r="D82" s="10" t="str">
        <f>_xlfn.IFNA(VLOOKUP($B82,'Millennium Perf Network 032017'!$A$2:$AI$5000,18,FALSE),"")</f>
        <v/>
      </c>
      <c r="E82" s="10" t="str">
        <f>_xlfn.IFNA(VLOOKUP($B82,'Millennium Perf Network 032017'!$A$2:$AI$5000,13,FALSE),"")</f>
        <v/>
      </c>
      <c r="F82" s="10" t="str">
        <f>_xlfn.IFNA(VLOOKUP($B82,'Millennium Perf Network 032017'!$A$2:$AI$5000,12,FALSE),"")</f>
        <v/>
      </c>
      <c r="G82" s="2"/>
      <c r="H82" s="2"/>
      <c r="I82" s="2"/>
      <c r="J82" s="4">
        <f t="shared" ref="J82:J84" si="15">H82+I82</f>
        <v>0</v>
      </c>
    </row>
    <row r="83" spans="1:10" x14ac:dyDescent="0.25">
      <c r="A83" s="43"/>
      <c r="B83" s="2"/>
      <c r="C83" s="2"/>
      <c r="D83" s="10" t="str">
        <f>_xlfn.IFNA(VLOOKUP($B83,'Millennium Perf Network 032017'!$A$2:$AI$5000,18,FALSE),"")</f>
        <v/>
      </c>
      <c r="E83" s="10" t="str">
        <f>_xlfn.IFNA(VLOOKUP($B83,'Millennium Perf Network 032017'!$A$2:$AI$5000,13,FALSE),"")</f>
        <v/>
      </c>
      <c r="F83" s="10" t="str">
        <f>_xlfn.IFNA(VLOOKUP($B83,'Millennium Perf Network 032017'!$A$2:$AI$5000,12,FALSE),"")</f>
        <v/>
      </c>
      <c r="G83" s="2"/>
      <c r="H83" s="2"/>
      <c r="I83" s="2"/>
      <c r="J83" s="4">
        <f t="shared" si="15"/>
        <v>0</v>
      </c>
    </row>
    <row r="84" spans="1:10" x14ac:dyDescent="0.25">
      <c r="A84" s="43"/>
      <c r="B84" s="2"/>
      <c r="C84" s="2"/>
      <c r="D84" s="10" t="str">
        <f>_xlfn.IFNA(VLOOKUP($B84,'Millennium Perf Network 032017'!$A$2:$AI$5000,18,FALSE),"")</f>
        <v/>
      </c>
      <c r="E84" s="10" t="str">
        <f>_xlfn.IFNA(VLOOKUP($B84,'Millennium Perf Network 032017'!$A$2:$AI$5000,13,FALSE),"")</f>
        <v/>
      </c>
      <c r="F84" s="10" t="str">
        <f>_xlfn.IFNA(VLOOKUP($B84,'Millennium Perf Network 032017'!$A$2:$AI$5000,12,FALSE),"")</f>
        <v/>
      </c>
      <c r="G84" s="2"/>
      <c r="H84" s="2"/>
      <c r="I84" s="2"/>
      <c r="J84" s="4">
        <f t="shared" si="15"/>
        <v>0</v>
      </c>
    </row>
    <row r="85" spans="1:10" x14ac:dyDescent="0.25">
      <c r="A85" s="43"/>
      <c r="B85" s="41" t="s">
        <v>35</v>
      </c>
      <c r="C85" s="42"/>
      <c r="D85" s="42"/>
      <c r="E85" s="42"/>
      <c r="F85" s="42"/>
      <c r="G85" s="42"/>
      <c r="H85" s="42"/>
      <c r="I85" s="42"/>
      <c r="J85" s="42"/>
    </row>
    <row r="86" spans="1:10" x14ac:dyDescent="0.25">
      <c r="A86" s="8"/>
      <c r="B86" s="9"/>
      <c r="C86" s="9"/>
      <c r="D86" s="9"/>
      <c r="E86" s="9"/>
      <c r="F86" s="9"/>
      <c r="G86" s="9"/>
      <c r="H86" s="12">
        <f>SUM(H82:H84)</f>
        <v>0</v>
      </c>
      <c r="I86" s="12">
        <f>SUM(I82:I84)</f>
        <v>0</v>
      </c>
      <c r="J86" s="12">
        <f>SUM(J82:J84)</f>
        <v>0</v>
      </c>
    </row>
    <row r="87" spans="1:10" x14ac:dyDescent="0.25">
      <c r="A87" s="43" t="s">
        <v>18</v>
      </c>
      <c r="B87" s="2"/>
      <c r="C87" s="2"/>
      <c r="D87" s="2" t="s">
        <v>24063</v>
      </c>
      <c r="E87" s="10"/>
      <c r="F87" s="10"/>
      <c r="G87" s="2"/>
      <c r="H87" s="2">
        <v>138660</v>
      </c>
      <c r="I87" s="2"/>
      <c r="J87" s="4">
        <f>H87+I87</f>
        <v>138660</v>
      </c>
    </row>
    <row r="88" spans="1:10" x14ac:dyDescent="0.25">
      <c r="A88" s="43"/>
      <c r="B88" s="2"/>
      <c r="C88" s="2"/>
      <c r="D88" s="2" t="s">
        <v>19838</v>
      </c>
      <c r="E88" s="10"/>
      <c r="F88" s="10"/>
      <c r="G88" s="2"/>
      <c r="H88" s="2">
        <v>91383.99</v>
      </c>
      <c r="I88" s="2"/>
      <c r="J88" s="4">
        <f>H88+I88</f>
        <v>91383.99</v>
      </c>
    </row>
    <row r="89" spans="1:10" x14ac:dyDescent="0.25">
      <c r="A89" s="43"/>
      <c r="B89" s="2"/>
      <c r="C89" s="2"/>
      <c r="D89" s="2" t="s">
        <v>25282</v>
      </c>
      <c r="E89" s="10"/>
      <c r="F89" s="10"/>
      <c r="G89" s="2"/>
      <c r="H89" s="2">
        <v>37728.410000000003</v>
      </c>
      <c r="I89" s="2"/>
      <c r="J89" s="4">
        <f>H89+I89</f>
        <v>37728.410000000003</v>
      </c>
    </row>
    <row r="90" spans="1:10" x14ac:dyDescent="0.25">
      <c r="A90" s="43"/>
      <c r="B90" s="2"/>
      <c r="C90" s="2"/>
      <c r="D90" s="2" t="s">
        <v>18777</v>
      </c>
      <c r="E90" s="10"/>
      <c r="F90" s="10"/>
      <c r="G90" s="2"/>
      <c r="H90" s="2">
        <v>105440.34</v>
      </c>
      <c r="I90" s="2"/>
      <c r="J90" s="4">
        <f>H90+I90</f>
        <v>105440.34</v>
      </c>
    </row>
    <row r="91" spans="1:10" s="29" customFormat="1" x14ac:dyDescent="0.25">
      <c r="A91" s="43"/>
      <c r="B91" s="2"/>
      <c r="C91" s="2"/>
      <c r="D91" s="2" t="s">
        <v>19902</v>
      </c>
      <c r="E91" s="10"/>
      <c r="F91" s="10"/>
      <c r="G91" s="2"/>
      <c r="H91" s="2">
        <v>47793.71</v>
      </c>
      <c r="I91" s="2"/>
      <c r="J91" s="4">
        <f>H91+I91</f>
        <v>47793.71</v>
      </c>
    </row>
    <row r="92" spans="1:10" s="29" customFormat="1" x14ac:dyDescent="0.25">
      <c r="A92" s="43"/>
      <c r="B92" s="2"/>
      <c r="C92" s="2"/>
      <c r="D92" s="2"/>
      <c r="E92" s="10"/>
      <c r="F92" s="10"/>
      <c r="G92" s="2"/>
      <c r="H92" s="2"/>
      <c r="I92" s="2"/>
      <c r="J92" s="4">
        <f t="shared" ref="J92" si="16">H92+I92</f>
        <v>0</v>
      </c>
    </row>
    <row r="93" spans="1:10" s="29" customFormat="1" x14ac:dyDescent="0.25">
      <c r="A93" s="43"/>
      <c r="B93" s="2"/>
      <c r="C93" s="2"/>
      <c r="D93" s="10"/>
      <c r="E93" s="10"/>
      <c r="F93" s="10"/>
      <c r="G93" s="2"/>
      <c r="H93" s="2"/>
      <c r="I93" s="2"/>
      <c r="J93" s="4">
        <f t="shared" ref="J93" si="17">H93+I93</f>
        <v>0</v>
      </c>
    </row>
    <row r="94" spans="1:10" x14ac:dyDescent="0.25">
      <c r="A94" s="43"/>
      <c r="B94" s="2"/>
      <c r="C94" s="2"/>
      <c r="D94" s="10"/>
      <c r="E94" s="10"/>
      <c r="F94" s="10"/>
      <c r="G94" s="2"/>
      <c r="H94" s="2"/>
      <c r="I94" s="2"/>
      <c r="J94" s="4">
        <f t="shared" ref="J94" si="18">H94+I94</f>
        <v>0</v>
      </c>
    </row>
    <row r="95" spans="1:10" x14ac:dyDescent="0.25">
      <c r="A95" s="43"/>
      <c r="B95" s="41" t="s">
        <v>35</v>
      </c>
      <c r="C95" s="42"/>
      <c r="D95" s="42"/>
      <c r="E95" s="42"/>
      <c r="F95" s="42"/>
      <c r="G95" s="42"/>
      <c r="H95" s="42"/>
      <c r="I95" s="42"/>
      <c r="J95" s="42"/>
    </row>
    <row r="96" spans="1:10" x14ac:dyDescent="0.25">
      <c r="A96" s="8"/>
      <c r="B96" s="24"/>
      <c r="C96" s="9"/>
      <c r="D96" s="9"/>
      <c r="E96" s="9"/>
      <c r="F96" s="9"/>
      <c r="G96" s="9"/>
      <c r="H96" s="12">
        <f>SUM(H87:H94)</f>
        <v>421006.45</v>
      </c>
      <c r="I96" s="12">
        <f>SUM(I87:I94)</f>
        <v>0</v>
      </c>
      <c r="J96" s="12">
        <f>SUM(J87:J94)</f>
        <v>421006.45</v>
      </c>
    </row>
    <row r="97" spans="1:10" x14ac:dyDescent="0.25">
      <c r="A97" s="45" t="s">
        <v>19</v>
      </c>
      <c r="B97" s="23" t="s">
        <v>25269</v>
      </c>
      <c r="C97" s="25"/>
      <c r="D97" s="10" t="str">
        <f>_xlfn.IFNA(VLOOKUP($B97,'Millennium Perf Network 032017'!$A$2:$AI$5000,18,FALSE),"")</f>
        <v>1818 COMO PARK BOULEVARD OPERATING COMPANY LLC</v>
      </c>
      <c r="E97" s="10" t="str">
        <f>_xlfn.IFNA(VLOOKUP($B97,'Millennium Perf Network 032017'!$A$2:$AI$5000,13,FALSE),"")</f>
        <v>Yes</v>
      </c>
      <c r="F97" s="10" t="str">
        <f>_xlfn.IFNA(VLOOKUP($B97,'Millennium Perf Network 032017'!$A$2:$AI$5000,12,FALSE),"")</f>
        <v>All Other:: Nursing Home</v>
      </c>
      <c r="G97" s="2"/>
      <c r="H97" s="2">
        <v>6585</v>
      </c>
      <c r="I97" s="2"/>
      <c r="J97" s="4">
        <f t="shared" ref="J97:J136" si="19">H97+I97</f>
        <v>6585</v>
      </c>
    </row>
    <row r="98" spans="1:10" x14ac:dyDescent="0.25">
      <c r="A98" s="45"/>
      <c r="B98" s="23" t="s">
        <v>25271</v>
      </c>
      <c r="C98" s="25"/>
      <c r="D98" s="10" t="str">
        <f>_xlfn.IFNA(VLOOKUP($B98,'Millennium Perf Network 032017'!$A$2:$AI$5000,18,FALSE),"")</f>
        <v>200 BASSETT ROAD OPERATING COMPANY LLC</v>
      </c>
      <c r="E98" s="10" t="str">
        <f>_xlfn.IFNA(VLOOKUP($B98,'Millennium Perf Network 032017'!$A$2:$AI$5000,13,FALSE),"")</f>
        <v>Yes</v>
      </c>
      <c r="F98" s="10" t="str">
        <f>_xlfn.IFNA(VLOOKUP($B98,'Millennium Perf Network 032017'!$A$2:$AI$5000,12,FALSE),"")</f>
        <v>All Other:: Nursing Home</v>
      </c>
      <c r="G98" s="2"/>
      <c r="H98" s="2">
        <v>19756</v>
      </c>
      <c r="I98" s="2"/>
      <c r="J98" s="4">
        <f t="shared" si="19"/>
        <v>19756</v>
      </c>
    </row>
    <row r="99" spans="1:10" s="27" customFormat="1" x14ac:dyDescent="0.25">
      <c r="A99" s="45"/>
      <c r="B99" s="23" t="s">
        <v>25266</v>
      </c>
      <c r="C99" s="25"/>
      <c r="D99" s="10" t="str">
        <f>_xlfn.IFNA(VLOOKUP($B99,'Millennium Perf Network 032017'!$A$2:$AI$5000,18,FALSE),"")</f>
        <v>225 BENNETT ROAD OPERATING COMPANY LLC</v>
      </c>
      <c r="E99" s="10" t="str">
        <f>_xlfn.IFNA(VLOOKUP($B99,'Millennium Perf Network 032017'!$A$2:$AI$5000,13,FALSE),"")</f>
        <v>Yes</v>
      </c>
      <c r="F99" s="10" t="str">
        <f>_xlfn.IFNA(VLOOKUP($B99,'Millennium Perf Network 032017'!$A$2:$AI$5000,12,FALSE),"")</f>
        <v>All Other:: Nursing Home</v>
      </c>
      <c r="G99" s="2"/>
      <c r="H99" s="2">
        <v>13171</v>
      </c>
      <c r="I99" s="2"/>
      <c r="J99" s="4">
        <f t="shared" si="19"/>
        <v>13171</v>
      </c>
    </row>
    <row r="100" spans="1:10" s="27" customFormat="1" x14ac:dyDescent="0.25">
      <c r="A100" s="45"/>
      <c r="B100" s="23" t="s">
        <v>25270</v>
      </c>
      <c r="C100" s="25"/>
      <c r="D100" s="10" t="str">
        <f>_xlfn.IFNA(VLOOKUP($B100,'Millennium Perf Network 032017'!$A$2:$AI$5000,18,FALSE),"")</f>
        <v>2600 NIAGARA FALLS BOULEVARD OPERATING COMPANY LLC</v>
      </c>
      <c r="E100" s="10" t="str">
        <f>_xlfn.IFNA(VLOOKUP($B100,'Millennium Perf Network 032017'!$A$2:$AI$5000,13,FALSE),"")</f>
        <v>Yes</v>
      </c>
      <c r="F100" s="10" t="str">
        <f>_xlfn.IFNA(VLOOKUP($B100,'Millennium Perf Network 032017'!$A$2:$AI$5000,12,FALSE),"")</f>
        <v>All Other:: Nursing Home</v>
      </c>
      <c r="G100" s="2"/>
      <c r="H100" s="2">
        <v>6585</v>
      </c>
      <c r="I100" s="2"/>
      <c r="J100" s="4">
        <f t="shared" si="19"/>
        <v>6585</v>
      </c>
    </row>
    <row r="101" spans="1:10" s="27" customFormat="1" x14ac:dyDescent="0.25">
      <c r="A101" s="45"/>
      <c r="B101" s="23" t="s">
        <v>25267</v>
      </c>
      <c r="C101" s="25"/>
      <c r="D101" s="10" t="str">
        <f>_xlfn.IFNA(VLOOKUP($B101,'Millennium Perf Network 032017'!$A$2:$AI$5000,18,FALSE),"")</f>
        <v>2850 GRAND ISLAND BOULEVARD OPERATING COMPANY LLC</v>
      </c>
      <c r="E101" s="10" t="str">
        <f>_xlfn.IFNA(VLOOKUP($B101,'Millennium Perf Network 032017'!$A$2:$AI$5000,13,FALSE),"")</f>
        <v>Yes</v>
      </c>
      <c r="F101" s="10" t="str">
        <f>_xlfn.IFNA(VLOOKUP($B101,'Millennium Perf Network 032017'!$A$2:$AI$5000,12,FALSE),"")</f>
        <v>All Other:: Nursing Home</v>
      </c>
      <c r="G101" s="2"/>
      <c r="H101" s="2">
        <v>6585</v>
      </c>
      <c r="I101" s="2"/>
      <c r="J101" s="4">
        <f t="shared" si="19"/>
        <v>6585</v>
      </c>
    </row>
    <row r="102" spans="1:10" s="27" customFormat="1" x14ac:dyDescent="0.25">
      <c r="A102" s="45"/>
      <c r="B102" s="23" t="s">
        <v>25265</v>
      </c>
      <c r="C102" s="25"/>
      <c r="D102" s="10" t="str">
        <f>_xlfn.IFNA(VLOOKUP($B102,'Millennium Perf Network 032017'!$A$2:$AI$5000,18,FALSE),"")</f>
        <v>4459 BAILEY AVENUE OPERATING COMPANY LLC</v>
      </c>
      <c r="E102" s="10" t="str">
        <f>_xlfn.IFNA(VLOOKUP($B102,'Millennium Perf Network 032017'!$A$2:$AI$5000,13,FALSE),"")</f>
        <v>Yes</v>
      </c>
      <c r="F102" s="10" t="str">
        <f>_xlfn.IFNA(VLOOKUP($B102,'Millennium Perf Network 032017'!$A$2:$AI$5000,12,FALSE),"")</f>
        <v>All Other:: Nursing Home</v>
      </c>
      <c r="G102" s="2"/>
      <c r="H102" s="2">
        <v>6585</v>
      </c>
      <c r="I102" s="2"/>
      <c r="J102" s="4">
        <f t="shared" si="19"/>
        <v>6585</v>
      </c>
    </row>
    <row r="103" spans="1:10" s="27" customFormat="1" x14ac:dyDescent="0.25">
      <c r="A103" s="45"/>
      <c r="B103" s="23" t="s">
        <v>25268</v>
      </c>
      <c r="C103" s="25"/>
      <c r="D103" s="10" t="str">
        <f>_xlfn.IFNA(VLOOKUP($B103,'Millennium Perf Network 032017'!$A$2:$AI$5000,18,FALSE),"")</f>
        <v>5775 MAELOU DRIVE OPERATING COMPANY LLC</v>
      </c>
      <c r="E103" s="10" t="str">
        <f>_xlfn.IFNA(VLOOKUP($B103,'Millennium Perf Network 032017'!$A$2:$AI$5000,13,FALSE),"")</f>
        <v>Yes</v>
      </c>
      <c r="F103" s="10" t="str">
        <f>_xlfn.IFNA(VLOOKUP($B103,'Millennium Perf Network 032017'!$A$2:$AI$5000,12,FALSE),"")</f>
        <v>All Other:: Nursing Home</v>
      </c>
      <c r="G103" s="2"/>
      <c r="H103" s="2">
        <v>13171</v>
      </c>
      <c r="I103" s="2"/>
      <c r="J103" s="4">
        <f t="shared" si="19"/>
        <v>13171</v>
      </c>
    </row>
    <row r="104" spans="1:10" s="27" customFormat="1" x14ac:dyDescent="0.25">
      <c r="A104" s="45"/>
      <c r="B104" s="23" t="s">
        <v>25253</v>
      </c>
      <c r="C104" s="25"/>
      <c r="D104" s="10" t="str">
        <f>_xlfn.IFNA(VLOOKUP($B104,'Millennium Perf Network 032017'!$A$2:$AI$5000,18,FALSE),"")</f>
        <v>ABSOLUT CENTER FOR NURSING AND REHABILITATION AT ALLEGANY, LLC</v>
      </c>
      <c r="E104" s="10" t="str">
        <f>_xlfn.IFNA(VLOOKUP($B104,'Millennium Perf Network 032017'!$A$2:$AI$5000,13,FALSE),"")</f>
        <v>Yes</v>
      </c>
      <c r="F104" s="10" t="str">
        <f>_xlfn.IFNA(VLOOKUP($B104,'Millennium Perf Network 032017'!$A$2:$AI$5000,12,FALSE),"")</f>
        <v>Nursing Home</v>
      </c>
      <c r="G104" s="2"/>
      <c r="H104" s="2">
        <v>6585</v>
      </c>
      <c r="I104" s="2"/>
      <c r="J104" s="4">
        <f t="shared" si="19"/>
        <v>6585</v>
      </c>
    </row>
    <row r="105" spans="1:10" s="27" customFormat="1" x14ac:dyDescent="0.25">
      <c r="A105" s="45"/>
      <c r="B105" s="23" t="s">
        <v>25255</v>
      </c>
      <c r="C105" s="25"/>
      <c r="D105" s="10" t="str">
        <f>_xlfn.IFNA(VLOOKUP($B105,'Millennium Perf Network 032017'!$A$2:$AI$5000,18,FALSE),"")</f>
        <v>ABSOLUT CENTER FOR NURSING AND REHABILITATION AT AURORA PARK, LLC</v>
      </c>
      <c r="E105" s="10" t="str">
        <f>_xlfn.IFNA(VLOOKUP($B105,'Millennium Perf Network 032017'!$A$2:$AI$5000,13,FALSE),"")</f>
        <v>Yes</v>
      </c>
      <c r="F105" s="10" t="str">
        <f>_xlfn.IFNA(VLOOKUP($B105,'Millennium Perf Network 032017'!$A$2:$AI$5000,12,FALSE),"")</f>
        <v>Nursing Home</v>
      </c>
      <c r="G105" s="2"/>
      <c r="H105" s="2">
        <v>19756</v>
      </c>
      <c r="I105" s="2"/>
      <c r="J105" s="4">
        <f t="shared" si="19"/>
        <v>19756</v>
      </c>
    </row>
    <row r="106" spans="1:10" s="27" customFormat="1" x14ac:dyDescent="0.25">
      <c r="A106" s="45"/>
      <c r="B106" s="23" t="s">
        <v>25254</v>
      </c>
      <c r="C106" s="25"/>
      <c r="D106" s="10" t="str">
        <f>_xlfn.IFNA(VLOOKUP($B106,'Millennium Perf Network 032017'!$A$2:$AI$5000,18,FALSE),"")</f>
        <v>ABSOLUT CENTER FOR NURSING AND REHABILITATION AT DUNKIRK, LLC</v>
      </c>
      <c r="E106" s="10" t="str">
        <f>_xlfn.IFNA(VLOOKUP($B106,'Millennium Perf Network 032017'!$A$2:$AI$5000,13,FALSE),"")</f>
        <v>Yes</v>
      </c>
      <c r="F106" s="10" t="str">
        <f>_xlfn.IFNA(VLOOKUP($B106,'Millennium Perf Network 032017'!$A$2:$AI$5000,12,FALSE),"")</f>
        <v>Nursing Home</v>
      </c>
      <c r="G106" s="2"/>
      <c r="H106" s="2">
        <v>6585</v>
      </c>
      <c r="I106" s="2"/>
      <c r="J106" s="4">
        <f t="shared" si="19"/>
        <v>6585</v>
      </c>
    </row>
    <row r="107" spans="1:10" s="27" customFormat="1" x14ac:dyDescent="0.25">
      <c r="A107" s="45"/>
      <c r="B107" s="23" t="s">
        <v>25256</v>
      </c>
      <c r="C107" s="25"/>
      <c r="D107" s="10" t="str">
        <f>_xlfn.IFNA(VLOOKUP($B107,'Millennium Perf Network 032017'!$A$2:$AI$5000,18,FALSE),"")</f>
        <v>ABSOLUT CENTER FOR NURSING AND REHABILITATION AT EDEN, LLC</v>
      </c>
      <c r="E107" s="10" t="str">
        <f>_xlfn.IFNA(VLOOKUP($B107,'Millennium Perf Network 032017'!$A$2:$AI$5000,13,FALSE),"")</f>
        <v>Yes</v>
      </c>
      <c r="F107" s="10" t="str">
        <f>_xlfn.IFNA(VLOOKUP($B107,'Millennium Perf Network 032017'!$A$2:$AI$5000,12,FALSE),"")</f>
        <v>Nursing Home</v>
      </c>
      <c r="G107" s="2"/>
      <c r="H107" s="2">
        <v>6585</v>
      </c>
      <c r="I107" s="2"/>
      <c r="J107" s="4">
        <f t="shared" si="19"/>
        <v>6585</v>
      </c>
    </row>
    <row r="108" spans="1:10" s="27" customFormat="1" x14ac:dyDescent="0.25">
      <c r="A108" s="45"/>
      <c r="B108" s="23" t="s">
        <v>25257</v>
      </c>
      <c r="C108" s="25"/>
      <c r="D108" s="10" t="str">
        <f>_xlfn.IFNA(VLOOKUP($B108,'Millennium Perf Network 032017'!$A$2:$AI$5000,18,FALSE),"")</f>
        <v>ABSOLUT CENTER FOR NURSING AND REHABILITATION AT GASPORT, LLC</v>
      </c>
      <c r="E108" s="10" t="str">
        <f>_xlfn.IFNA(VLOOKUP($B108,'Millennium Perf Network 032017'!$A$2:$AI$5000,13,FALSE),"")</f>
        <v>Yes</v>
      </c>
      <c r="F108" s="10" t="str">
        <f>_xlfn.IFNA(VLOOKUP($B108,'Millennium Perf Network 032017'!$A$2:$AI$5000,12,FALSE),"")</f>
        <v>Nursing Home</v>
      </c>
      <c r="G108" s="2"/>
      <c r="H108" s="2">
        <v>6585</v>
      </c>
      <c r="I108" s="2"/>
      <c r="J108" s="4">
        <f t="shared" si="19"/>
        <v>6585</v>
      </c>
    </row>
    <row r="109" spans="1:10" s="27" customFormat="1" x14ac:dyDescent="0.25">
      <c r="A109" s="45"/>
      <c r="B109" s="23" t="s">
        <v>25258</v>
      </c>
      <c r="C109" s="25"/>
      <c r="D109" s="10" t="str">
        <f>_xlfn.IFNA(VLOOKUP($B109,'Millennium Perf Network 032017'!$A$2:$AI$5000,18,FALSE),"")</f>
        <v>ABSOLUT CENTER FOR NURSING AND REHABILITATION AT HOUGHTON, LLC</v>
      </c>
      <c r="E109" s="10" t="str">
        <f>_xlfn.IFNA(VLOOKUP($B109,'Millennium Perf Network 032017'!$A$2:$AI$5000,13,FALSE),"")</f>
        <v>Yes</v>
      </c>
      <c r="F109" s="10" t="str">
        <f>_xlfn.IFNA(VLOOKUP($B109,'Millennium Perf Network 032017'!$A$2:$AI$5000,12,FALSE),"")</f>
        <v>Nursing Home</v>
      </c>
      <c r="G109" s="2"/>
      <c r="H109" s="2">
        <v>6585</v>
      </c>
      <c r="I109" s="2"/>
      <c r="J109" s="4">
        <f t="shared" si="19"/>
        <v>6585</v>
      </c>
    </row>
    <row r="110" spans="1:10" s="27" customFormat="1" x14ac:dyDescent="0.25">
      <c r="A110" s="45"/>
      <c r="B110" s="23" t="s">
        <v>25259</v>
      </c>
      <c r="C110" s="25"/>
      <c r="D110" s="10" t="str">
        <f>_xlfn.IFNA(VLOOKUP($B110,'Millennium Perf Network 032017'!$A$2:$AI$5000,18,FALSE),"")</f>
        <v>ABSOLUT CENTER FOR NURSING AND REHABILITATION AT ORCHARD PARK, LLC</v>
      </c>
      <c r="E110" s="10" t="str">
        <f>_xlfn.IFNA(VLOOKUP($B110,'Millennium Perf Network 032017'!$A$2:$AI$5000,13,FALSE),"")</f>
        <v>Yes</v>
      </c>
      <c r="F110" s="10" t="str">
        <f>_xlfn.IFNA(VLOOKUP($B110,'Millennium Perf Network 032017'!$A$2:$AI$5000,12,FALSE),"")</f>
        <v>Nursing Home</v>
      </c>
      <c r="G110" s="2"/>
      <c r="H110" s="2">
        <v>19756</v>
      </c>
      <c r="I110" s="2"/>
      <c r="J110" s="4">
        <f t="shared" si="19"/>
        <v>19756</v>
      </c>
    </row>
    <row r="111" spans="1:10" s="27" customFormat="1" x14ac:dyDescent="0.25">
      <c r="A111" s="45"/>
      <c r="B111" s="23" t="s">
        <v>25260</v>
      </c>
      <c r="C111" s="25"/>
      <c r="D111" s="10" t="str">
        <f>_xlfn.IFNA(VLOOKUP($B111,'Millennium Perf Network 032017'!$A$2:$AI$5000,18,FALSE),"")</f>
        <v>ABSOLUT CENTER FOR NURSING AND REHABILITATION AT SALAMANCA, LLC</v>
      </c>
      <c r="E111" s="10" t="str">
        <f>_xlfn.IFNA(VLOOKUP($B111,'Millennium Perf Network 032017'!$A$2:$AI$5000,13,FALSE),"")</f>
        <v>Yes</v>
      </c>
      <c r="F111" s="10" t="str">
        <f>_xlfn.IFNA(VLOOKUP($B111,'Millennium Perf Network 032017'!$A$2:$AI$5000,12,FALSE),"")</f>
        <v>Nursing Home</v>
      </c>
      <c r="G111" s="2"/>
      <c r="H111" s="2">
        <v>6585</v>
      </c>
      <c r="I111" s="2"/>
      <c r="J111" s="4">
        <f t="shared" si="19"/>
        <v>6585</v>
      </c>
    </row>
    <row r="112" spans="1:10" s="27" customFormat="1" x14ac:dyDescent="0.25">
      <c r="A112" s="45"/>
      <c r="B112" s="23" t="s">
        <v>25261</v>
      </c>
      <c r="C112" s="25"/>
      <c r="D112" s="10" t="str">
        <f>_xlfn.IFNA(VLOOKUP($B112,'Millennium Perf Network 032017'!$A$2:$AI$5000,18,FALSE),"")</f>
        <v>ABSOLUT CENTER FOR NURSING AND REHABILITATION AT WESTFIELD, LLC</v>
      </c>
      <c r="E112" s="10" t="str">
        <f>_xlfn.IFNA(VLOOKUP($B112,'Millennium Perf Network 032017'!$A$2:$AI$5000,13,FALSE),"")</f>
        <v>Yes</v>
      </c>
      <c r="F112" s="10" t="str">
        <f>_xlfn.IFNA(VLOOKUP($B112,'Millennium Perf Network 032017'!$A$2:$AI$5000,12,FALSE),"")</f>
        <v>Nursing Home</v>
      </c>
      <c r="G112" s="2"/>
      <c r="H112" s="2">
        <v>6585</v>
      </c>
      <c r="I112" s="2"/>
      <c r="J112" s="4">
        <f t="shared" si="19"/>
        <v>6585</v>
      </c>
    </row>
    <row r="113" spans="1:10" s="27" customFormat="1" x14ac:dyDescent="0.25">
      <c r="A113" s="45"/>
      <c r="B113" s="2" t="str">
        <f>"1083979025"</f>
        <v>1083979025</v>
      </c>
      <c r="C113" s="25"/>
      <c r="D113" s="10" t="str">
        <f>_xlfn.IFNA(VLOOKUP($B113,'Millennium Perf Network 032017'!$A$2:$AI$5000,18,FALSE),"")</f>
        <v>AMERIFALLS LLC</v>
      </c>
      <c r="E113" s="22" t="str">
        <f>_xlfn.IFNA(VLOOKUP($B113,'Millennium Perf Network 032017'!$A$2:$AI$5000,13,FALSE),"")</f>
        <v>Yes</v>
      </c>
      <c r="F113" s="10" t="str">
        <f>_xlfn.IFNA(VLOOKUP($B113,'Millennium Perf Network 032017'!$A$2:$AI$5000,12,FALSE),"")</f>
        <v>Nursing Home</v>
      </c>
      <c r="G113" s="2"/>
      <c r="H113" s="2">
        <v>13171</v>
      </c>
      <c r="I113" s="2"/>
      <c r="J113" s="4">
        <f t="shared" si="19"/>
        <v>13171</v>
      </c>
    </row>
    <row r="114" spans="1:10" s="27" customFormat="1" x14ac:dyDescent="0.25">
      <c r="A114" s="45"/>
      <c r="B114" s="23" t="s">
        <v>25262</v>
      </c>
      <c r="C114" s="25"/>
      <c r="D114" s="10" t="str">
        <f>_xlfn.IFNA(VLOOKUP($B114,'Millennium Perf Network 032017'!$A$2:$AI$5000,18,FALSE),"")</f>
        <v>BEECHWOOD HEALTH CARE CENTER INC.</v>
      </c>
      <c r="E114" s="10" t="str">
        <f>_xlfn.IFNA(VLOOKUP($B114,'Millennium Perf Network 032017'!$A$2:$AI$5000,13,FALSE),"")</f>
        <v>Yes</v>
      </c>
      <c r="F114" s="10" t="str">
        <f>_xlfn.IFNA(VLOOKUP($B114,'Millennium Perf Network 032017'!$A$2:$AI$5000,12,FALSE),"")</f>
        <v>All Other:: Nursing Home</v>
      </c>
      <c r="G114" s="2"/>
      <c r="H114" s="2">
        <v>19756</v>
      </c>
      <c r="I114" s="2"/>
      <c r="J114" s="4">
        <f t="shared" si="19"/>
        <v>19756</v>
      </c>
    </row>
    <row r="115" spans="1:10" s="27" customFormat="1" x14ac:dyDescent="0.25">
      <c r="A115" s="45"/>
      <c r="B115" s="23" t="s">
        <v>25263</v>
      </c>
      <c r="C115" s="25"/>
      <c r="D115" s="10" t="str">
        <f>_xlfn.IFNA(VLOOKUP($B115,'Millennium Perf Network 032017'!$A$2:$AI$5000,18,FALSE),"")</f>
        <v>BRIODY HEALTH CARE FACILTIY LLC</v>
      </c>
      <c r="E115" s="10" t="str">
        <f>_xlfn.IFNA(VLOOKUP($B115,'Millennium Perf Network 032017'!$A$2:$AI$5000,13,FALSE),"")</f>
        <v>Yes</v>
      </c>
      <c r="F115" s="10" t="str">
        <f>_xlfn.IFNA(VLOOKUP($B115,'Millennium Perf Network 032017'!$A$2:$AI$5000,12,FALSE),"")</f>
        <v>All Other:: Nursing Home</v>
      </c>
      <c r="G115" s="2"/>
      <c r="H115" s="2">
        <v>6585</v>
      </c>
      <c r="I115" s="2"/>
      <c r="J115" s="4">
        <f t="shared" si="19"/>
        <v>6585</v>
      </c>
    </row>
    <row r="116" spans="1:10" s="27" customFormat="1" x14ac:dyDescent="0.25">
      <c r="A116" s="45"/>
      <c r="B116" s="23" t="s">
        <v>25264</v>
      </c>
      <c r="C116" s="25"/>
      <c r="D116" s="10" t="str">
        <f>_xlfn.IFNA(VLOOKUP($B116,'Millennium Perf Network 032017'!$A$2:$AI$5000,18,FALSE),"")</f>
        <v>BROTHERS OF MERCY NURSING HOME COMPANY INC</v>
      </c>
      <c r="E116" s="10" t="str">
        <f>_xlfn.IFNA(VLOOKUP($B116,'Millennium Perf Network 032017'!$A$2:$AI$5000,13,FALSE),"")</f>
        <v>Yes</v>
      </c>
      <c r="F116" s="10" t="str">
        <f>_xlfn.IFNA(VLOOKUP($B116,'Millennium Perf Network 032017'!$A$2:$AI$5000,12,FALSE),"")</f>
        <v>All Other:: Nursing Home</v>
      </c>
      <c r="G116" s="2"/>
      <c r="H116" s="2">
        <v>19756</v>
      </c>
      <c r="I116" s="2"/>
      <c r="J116" s="4">
        <f t="shared" si="19"/>
        <v>19756</v>
      </c>
    </row>
    <row r="117" spans="1:10" x14ac:dyDescent="0.25">
      <c r="A117" s="45"/>
      <c r="B117" s="2" t="str">
        <f>"1689656852"</f>
        <v>1689656852</v>
      </c>
      <c r="C117" s="25"/>
      <c r="D117" s="10" t="str">
        <f>_xlfn.IFNA(VLOOKUP($B117,'Millennium Perf Network 032017'!$A$2:$AI$5000,18,FALSE),"")</f>
        <v>CUBA MEMORIAL HOSPITAL INC</v>
      </c>
      <c r="E117" s="10" t="str">
        <f>_xlfn.IFNA(VLOOKUP($B117,'Millennium Perf Network 032017'!$A$2:$AI$5000,13,FALSE),"")</f>
        <v>Yes</v>
      </c>
      <c r="F117" s="10" t="str">
        <f>_xlfn.IFNA(VLOOKUP($B117,'Millennium Perf Network 032017'!$A$2:$AI$5000,12,FALSE),"")</f>
        <v>All Other:: Nursing Home</v>
      </c>
      <c r="G117" s="2"/>
      <c r="H117" s="2">
        <v>6585</v>
      </c>
      <c r="I117" s="2"/>
      <c r="J117" s="4">
        <f t="shared" si="19"/>
        <v>6585</v>
      </c>
    </row>
    <row r="118" spans="1:10" x14ac:dyDescent="0.25">
      <c r="A118" s="45"/>
      <c r="B118" s="2" t="str">
        <f>"1215143029"</f>
        <v>1215143029</v>
      </c>
      <c r="C118" s="25"/>
      <c r="D118" s="10" t="str">
        <f>_xlfn.IFNA(VLOOKUP($B118,'Millennium Perf Network 032017'!$A$2:$AI$5000,18,FALSE),"")</f>
        <v>ERIE COUNTY MEDICAL CENTER CORPORATION</v>
      </c>
      <c r="E118" s="10" t="str">
        <f>_xlfn.IFNA(VLOOKUP($B118,'Millennium Perf Network 032017'!$A$2:$AI$5000,13,FALSE),"")</f>
        <v>Yes</v>
      </c>
      <c r="F118" s="10" t="str">
        <f>_xlfn.IFNA(VLOOKUP($B118,'Millennium Perf Network 032017'!$A$2:$AI$5000,12,FALSE),"")</f>
        <v>All Other:: Nursing Home:: Pharmacy</v>
      </c>
      <c r="G118" s="2"/>
      <c r="H118" s="2">
        <v>19756</v>
      </c>
      <c r="I118" s="2"/>
      <c r="J118" s="4">
        <f t="shared" si="19"/>
        <v>19756</v>
      </c>
    </row>
    <row r="119" spans="1:10" s="28" customFormat="1" x14ac:dyDescent="0.25">
      <c r="A119" s="45"/>
      <c r="B119" s="23" t="s">
        <v>25279</v>
      </c>
      <c r="C119" s="25"/>
      <c r="D119" s="10" t="str">
        <f>_xlfn.IFNA(VLOOKUP($B119,'Millennium Perf Network 032017'!$A$2:$AI$5000,18,FALSE),"")</f>
        <v>G N H LLC</v>
      </c>
      <c r="E119" s="10" t="str">
        <f>_xlfn.IFNA(VLOOKUP($B119,'Millennium Perf Network 032017'!$A$2:$AI$5000,13,FALSE),"")</f>
        <v>Yes</v>
      </c>
      <c r="F119" s="10" t="str">
        <f>_xlfn.IFNA(VLOOKUP($B119,'Millennium Perf Network 032017'!$A$2:$AI$5000,12,FALSE),"")</f>
        <v>Nursing Home</v>
      </c>
      <c r="G119" s="2"/>
      <c r="H119" s="2">
        <v>13171</v>
      </c>
      <c r="I119" s="2"/>
      <c r="J119" s="4">
        <f t="shared" si="19"/>
        <v>13171</v>
      </c>
    </row>
    <row r="120" spans="1:10" s="28" customFormat="1" x14ac:dyDescent="0.25">
      <c r="A120" s="45"/>
      <c r="B120" s="2" t="str">
        <f>"1003812330"</f>
        <v>1003812330</v>
      </c>
      <c r="C120" s="25"/>
      <c r="D120" s="10" t="str">
        <f>_xlfn.IFNA(VLOOKUP($B120,'Millennium Perf Network 032017'!$A$2:$AI$5000,18,FALSE),"")</f>
        <v>GERRY HOMES INC</v>
      </c>
      <c r="E120" s="10" t="str">
        <f>_xlfn.IFNA(VLOOKUP($B120,'Millennium Perf Network 032017'!$A$2:$AI$5000,13,FALSE),"")</f>
        <v>Yes</v>
      </c>
      <c r="F120" s="10" t="str">
        <f>_xlfn.IFNA(VLOOKUP($B120,'Millennium Perf Network 032017'!$A$2:$AI$5000,12,FALSE),"")</f>
        <v>All Other:: Nursing Home</v>
      </c>
      <c r="G120" s="2"/>
      <c r="H120" s="2">
        <v>19756</v>
      </c>
      <c r="I120" s="2"/>
      <c r="J120" s="4">
        <f t="shared" si="19"/>
        <v>19756</v>
      </c>
    </row>
    <row r="121" spans="1:10" s="28" customFormat="1" x14ac:dyDescent="0.25">
      <c r="A121" s="45"/>
      <c r="B121" s="35" t="s">
        <v>25272</v>
      </c>
      <c r="C121" s="25"/>
      <c r="D121" s="10" t="str">
        <f>_xlfn.IFNA(VLOOKUP($B121,'Millennium Perf Network 032017'!$A$2:$AI$5000,18,FALSE),"")</f>
        <v>HERITAGE VILLAGE REHAB &amp; SKILLED NURSING INC</v>
      </c>
      <c r="E121" s="10" t="str">
        <f>_xlfn.IFNA(VLOOKUP($B121,'Millennium Perf Network 032017'!$A$2:$AI$5000,13,FALSE),"")</f>
        <v>Yes</v>
      </c>
      <c r="F121" s="10" t="str">
        <f>_xlfn.IFNA(VLOOKUP($B121,'Millennium Perf Network 032017'!$A$2:$AI$5000,12,FALSE),"")</f>
        <v>All Other:: Nursing Home</v>
      </c>
      <c r="G121" s="2"/>
      <c r="H121" s="2">
        <v>6585</v>
      </c>
      <c r="I121" s="2"/>
      <c r="J121" s="4">
        <f t="shared" si="19"/>
        <v>6585</v>
      </c>
    </row>
    <row r="122" spans="1:10" s="28" customFormat="1" x14ac:dyDescent="0.25">
      <c r="A122" s="45"/>
      <c r="B122" s="31"/>
      <c r="C122" s="34"/>
      <c r="D122" s="32" t="s">
        <v>25295</v>
      </c>
      <c r="E122" s="32"/>
      <c r="F122" s="32"/>
      <c r="G122" s="2"/>
      <c r="H122" s="2">
        <v>13171</v>
      </c>
      <c r="I122" s="2"/>
      <c r="J122" s="4">
        <f t="shared" si="19"/>
        <v>13171</v>
      </c>
    </row>
    <row r="123" spans="1:10" s="28" customFormat="1" x14ac:dyDescent="0.25">
      <c r="A123" s="45"/>
      <c r="B123" s="2" t="str">
        <f>"1316361298"</f>
        <v>1316361298</v>
      </c>
      <c r="C123" s="25"/>
      <c r="D123" s="10" t="str">
        <f>_xlfn.IFNA(VLOOKUP($B123,'Millennium Perf Network 032017'!$A$2:$AI$5000,18,FALSE),"")</f>
        <v>JSSG HEALTHCARE LLC.</v>
      </c>
      <c r="E123" s="10" t="str">
        <f>_xlfn.IFNA(VLOOKUP($B123,'Millennium Perf Network 032017'!$A$2:$AI$5000,13,FALSE),"")</f>
        <v>Yes</v>
      </c>
      <c r="F123" s="10" t="str">
        <f>_xlfn.IFNA(VLOOKUP($B123,'Millennium Perf Network 032017'!$A$2:$AI$5000,12,FALSE),"")</f>
        <v>All Other:: Nursing Home</v>
      </c>
      <c r="G123" s="2"/>
      <c r="H123" s="2">
        <v>6585</v>
      </c>
      <c r="I123" s="2"/>
      <c r="J123" s="4">
        <f t="shared" si="19"/>
        <v>6585</v>
      </c>
    </row>
    <row r="124" spans="1:10" s="28" customFormat="1" x14ac:dyDescent="0.25">
      <c r="A124" s="45"/>
      <c r="B124" s="2" t="str">
        <f>"1366489221"</f>
        <v>1366489221</v>
      </c>
      <c r="C124" s="25"/>
      <c r="D124" s="10" t="str">
        <f>_xlfn.IFNA(VLOOKUP($B124,'Millennium Perf Network 032017'!$A$2:$AI$5000,18,FALSE),"")</f>
        <v>KALEIDA HEALTH</v>
      </c>
      <c r="E124" s="10" t="str">
        <f>_xlfn.IFNA(VLOOKUP($B124,'Millennium Perf Network 032017'!$A$2:$AI$5000,13,FALSE),"")</f>
        <v>Yes</v>
      </c>
      <c r="F124" s="10" t="str">
        <f>_xlfn.IFNA(VLOOKUP($B124,'Millennium Perf Network 032017'!$A$2:$AI$5000,12,FALSE),"")</f>
        <v>All Other:: Nursing Home</v>
      </c>
      <c r="G124" s="2"/>
      <c r="H124" s="2">
        <v>26341</v>
      </c>
      <c r="I124" s="2"/>
      <c r="J124" s="4">
        <f t="shared" si="19"/>
        <v>26341</v>
      </c>
    </row>
    <row r="125" spans="1:10" s="28" customFormat="1" x14ac:dyDescent="0.25">
      <c r="A125" s="45"/>
      <c r="B125" s="23" t="s">
        <v>25273</v>
      </c>
      <c r="C125" s="25"/>
      <c r="D125" s="10" t="str">
        <f>_xlfn.IFNA(VLOOKUP($B125,'Millennium Perf Network 032017'!$A$2:$AI$5000,18,FALSE),"")</f>
        <v>LEROY VILLAGE GREEN RESIDENTIAL HEALTH CARE FACILITY INC</v>
      </c>
      <c r="E125" s="10" t="str">
        <f>_xlfn.IFNA(VLOOKUP($B125,'Millennium Perf Network 032017'!$A$2:$AI$5000,13,FALSE),"")</f>
        <v>Yes</v>
      </c>
      <c r="F125" s="10" t="str">
        <f>_xlfn.IFNA(VLOOKUP($B125,'Millennium Perf Network 032017'!$A$2:$AI$5000,12,FALSE),"")</f>
        <v>Nursing Home</v>
      </c>
      <c r="G125" s="2"/>
      <c r="H125" s="2">
        <v>6585</v>
      </c>
      <c r="I125" s="2"/>
      <c r="J125" s="4">
        <f t="shared" si="19"/>
        <v>6585</v>
      </c>
    </row>
    <row r="126" spans="1:10" s="29" customFormat="1" x14ac:dyDescent="0.25">
      <c r="A126" s="45"/>
      <c r="B126" s="23" t="s">
        <v>25274</v>
      </c>
      <c r="C126" s="25"/>
      <c r="D126" s="10" t="str">
        <f>_xlfn.IFNA(VLOOKUP($B126,'Millennium Perf Network 032017'!$A$2:$AI$5000,18,FALSE),"")</f>
        <v>LUTHERAN SOCIAL SERVICES OF UPSTATE NEW YORK, INC.</v>
      </c>
      <c r="E126" s="10" t="str">
        <f>_xlfn.IFNA(VLOOKUP($B126,'Millennium Perf Network 032017'!$A$2:$AI$5000,13,FALSE),"")</f>
        <v>Yes</v>
      </c>
      <c r="F126" s="10" t="str">
        <f>_xlfn.IFNA(VLOOKUP($B126,'Millennium Perf Network 032017'!$A$2:$AI$5000,12,FALSE),"")</f>
        <v>All Other:: Nursing Home</v>
      </c>
      <c r="G126" s="2"/>
      <c r="H126" s="2">
        <v>6585</v>
      </c>
      <c r="I126" s="2"/>
      <c r="J126" s="4">
        <f t="shared" si="19"/>
        <v>6585</v>
      </c>
    </row>
    <row r="127" spans="1:10" s="29" customFormat="1" x14ac:dyDescent="0.25">
      <c r="A127" s="45"/>
      <c r="B127" s="2"/>
      <c r="C127" s="25"/>
      <c r="D127" s="10" t="s">
        <v>25284</v>
      </c>
      <c r="E127" s="10" t="str">
        <f>_xlfn.IFNA(VLOOKUP($B127,'Millennium Perf Network 032017'!$A$2:$AI$5000,13,FALSE),"")</f>
        <v/>
      </c>
      <c r="F127" s="10" t="str">
        <f>_xlfn.IFNA(VLOOKUP($B127,'Millennium Perf Network 032017'!$A$2:$AI$5000,12,FALSE),"")</f>
        <v/>
      </c>
      <c r="G127" s="2"/>
      <c r="H127" s="2">
        <v>79024</v>
      </c>
      <c r="I127" s="2"/>
      <c r="J127" s="4">
        <f t="shared" si="19"/>
        <v>79024</v>
      </c>
    </row>
    <row r="128" spans="1:10" s="29" customFormat="1" x14ac:dyDescent="0.25">
      <c r="A128" s="45"/>
      <c r="B128" s="23"/>
      <c r="C128" s="25"/>
      <c r="D128" s="10" t="s">
        <v>25297</v>
      </c>
      <c r="E128" s="22" t="str">
        <f>_xlfn.IFNA(VLOOKUP($B128,'Millennium Perf Network 032017'!$A$2:$AI$5000,13,FALSE),"")</f>
        <v/>
      </c>
      <c r="F128" s="10" t="str">
        <f>_xlfn.IFNA(VLOOKUP($B128,'Millennium Perf Network 032017'!$A$2:$AI$5000,12,FALSE),"")</f>
        <v/>
      </c>
      <c r="G128" s="2"/>
      <c r="H128" s="2">
        <v>13171</v>
      </c>
      <c r="I128" s="2"/>
      <c r="J128" s="4">
        <f t="shared" si="19"/>
        <v>13171</v>
      </c>
    </row>
    <row r="129" spans="1:10" s="29" customFormat="1" x14ac:dyDescent="0.25">
      <c r="A129" s="45"/>
      <c r="B129" s="23" t="s">
        <v>25275</v>
      </c>
      <c r="C129" s="25"/>
      <c r="D129" s="10" t="str">
        <f>_xlfn.IFNA(VLOOKUP($B129,'Millennium Perf Network 032017'!$A$2:$AI$5000,18,FALSE),"")</f>
        <v>ODD FELLOW AND REBEKAH REHABILITATION AND HEALTH CARE CENTER</v>
      </c>
      <c r="E129" s="10" t="str">
        <f>_xlfn.IFNA(VLOOKUP($B129,'Millennium Perf Network 032017'!$A$2:$AI$5000,13,FALSE),"")</f>
        <v>Yes</v>
      </c>
      <c r="F129" s="10" t="str">
        <f>_xlfn.IFNA(VLOOKUP($B129,'Millennium Perf Network 032017'!$A$2:$AI$5000,12,FALSE),"")</f>
        <v>Nursing Home</v>
      </c>
      <c r="G129" s="2"/>
      <c r="H129" s="2">
        <v>6585</v>
      </c>
      <c r="I129" s="2"/>
      <c r="J129" s="4">
        <f t="shared" si="19"/>
        <v>6585</v>
      </c>
    </row>
    <row r="130" spans="1:10" s="29" customFormat="1" x14ac:dyDescent="0.25">
      <c r="A130" s="43"/>
      <c r="B130" s="2" t="str">
        <f>"1104916022"</f>
        <v>1104916022</v>
      </c>
      <c r="C130" s="2"/>
      <c r="D130" s="10" t="str">
        <f>_xlfn.IFNA(VLOOKUP($B130,'Millennium Perf Network 032017'!$A$2:$AI$5000,18,FALSE),"")</f>
        <v>SCHOELLKOPF HEALTH CENTER</v>
      </c>
      <c r="E130" s="10" t="str">
        <f>_xlfn.IFNA(VLOOKUP($B130,'Millennium Perf Network 032017'!$A$2:$AI$5000,13,FALSE),"")</f>
        <v>Yes</v>
      </c>
      <c r="F130" s="10" t="str">
        <f>_xlfn.IFNA(VLOOKUP($B130,'Millennium Perf Network 032017'!$A$2:$AI$5000,12,FALSE),"")</f>
        <v>Nursing Home</v>
      </c>
      <c r="G130" s="2"/>
      <c r="H130" s="2">
        <v>6585</v>
      </c>
      <c r="I130" s="2"/>
      <c r="J130" s="4">
        <f t="shared" si="19"/>
        <v>6585</v>
      </c>
    </row>
    <row r="131" spans="1:10" s="29" customFormat="1" x14ac:dyDescent="0.25">
      <c r="A131" s="43"/>
      <c r="B131" s="2" t="str">
        <f>"1922123140"</f>
        <v>1922123140</v>
      </c>
      <c r="C131" s="2"/>
      <c r="D131" s="10" t="str">
        <f>_xlfn.IFNA(VLOOKUP($B131,'Millennium Perf Network 032017'!$A$2:$AI$5000,18,FALSE),"")</f>
        <v>TLC HEALTH NETWORK</v>
      </c>
      <c r="E131" s="10" t="str">
        <f>_xlfn.IFNA(VLOOKUP($B131,'Millennium Perf Network 032017'!$A$2:$AI$5000,13,FALSE),"")</f>
        <v>Yes</v>
      </c>
      <c r="F131" s="10" t="str">
        <f>_xlfn.IFNA(VLOOKUP($B131,'Millennium Perf Network 032017'!$A$2:$AI$5000,12,FALSE),"")</f>
        <v>All Other:: Nursing Home</v>
      </c>
      <c r="G131" s="2"/>
      <c r="H131" s="2">
        <v>6585</v>
      </c>
      <c r="I131" s="2"/>
      <c r="J131" s="4">
        <f t="shared" si="19"/>
        <v>6585</v>
      </c>
    </row>
    <row r="132" spans="1:10" s="29" customFormat="1" x14ac:dyDescent="0.25">
      <c r="A132" s="43"/>
      <c r="B132" s="23" t="s">
        <v>25277</v>
      </c>
      <c r="C132" s="2"/>
      <c r="D132" s="10" t="str">
        <f>_xlfn.IFNA(VLOOKUP($B132,'Millennium Perf Network 032017'!$A$2:$AI$5000,18,FALSE),"")</f>
        <v>WHEEL CHAIR HOME INC.</v>
      </c>
      <c r="E132" s="10" t="str">
        <f>_xlfn.IFNA(VLOOKUP($B132,'Millennium Perf Network 032017'!$A$2:$AI$5000,13,FALSE),"")</f>
        <v>Yes</v>
      </c>
      <c r="F132" s="10" t="str">
        <f>_xlfn.IFNA(VLOOKUP($B132,'Millennium Perf Network 032017'!$A$2:$AI$5000,12,FALSE),"")</f>
        <v>All Other:: Nursing Home</v>
      </c>
      <c r="G132" s="2"/>
      <c r="H132" s="2">
        <v>6585</v>
      </c>
      <c r="I132" s="2"/>
      <c r="J132" s="4">
        <f t="shared" si="19"/>
        <v>6585</v>
      </c>
    </row>
    <row r="133" spans="1:10" s="29" customFormat="1" x14ac:dyDescent="0.25">
      <c r="A133" s="43"/>
      <c r="B133" s="23" t="s">
        <v>25278</v>
      </c>
      <c r="C133" s="2"/>
      <c r="D133" s="10" t="str">
        <f>_xlfn.IFNA(VLOOKUP($B133,'Millennium Perf Network 032017'!$A$2:$AI$5000,18,FALSE),"")</f>
        <v>WYOMING COUNTY</v>
      </c>
      <c r="E133" s="10" t="str">
        <f>_xlfn.IFNA(VLOOKUP($B133,'Millennium Perf Network 032017'!$A$2:$AI$5000,13,FALSE),"")</f>
        <v>Yes</v>
      </c>
      <c r="F133" s="10" t="str">
        <f>_xlfn.IFNA(VLOOKUP($B133,'Millennium Perf Network 032017'!$A$2:$AI$5000,12,FALSE),"")</f>
        <v>All Other:: Nursing Home</v>
      </c>
      <c r="G133" s="2"/>
      <c r="H133" s="2">
        <v>13171</v>
      </c>
      <c r="I133" s="2"/>
      <c r="J133" s="4">
        <f t="shared" si="19"/>
        <v>13171</v>
      </c>
    </row>
    <row r="134" spans="1:10" s="29" customFormat="1" x14ac:dyDescent="0.25">
      <c r="A134" s="43"/>
      <c r="B134" s="2"/>
      <c r="C134" s="2"/>
      <c r="D134" s="10" t="str">
        <f>_xlfn.IFNA(VLOOKUP($B134,'Millennium Perf Network 032017'!$A$2:$AI$5000,18,FALSE),"")</f>
        <v/>
      </c>
      <c r="E134" s="10" t="str">
        <f>_xlfn.IFNA(VLOOKUP($B134,'Millennium Perf Network 032017'!$A$2:$AI$5000,13,FALSE),"")</f>
        <v/>
      </c>
      <c r="F134" s="10" t="str">
        <f>_xlfn.IFNA(VLOOKUP($B134,'Millennium Perf Network 032017'!$A$2:$AI$5000,12,FALSE),"")</f>
        <v/>
      </c>
      <c r="G134" s="2"/>
      <c r="H134" s="2"/>
      <c r="I134" s="2"/>
      <c r="J134" s="4">
        <f t="shared" si="19"/>
        <v>0</v>
      </c>
    </row>
    <row r="135" spans="1:10" s="28" customFormat="1" x14ac:dyDescent="0.25">
      <c r="A135" s="43"/>
      <c r="B135" s="2"/>
      <c r="C135" s="2"/>
      <c r="D135" s="10" t="str">
        <f>_xlfn.IFNA(VLOOKUP($B135,'Millennium Perf Network 032017'!$A$2:$AI$5000,18,FALSE),"")</f>
        <v/>
      </c>
      <c r="E135" s="10" t="str">
        <f>_xlfn.IFNA(VLOOKUP($B135,'Millennium Perf Network 032017'!$A$2:$AI$5000,13,FALSE),"")</f>
        <v/>
      </c>
      <c r="F135" s="10" t="str">
        <f>_xlfn.IFNA(VLOOKUP($B135,'Millennium Perf Network 032017'!$A$2:$AI$5000,12,FALSE),"")</f>
        <v/>
      </c>
      <c r="G135" s="2"/>
      <c r="H135" s="2"/>
      <c r="I135" s="2"/>
      <c r="J135" s="4">
        <f t="shared" si="19"/>
        <v>0</v>
      </c>
    </row>
    <row r="136" spans="1:10" x14ac:dyDescent="0.25">
      <c r="A136" s="43"/>
      <c r="B136" s="2"/>
      <c r="C136" s="2"/>
      <c r="D136" s="10" t="str">
        <f>_xlfn.IFNA(VLOOKUP($B136,'Millennium Perf Network 032017'!$A$2:$AI$5000,18,FALSE),"")</f>
        <v/>
      </c>
      <c r="E136" s="10" t="str">
        <f>_xlfn.IFNA(VLOOKUP($B136,'Millennium Perf Network 032017'!$A$2:$AI$5000,13,FALSE),"")</f>
        <v/>
      </c>
      <c r="F136" s="10" t="str">
        <f>_xlfn.IFNA(VLOOKUP($B136,'Millennium Perf Network 032017'!$A$2:$AI$5000,12,FALSE),"")</f>
        <v/>
      </c>
      <c r="G136" s="2"/>
      <c r="H136" s="2"/>
      <c r="I136" s="2"/>
      <c r="J136" s="4">
        <f t="shared" si="19"/>
        <v>0</v>
      </c>
    </row>
    <row r="137" spans="1:10" x14ac:dyDescent="0.25">
      <c r="A137" s="43"/>
      <c r="B137" s="41" t="s">
        <v>35</v>
      </c>
      <c r="C137" s="42"/>
      <c r="D137" s="42"/>
      <c r="E137" s="42"/>
      <c r="F137" s="42"/>
      <c r="G137" s="42"/>
      <c r="H137" s="42"/>
      <c r="I137" s="42"/>
      <c r="J137" s="42"/>
    </row>
    <row r="138" spans="1:10" x14ac:dyDescent="0.25">
      <c r="A138" s="8"/>
      <c r="B138" s="9"/>
      <c r="C138" s="9"/>
      <c r="D138" s="9"/>
      <c r="E138" s="9"/>
      <c r="F138" s="9"/>
      <c r="G138" s="9"/>
      <c r="H138" s="12">
        <f>SUM(H97:H136)</f>
        <v>474139</v>
      </c>
      <c r="I138" s="12">
        <f>SUM(I97:I136)</f>
        <v>0</v>
      </c>
      <c r="J138" s="12">
        <f>SUM(J97:J136)</f>
        <v>474139</v>
      </c>
    </row>
    <row r="139" spans="1:10" x14ac:dyDescent="0.25">
      <c r="A139" s="43" t="s">
        <v>20</v>
      </c>
      <c r="B139" s="2"/>
      <c r="C139" s="2"/>
      <c r="D139" s="10" t="str">
        <f>_xlfn.IFNA(VLOOKUP($B139,'Millennium Perf Network 032017'!$A$2:$AI$5000,18,FALSE),"")</f>
        <v/>
      </c>
      <c r="E139" s="10" t="str">
        <f>_xlfn.IFNA(VLOOKUP($B139,'Millennium Perf Network 032017'!$A$2:$AI$5000,13,FALSE),"")</f>
        <v/>
      </c>
      <c r="F139" s="10" t="str">
        <f>_xlfn.IFNA(VLOOKUP($B139,'Millennium Perf Network 032017'!$A$2:$AI$5000,12,FALSE),"")</f>
        <v/>
      </c>
      <c r="G139" s="2"/>
      <c r="H139" s="2"/>
      <c r="I139" s="2"/>
      <c r="J139" s="4">
        <f t="shared" ref="J139:J141" si="20">H139+I139</f>
        <v>0</v>
      </c>
    </row>
    <row r="140" spans="1:10" x14ac:dyDescent="0.25">
      <c r="A140" s="43"/>
      <c r="B140" s="2"/>
      <c r="C140" s="2"/>
      <c r="D140" s="10" t="str">
        <f>_xlfn.IFNA(VLOOKUP($B140,'Millennium Perf Network 032017'!$A$2:$AI$5000,18,FALSE),"")</f>
        <v/>
      </c>
      <c r="E140" s="10" t="str">
        <f>_xlfn.IFNA(VLOOKUP($B140,'Millennium Perf Network 032017'!$A$2:$AI$5000,13,FALSE),"")</f>
        <v/>
      </c>
      <c r="F140" s="10" t="str">
        <f>_xlfn.IFNA(VLOOKUP($B140,'Millennium Perf Network 032017'!$A$2:$AI$5000,12,FALSE),"")</f>
        <v/>
      </c>
      <c r="G140" s="2"/>
      <c r="H140" s="2"/>
      <c r="I140" s="2"/>
      <c r="J140" s="4">
        <f t="shared" si="20"/>
        <v>0</v>
      </c>
    </row>
    <row r="141" spans="1:10" x14ac:dyDescent="0.25">
      <c r="A141" s="43"/>
      <c r="B141" s="2"/>
      <c r="C141" s="2"/>
      <c r="D141" s="10" t="str">
        <f>_xlfn.IFNA(VLOOKUP($B141,'Millennium Perf Network 032017'!$A$2:$AI$5000,18,FALSE),"")</f>
        <v/>
      </c>
      <c r="E141" s="10" t="str">
        <f>_xlfn.IFNA(VLOOKUP($B141,'Millennium Perf Network 032017'!$A$2:$AI$5000,13,FALSE),"")</f>
        <v/>
      </c>
      <c r="F141" s="10" t="str">
        <f>_xlfn.IFNA(VLOOKUP($B141,'Millennium Perf Network 032017'!$A$2:$AI$5000,12,FALSE),"")</f>
        <v/>
      </c>
      <c r="G141" s="2"/>
      <c r="H141" s="2"/>
      <c r="I141" s="2"/>
      <c r="J141" s="4">
        <f t="shared" si="20"/>
        <v>0</v>
      </c>
    </row>
    <row r="142" spans="1:10" x14ac:dyDescent="0.25">
      <c r="A142" s="43"/>
      <c r="B142" s="41" t="s">
        <v>35</v>
      </c>
      <c r="C142" s="42"/>
      <c r="D142" s="42"/>
      <c r="E142" s="42"/>
      <c r="F142" s="42"/>
      <c r="G142" s="42"/>
      <c r="H142" s="42"/>
      <c r="I142" s="42"/>
      <c r="J142" s="42"/>
    </row>
    <row r="143" spans="1:10" x14ac:dyDescent="0.25">
      <c r="A143" s="8"/>
      <c r="B143" s="9"/>
      <c r="C143" s="9"/>
      <c r="D143" s="9"/>
      <c r="E143" s="9"/>
      <c r="F143" s="9"/>
      <c r="G143" s="9"/>
      <c r="H143" s="12">
        <f>SUM(H139:H141)</f>
        <v>0</v>
      </c>
      <c r="I143" s="12">
        <f>SUM(I139:I141)</f>
        <v>0</v>
      </c>
      <c r="J143" s="12">
        <f>SUM(J139:J141)</f>
        <v>0</v>
      </c>
    </row>
    <row r="144" spans="1:10" x14ac:dyDescent="0.25">
      <c r="A144" s="43" t="s">
        <v>21</v>
      </c>
      <c r="B144" s="2"/>
      <c r="C144" s="2"/>
      <c r="D144" s="10" t="str">
        <f>_xlfn.IFNA(VLOOKUP($B144,'Millennium Perf Network 032017'!$A$2:$AI$5000,18,FALSE),"")</f>
        <v/>
      </c>
      <c r="E144" s="10" t="str">
        <f>_xlfn.IFNA(VLOOKUP($B144,'Millennium Perf Network 032017'!$A$2:$AI$5000,13,FALSE),"")</f>
        <v/>
      </c>
      <c r="F144" s="10" t="str">
        <f>_xlfn.IFNA(VLOOKUP($B144,'Millennium Perf Network 032017'!$A$2:$AI$5000,12,FALSE),"")</f>
        <v/>
      </c>
      <c r="G144" s="2"/>
      <c r="H144" s="2"/>
      <c r="I144" s="2"/>
      <c r="J144" s="4">
        <f t="shared" ref="J144:J146" si="21">H144+I144</f>
        <v>0</v>
      </c>
    </row>
    <row r="145" spans="1:10" x14ac:dyDescent="0.25">
      <c r="A145" s="43"/>
      <c r="B145" s="2"/>
      <c r="C145" s="2"/>
      <c r="D145" s="10" t="str">
        <f>_xlfn.IFNA(VLOOKUP($B145,'Millennium Perf Network 032017'!$A$2:$AI$5000,18,FALSE),"")</f>
        <v/>
      </c>
      <c r="E145" s="10" t="str">
        <f>_xlfn.IFNA(VLOOKUP($B145,'Millennium Perf Network 032017'!$A$2:$AI$5000,13,FALSE),"")</f>
        <v/>
      </c>
      <c r="F145" s="10" t="str">
        <f>_xlfn.IFNA(VLOOKUP($B145,'Millennium Perf Network 032017'!$A$2:$AI$5000,12,FALSE),"")</f>
        <v/>
      </c>
      <c r="G145" s="2"/>
      <c r="H145" s="2"/>
      <c r="I145" s="2"/>
      <c r="J145" s="4">
        <f t="shared" si="21"/>
        <v>0</v>
      </c>
    </row>
    <row r="146" spans="1:10" x14ac:dyDescent="0.25">
      <c r="A146" s="43"/>
      <c r="B146" s="2"/>
      <c r="C146" s="2"/>
      <c r="D146" s="10" t="str">
        <f>_xlfn.IFNA(VLOOKUP($B146,'Millennium Perf Network 032017'!$A$2:$AI$5000,18,FALSE),"")</f>
        <v/>
      </c>
      <c r="E146" s="10" t="str">
        <f>_xlfn.IFNA(VLOOKUP($B146,'Millennium Perf Network 032017'!$A$2:$AI$5000,13,FALSE),"")</f>
        <v/>
      </c>
      <c r="F146" s="10" t="str">
        <f>_xlfn.IFNA(VLOOKUP($B146,'Millennium Perf Network 032017'!$A$2:$AI$5000,12,FALSE),"")</f>
        <v/>
      </c>
      <c r="G146" s="2"/>
      <c r="H146" s="2"/>
      <c r="I146" s="2"/>
      <c r="J146" s="4">
        <f t="shared" si="21"/>
        <v>0</v>
      </c>
    </row>
    <row r="147" spans="1:10" x14ac:dyDescent="0.25">
      <c r="A147" s="43"/>
      <c r="B147" s="41" t="s">
        <v>35</v>
      </c>
      <c r="C147" s="42"/>
      <c r="D147" s="42"/>
      <c r="E147" s="42"/>
      <c r="F147" s="42"/>
      <c r="G147" s="42"/>
      <c r="H147" s="42"/>
      <c r="I147" s="42"/>
      <c r="J147" s="42"/>
    </row>
    <row r="148" spans="1:10" x14ac:dyDescent="0.25">
      <c r="A148" s="8"/>
      <c r="B148" s="9"/>
      <c r="C148" s="9"/>
      <c r="D148" s="9"/>
      <c r="E148" s="9"/>
      <c r="F148" s="9"/>
      <c r="G148" s="9"/>
      <c r="H148" s="12">
        <f>SUM(H144:H146)</f>
        <v>0</v>
      </c>
      <c r="I148" s="12">
        <f>SUM(I144:I146)</f>
        <v>0</v>
      </c>
      <c r="J148" s="12">
        <f>SUM(J144:J146)</f>
        <v>0</v>
      </c>
    </row>
    <row r="149" spans="1:10" x14ac:dyDescent="0.25">
      <c r="A149" s="43" t="s">
        <v>22</v>
      </c>
      <c r="B149" s="33" t="str">
        <f>"1457473514"</f>
        <v>1457473514</v>
      </c>
      <c r="C149" s="2"/>
      <c r="D149" s="22" t="str">
        <f>_xlfn.IFNA(VLOOKUP($B149,'Millennium Perf Network 032017'!$A$2:$AI$5000,18,FALSE),"")</f>
        <v>COUNTY OF CATTARAUGUS</v>
      </c>
      <c r="E149" s="10" t="str">
        <f>_xlfn.IFNA(VLOOKUP($B149,'Millennium Perf Network 032017'!$A$2:$AI$5000,13,FALSE),"")</f>
        <v>Yes</v>
      </c>
      <c r="F149" s="10" t="str">
        <f>_xlfn.IFNA(VLOOKUP($B149,'Millennium Perf Network 032017'!$A$2:$AI$5000,12,FALSE),"")</f>
        <v>All Other:: Case Management / Health Home</v>
      </c>
      <c r="G149" s="2"/>
      <c r="H149" s="2">
        <v>38884</v>
      </c>
      <c r="I149" s="2"/>
      <c r="J149" s="4">
        <f>H149+I149</f>
        <v>38884</v>
      </c>
    </row>
    <row r="150" spans="1:10" x14ac:dyDescent="0.25">
      <c r="A150" s="43"/>
      <c r="B150" s="2" t="str">
        <f>"1689708109"</f>
        <v>1689708109</v>
      </c>
      <c r="C150" s="2"/>
      <c r="D150" s="10" t="str">
        <f>_xlfn.IFNA(VLOOKUP($B150,'Millennium Perf Network 032017'!$A$2:$AI$5000,18,FALSE),"")</f>
        <v>KALEIDA HEALTH</v>
      </c>
      <c r="E150" s="22" t="str">
        <f>_xlfn.IFNA(VLOOKUP($B150,'Millennium Perf Network 032017'!$A$2:$AI$5000,13,FALSE),"")</f>
        <v>Yes</v>
      </c>
      <c r="F150" s="10" t="str">
        <f>_xlfn.IFNA(VLOOKUP($B150,'Millennium Perf Network 032017'!$A$2:$AI$5000,12,FALSE),"")</f>
        <v>All Other:: Clinic:: Hospital:: Mental Health:: Pharmacy:: Substance Abuse</v>
      </c>
      <c r="G150" s="2"/>
      <c r="H150" s="2">
        <v>38571</v>
      </c>
      <c r="I150" s="2"/>
      <c r="J150" s="4">
        <f>H150+I150</f>
        <v>38571</v>
      </c>
    </row>
    <row r="151" spans="1:10" x14ac:dyDescent="0.25">
      <c r="A151" s="43"/>
      <c r="B151" s="23" t="s">
        <v>25276</v>
      </c>
      <c r="C151" s="2"/>
      <c r="D151" s="10" t="str">
        <f>_xlfn.IFNA(VLOOKUP($B151,'Millennium Perf Network 032017'!$A$2:$AI$5000,18,FALSE),"")</f>
        <v>PEOPLE HOME HEALTH CARE SERVICES - CERTIFIED INC</v>
      </c>
      <c r="E151" s="10" t="str">
        <f>_xlfn.IFNA(VLOOKUP($B151,'Millennium Perf Network 032017'!$A$2:$AI$5000,13,FALSE),"")</f>
        <v>Yes</v>
      </c>
      <c r="F151" s="10" t="str">
        <f>_xlfn.IFNA(VLOOKUP($B151,'Millennium Perf Network 032017'!$A$2:$AI$5000,12,FALSE),"")</f>
        <v>All Other</v>
      </c>
      <c r="G151" s="2"/>
      <c r="H151" s="2">
        <v>12856</v>
      </c>
      <c r="I151" s="2"/>
      <c r="J151" s="4">
        <f>H151+I151</f>
        <v>12856</v>
      </c>
    </row>
    <row r="152" spans="1:10" x14ac:dyDescent="0.25">
      <c r="A152" s="43"/>
      <c r="B152" s="2" t="str">
        <f>"1427188457"</f>
        <v>1427188457</v>
      </c>
      <c r="C152" s="2"/>
      <c r="D152" s="22" t="str">
        <f>_xlfn.IFNA(VLOOKUP($B152,'Millennium Perf Network 032017'!$A$2:$AI$5000,18,FALSE),"")</f>
        <v>TLC HEALTH NETWORK</v>
      </c>
      <c r="E152" s="22" t="str">
        <f>_xlfn.IFNA(VLOOKUP($B152,'Millennium Perf Network 032017'!$A$2:$AI$5000,13,FALSE),"")</f>
        <v>Yes</v>
      </c>
      <c r="F152" s="10" t="str">
        <f>_xlfn.IFNA(VLOOKUP($B152,'Millennium Perf Network 032017'!$A$2:$AI$5000,12,FALSE),"")</f>
        <v>All Other:: Clinic:: Hospital:: Mental Health:: Substance Abuse</v>
      </c>
      <c r="G152" s="2"/>
      <c r="H152" s="2">
        <v>25715</v>
      </c>
      <c r="I152" s="2"/>
      <c r="J152" s="4">
        <f>H152+I152</f>
        <v>25715</v>
      </c>
    </row>
    <row r="153" spans="1:10" x14ac:dyDescent="0.25">
      <c r="A153" s="43"/>
      <c r="B153" s="29" t="str">
        <f>"1821058108"</f>
        <v>1821058108</v>
      </c>
      <c r="C153" s="2"/>
      <c r="D153" s="10" t="str">
        <f>_xlfn.IFNA(VLOOKUP($B153,'Millennium Perf Network 032017'!$A$2:$AI$5000,18,FALSE),"")</f>
        <v>WHEEL CHAIR HOME INC.</v>
      </c>
      <c r="E153" s="10" t="str">
        <f>_xlfn.IFNA(VLOOKUP($B153,'Millennium Perf Network 032017'!$A$2:$AI$5000,13,FALSE),"")</f>
        <v>Yes</v>
      </c>
      <c r="F153" s="10" t="str">
        <f>_xlfn.IFNA(VLOOKUP($B153,'Millennium Perf Network 032017'!$A$2:$AI$5000,12,FALSE),"")</f>
        <v>All Other</v>
      </c>
      <c r="G153" s="2"/>
      <c r="H153" s="2">
        <v>25715</v>
      </c>
      <c r="I153" s="2"/>
      <c r="J153" s="4">
        <f>H153+I153</f>
        <v>25715</v>
      </c>
    </row>
    <row r="154" spans="1:10" s="29" customFormat="1" x14ac:dyDescent="0.25">
      <c r="A154" s="43"/>
      <c r="B154" s="2"/>
      <c r="C154" s="2"/>
      <c r="D154" s="10" t="str">
        <f>_xlfn.IFNA(VLOOKUP($B154,'Millennium Perf Network 032017'!$A$2:$AI$5000,18,FALSE),"")</f>
        <v/>
      </c>
      <c r="E154" s="10" t="str">
        <f>_xlfn.IFNA(VLOOKUP($B154,'Millennium Perf Network 032017'!$A$2:$AI$5000,13,FALSE),"")</f>
        <v/>
      </c>
      <c r="F154" s="10" t="str">
        <f>_xlfn.IFNA(VLOOKUP($B154,'Millennium Perf Network 032017'!$A$2:$AI$5000,12,FALSE),"")</f>
        <v/>
      </c>
      <c r="G154" s="2"/>
      <c r="H154" s="2"/>
      <c r="I154" s="2"/>
      <c r="J154" s="4">
        <f t="shared" ref="J154" si="22">H154+I154</f>
        <v>0</v>
      </c>
    </row>
    <row r="155" spans="1:10" x14ac:dyDescent="0.25">
      <c r="A155" s="43"/>
      <c r="B155" s="2"/>
      <c r="C155" s="2"/>
      <c r="D155" s="10" t="str">
        <f>_xlfn.IFNA(VLOOKUP($B155,'Millennium Perf Network 032017'!$A$2:$AI$5000,18,FALSE),"")</f>
        <v/>
      </c>
      <c r="E155" s="10" t="str">
        <f>_xlfn.IFNA(VLOOKUP($B155,'Millennium Perf Network 032017'!$A$2:$AI$5000,13,FALSE),"")</f>
        <v/>
      </c>
      <c r="F155" s="10" t="str">
        <f>_xlfn.IFNA(VLOOKUP($B155,'Millennium Perf Network 032017'!$A$2:$AI$5000,12,FALSE),"")</f>
        <v/>
      </c>
      <c r="G155" s="2"/>
      <c r="H155" s="2"/>
      <c r="I155" s="2"/>
      <c r="J155" s="4">
        <f t="shared" ref="J155" si="23">H155+I155</f>
        <v>0</v>
      </c>
    </row>
    <row r="156" spans="1:10" x14ac:dyDescent="0.25">
      <c r="A156" s="43"/>
      <c r="B156" s="41" t="s">
        <v>35</v>
      </c>
      <c r="C156" s="42"/>
      <c r="D156" s="42"/>
      <c r="E156" s="42"/>
      <c r="F156" s="42"/>
      <c r="G156" s="42"/>
      <c r="H156" s="42"/>
      <c r="I156" s="42"/>
      <c r="J156" s="42"/>
    </row>
    <row r="157" spans="1:10" x14ac:dyDescent="0.25">
      <c r="A157" s="8"/>
      <c r="B157" s="9"/>
      <c r="C157" s="9"/>
      <c r="D157" s="9"/>
      <c r="E157" s="9"/>
      <c r="F157" s="9"/>
      <c r="G157" s="9"/>
      <c r="H157" s="12">
        <f t="shared" ref="H157:I157" si="24">SUM(H149:H155)</f>
        <v>141741</v>
      </c>
      <c r="I157" s="12">
        <f t="shared" si="24"/>
        <v>0</v>
      </c>
      <c r="J157" s="12">
        <f>SUM(J149:J155)</f>
        <v>141741</v>
      </c>
    </row>
    <row r="158" spans="1:10" x14ac:dyDescent="0.25">
      <c r="A158" s="43" t="s">
        <v>24</v>
      </c>
      <c r="B158" s="2"/>
      <c r="C158" s="2"/>
      <c r="D158" s="10"/>
      <c r="E158" s="10"/>
      <c r="F158" s="10"/>
      <c r="G158" s="2"/>
      <c r="H158" s="2"/>
      <c r="I158" s="2"/>
      <c r="J158" s="4">
        <f t="shared" ref="J158:J160" si="25">H158+I158</f>
        <v>0</v>
      </c>
    </row>
    <row r="159" spans="1:10" x14ac:dyDescent="0.25">
      <c r="A159" s="43"/>
      <c r="B159" s="2"/>
      <c r="C159" s="2"/>
      <c r="D159" s="10"/>
      <c r="E159" s="10"/>
      <c r="F159" s="10"/>
      <c r="G159" s="2"/>
      <c r="H159" s="2"/>
      <c r="I159" s="2"/>
      <c r="J159" s="4">
        <f t="shared" si="25"/>
        <v>0</v>
      </c>
    </row>
    <row r="160" spans="1:10" x14ac:dyDescent="0.25">
      <c r="A160" s="43"/>
      <c r="B160" s="2"/>
      <c r="C160" s="2"/>
      <c r="D160" s="10"/>
      <c r="E160" s="10"/>
      <c r="F160" s="10"/>
      <c r="G160" s="2"/>
      <c r="H160" s="2"/>
      <c r="I160" s="2"/>
      <c r="J160" s="4">
        <f t="shared" si="25"/>
        <v>0</v>
      </c>
    </row>
    <row r="161" spans="1:10" x14ac:dyDescent="0.25">
      <c r="A161" s="43"/>
      <c r="B161" s="41" t="s">
        <v>35</v>
      </c>
      <c r="C161" s="42"/>
      <c r="D161" s="42"/>
      <c r="E161" s="42"/>
      <c r="F161" s="42"/>
      <c r="G161" s="42"/>
      <c r="H161" s="42"/>
      <c r="I161" s="42"/>
      <c r="J161" s="42"/>
    </row>
    <row r="162" spans="1:10" x14ac:dyDescent="0.25">
      <c r="A162" s="8"/>
      <c r="B162" s="9"/>
      <c r="C162" s="9"/>
      <c r="D162" s="9"/>
      <c r="E162" s="9"/>
      <c r="F162" s="9"/>
      <c r="G162" s="9"/>
      <c r="H162" s="12">
        <f>SUM(H158:H160)</f>
        <v>0</v>
      </c>
      <c r="I162" s="12">
        <f>SUM(I158:I160)</f>
        <v>0</v>
      </c>
      <c r="J162" s="12">
        <f>SUM(J158:J160)</f>
        <v>0</v>
      </c>
    </row>
    <row r="163" spans="1:10" x14ac:dyDescent="0.25">
      <c r="A163" s="43" t="s">
        <v>25286</v>
      </c>
      <c r="B163" s="2"/>
      <c r="C163" s="2"/>
      <c r="D163" s="10" t="s">
        <v>25287</v>
      </c>
      <c r="E163" s="10"/>
      <c r="F163" s="10" t="str">
        <f>_xlfn.IFNA(VLOOKUP($B163,'Millennium Perf Network 032017'!$A$2:$AI$5000,12,FALSE),"")</f>
        <v/>
      </c>
      <c r="G163" s="2"/>
      <c r="H163" s="2">
        <v>460397.91</v>
      </c>
      <c r="I163" s="2"/>
      <c r="J163" s="4">
        <f t="shared" ref="J163:J168" si="26">H163+I163</f>
        <v>460397.91</v>
      </c>
    </row>
    <row r="164" spans="1:10" x14ac:dyDescent="0.25">
      <c r="A164" s="43"/>
      <c r="B164" s="2"/>
      <c r="C164" s="2"/>
      <c r="D164" s="10" t="str">
        <f>_xlfn.IFNA(VLOOKUP($B164,'Millennium Perf Network 032017'!$A$2:$AI$5000,18,FALSE),"")</f>
        <v/>
      </c>
      <c r="E164" s="10" t="str">
        <f>_xlfn.IFNA(VLOOKUP($B164,'Millennium Perf Network 032017'!$A$2:$AI$5000,13,FALSE),"")</f>
        <v/>
      </c>
      <c r="F164" s="10" t="str">
        <f>_xlfn.IFNA(VLOOKUP($B164,'Millennium Perf Network 032017'!$A$2:$AI$5000,12,FALSE),"")</f>
        <v/>
      </c>
      <c r="G164" s="2"/>
      <c r="H164" s="2"/>
      <c r="I164" s="2"/>
      <c r="J164" s="4">
        <f t="shared" si="26"/>
        <v>0</v>
      </c>
    </row>
    <row r="165" spans="1:10" x14ac:dyDescent="0.25">
      <c r="A165" s="43"/>
      <c r="B165" s="2"/>
      <c r="C165" s="2"/>
      <c r="D165" s="10" t="str">
        <f>_xlfn.IFNA(VLOOKUP($B165,'Millennium Perf Network 032017'!$A$2:$AI$5000,18,FALSE),"")</f>
        <v/>
      </c>
      <c r="E165" s="10" t="str">
        <f>_xlfn.IFNA(VLOOKUP($B165,'Millennium Perf Network 032017'!$A$2:$AI$5000,13,FALSE),"")</f>
        <v/>
      </c>
      <c r="F165" s="10" t="str">
        <f>_xlfn.IFNA(VLOOKUP($B165,'Millennium Perf Network 032017'!$A$2:$AI$5000,12,FALSE),"")</f>
        <v/>
      </c>
      <c r="G165" s="2"/>
      <c r="H165" s="2"/>
      <c r="I165" s="2"/>
      <c r="J165" s="4">
        <f t="shared" si="26"/>
        <v>0</v>
      </c>
    </row>
    <row r="166" spans="1:10" x14ac:dyDescent="0.25">
      <c r="A166" s="43"/>
      <c r="B166" s="2"/>
      <c r="C166" s="2"/>
      <c r="D166" s="10" t="str">
        <f>_xlfn.IFNA(VLOOKUP($B166,'Millennium Perf Network 032017'!$A$2:$AI$5000,18,FALSE),"")</f>
        <v/>
      </c>
      <c r="E166" s="10" t="str">
        <f>_xlfn.IFNA(VLOOKUP($B166,'Millennium Perf Network 032017'!$A$2:$AI$5000,13,FALSE),"")</f>
        <v/>
      </c>
      <c r="F166" s="10" t="str">
        <f>_xlfn.IFNA(VLOOKUP($B166,'Millennium Perf Network 032017'!$A$2:$AI$5000,12,FALSE),"")</f>
        <v/>
      </c>
      <c r="G166" s="2"/>
      <c r="H166" s="2"/>
      <c r="I166" s="2"/>
      <c r="J166" s="4">
        <f t="shared" si="26"/>
        <v>0</v>
      </c>
    </row>
    <row r="167" spans="1:10" x14ac:dyDescent="0.25">
      <c r="A167" s="43"/>
      <c r="B167" s="2"/>
      <c r="C167" s="2"/>
      <c r="D167" s="10" t="str">
        <f>_xlfn.IFNA(VLOOKUP($B167,'Millennium Perf Network 032017'!$A$2:$AI$5000,18,FALSE),"")</f>
        <v/>
      </c>
      <c r="E167" s="10" t="str">
        <f>_xlfn.IFNA(VLOOKUP($B167,'Millennium Perf Network 032017'!$A$2:$AI$5000,13,FALSE),"")</f>
        <v/>
      </c>
      <c r="F167" s="10" t="str">
        <f>_xlfn.IFNA(VLOOKUP($B167,'Millennium Perf Network 032017'!$A$2:$AI$5000,12,FALSE),"")</f>
        <v/>
      </c>
      <c r="G167" s="2"/>
      <c r="H167" s="2"/>
      <c r="I167" s="2"/>
      <c r="J167" s="4">
        <f t="shared" si="26"/>
        <v>0</v>
      </c>
    </row>
    <row r="168" spans="1:10" x14ac:dyDescent="0.25">
      <c r="A168" s="43"/>
      <c r="B168" s="2"/>
      <c r="C168" s="2"/>
      <c r="D168" s="10" t="str">
        <f>_xlfn.IFNA(VLOOKUP($B168,'Millennium Perf Network 032017'!$A$2:$AI$5000,18,FALSE),"")</f>
        <v/>
      </c>
      <c r="E168" s="10" t="str">
        <f>_xlfn.IFNA(VLOOKUP($B168,'Millennium Perf Network 032017'!$A$2:$AI$5000,13,FALSE),"")</f>
        <v/>
      </c>
      <c r="F168" s="10" t="str">
        <f>_xlfn.IFNA(VLOOKUP($B168,'Millennium Perf Network 032017'!$A$2:$AI$5000,12,FALSE),"")</f>
        <v/>
      </c>
      <c r="G168" s="2"/>
      <c r="H168" s="2"/>
      <c r="I168" s="2"/>
      <c r="J168" s="4">
        <f t="shared" si="26"/>
        <v>0</v>
      </c>
    </row>
    <row r="169" spans="1:10" x14ac:dyDescent="0.25">
      <c r="A169" s="43"/>
      <c r="B169" s="41" t="s">
        <v>35</v>
      </c>
      <c r="C169" s="42"/>
      <c r="D169" s="42"/>
      <c r="E169" s="42"/>
      <c r="F169" s="42"/>
      <c r="G169" s="42"/>
      <c r="H169" s="42"/>
      <c r="I169" s="42"/>
      <c r="J169" s="42"/>
    </row>
    <row r="170" spans="1:10" x14ac:dyDescent="0.25">
      <c r="A170" s="8"/>
      <c r="B170" s="9"/>
      <c r="C170" s="9"/>
      <c r="D170" s="9"/>
      <c r="E170" s="9"/>
      <c r="F170" s="9"/>
      <c r="G170" s="9"/>
      <c r="H170" s="12">
        <f t="shared" ref="H170:I170" si="27">SUM(H163:H168)</f>
        <v>460397.91</v>
      </c>
      <c r="I170" s="12">
        <f t="shared" si="27"/>
        <v>0</v>
      </c>
      <c r="J170" s="12">
        <f>SUM(J163:J168)</f>
        <v>460397.91</v>
      </c>
    </row>
    <row r="171" spans="1:10" x14ac:dyDescent="0.25">
      <c r="A171" s="43" t="s">
        <v>25</v>
      </c>
      <c r="B171" s="2"/>
      <c r="C171" s="2"/>
      <c r="D171" s="10" t="str">
        <f>_xlfn.IFNA(VLOOKUP($B171,'Millennium Perf Network 032017'!$A$2:$AI$5000,18,FALSE),"")</f>
        <v/>
      </c>
      <c r="E171" s="10" t="str">
        <f>_xlfn.IFNA(VLOOKUP($B171,'Millennium Perf Network 032017'!$A$2:$AI$5000,13,FALSE),"")</f>
        <v/>
      </c>
      <c r="F171" s="10" t="str">
        <f>_xlfn.IFNA(VLOOKUP($B171,'Millennium Perf Network 032017'!$A$2:$AI$5000,12,FALSE),"")</f>
        <v/>
      </c>
      <c r="G171" s="2"/>
      <c r="H171" s="2"/>
      <c r="I171" s="2"/>
      <c r="J171" s="4">
        <f t="shared" ref="J171:J173" si="28">H171+I171</f>
        <v>0</v>
      </c>
    </row>
    <row r="172" spans="1:10" x14ac:dyDescent="0.25">
      <c r="A172" s="43"/>
      <c r="B172" s="2"/>
      <c r="C172" s="2"/>
      <c r="D172" s="10" t="str">
        <f>_xlfn.IFNA(VLOOKUP($B172,'Millennium Perf Network 032017'!$A$2:$AI$5000,18,FALSE),"")</f>
        <v/>
      </c>
      <c r="E172" s="10" t="str">
        <f>_xlfn.IFNA(VLOOKUP($B172,'Millennium Perf Network 032017'!$A$2:$AI$5000,13,FALSE),"")</f>
        <v/>
      </c>
      <c r="F172" s="10" t="str">
        <f>_xlfn.IFNA(VLOOKUP($B172,'Millennium Perf Network 032017'!$A$2:$AI$5000,12,FALSE),"")</f>
        <v/>
      </c>
      <c r="G172" s="2"/>
      <c r="H172" s="2"/>
      <c r="I172" s="2"/>
      <c r="J172" s="4">
        <f t="shared" si="28"/>
        <v>0</v>
      </c>
    </row>
    <row r="173" spans="1:10" x14ac:dyDescent="0.25">
      <c r="A173" s="43"/>
      <c r="B173" s="2"/>
      <c r="C173" s="2"/>
      <c r="D173" s="10" t="str">
        <f>_xlfn.IFNA(VLOOKUP($B173,'Millennium Perf Network 032017'!$A$2:$AI$5000,18,FALSE),"")</f>
        <v/>
      </c>
      <c r="E173" s="10" t="str">
        <f>_xlfn.IFNA(VLOOKUP($B173,'Millennium Perf Network 032017'!$A$2:$AI$5000,13,FALSE),"")</f>
        <v/>
      </c>
      <c r="F173" s="10" t="str">
        <f>_xlfn.IFNA(VLOOKUP($B173,'Millennium Perf Network 032017'!$A$2:$AI$5000,12,FALSE),"")</f>
        <v/>
      </c>
      <c r="G173" s="2"/>
      <c r="H173" s="2"/>
      <c r="I173" s="2"/>
      <c r="J173" s="4">
        <f t="shared" si="28"/>
        <v>0</v>
      </c>
    </row>
    <row r="174" spans="1:10" x14ac:dyDescent="0.25">
      <c r="A174" s="43"/>
      <c r="B174" s="41" t="s">
        <v>35</v>
      </c>
      <c r="C174" s="42"/>
      <c r="D174" s="42"/>
      <c r="E174" s="42"/>
      <c r="F174" s="42"/>
      <c r="G174" s="42"/>
      <c r="H174" s="42"/>
      <c r="I174" s="42"/>
      <c r="J174" s="42"/>
    </row>
    <row r="175" spans="1:10" x14ac:dyDescent="0.25">
      <c r="A175" s="8"/>
      <c r="B175" s="9"/>
      <c r="C175" s="9"/>
      <c r="D175" s="9"/>
      <c r="E175" s="9"/>
      <c r="F175" s="9"/>
      <c r="G175" s="9"/>
      <c r="H175" s="12">
        <f>SUM(H171:H173)</f>
        <v>0</v>
      </c>
      <c r="I175" s="12">
        <f>SUM(I171:I173)</f>
        <v>0</v>
      </c>
      <c r="J175" s="12">
        <f>SUM(J171:J173)</f>
        <v>0</v>
      </c>
    </row>
    <row r="176" spans="1:10" x14ac:dyDescent="0.25">
      <c r="A176" s="43" t="s">
        <v>25</v>
      </c>
      <c r="B176" s="2"/>
      <c r="C176" s="2"/>
      <c r="D176" s="10" t="str">
        <f>_xlfn.IFNA(VLOOKUP($B176,'Millennium Perf Network 032017'!$A$2:$AI$5000,18,FALSE),"")</f>
        <v/>
      </c>
      <c r="E176" s="10" t="str">
        <f>_xlfn.IFNA(VLOOKUP($B176,'Millennium Perf Network 032017'!$A$2:$AI$5000,13,FALSE),"")</f>
        <v/>
      </c>
      <c r="F176" s="10" t="str">
        <f>_xlfn.IFNA(VLOOKUP($B176,'Millennium Perf Network 032017'!$A$2:$AI$5000,12,FALSE),"")</f>
        <v/>
      </c>
      <c r="G176" s="2"/>
      <c r="H176" s="2"/>
      <c r="I176" s="2"/>
      <c r="J176" s="4">
        <f t="shared" ref="J176:J178" si="29">H176+I176</f>
        <v>0</v>
      </c>
    </row>
    <row r="177" spans="1:10" x14ac:dyDescent="0.25">
      <c r="A177" s="43"/>
      <c r="B177" s="2"/>
      <c r="C177" s="2"/>
      <c r="D177" s="10" t="str">
        <f>_xlfn.IFNA(VLOOKUP($B177,'Millennium Perf Network 032017'!$A$2:$AI$5000,18,FALSE),"")</f>
        <v/>
      </c>
      <c r="E177" s="10" t="str">
        <f>_xlfn.IFNA(VLOOKUP($B177,'Millennium Perf Network 032017'!$A$2:$AI$5000,13,FALSE),"")</f>
        <v/>
      </c>
      <c r="F177" s="10" t="str">
        <f>_xlfn.IFNA(VLOOKUP($B177,'Millennium Perf Network 032017'!$A$2:$AI$5000,12,FALSE),"")</f>
        <v/>
      </c>
      <c r="G177" s="2"/>
      <c r="H177" s="2"/>
      <c r="I177" s="2"/>
      <c r="J177" s="4">
        <f t="shared" si="29"/>
        <v>0</v>
      </c>
    </row>
    <row r="178" spans="1:10" x14ac:dyDescent="0.25">
      <c r="A178" s="43"/>
      <c r="B178" s="2"/>
      <c r="C178" s="2"/>
      <c r="D178" s="10" t="str">
        <f>_xlfn.IFNA(VLOOKUP($B178,'Millennium Perf Network 032017'!$A$2:$AI$5000,18,FALSE),"")</f>
        <v/>
      </c>
      <c r="E178" s="10" t="str">
        <f>_xlfn.IFNA(VLOOKUP($B178,'Millennium Perf Network 032017'!$A$2:$AI$5000,13,FALSE),"")</f>
        <v/>
      </c>
      <c r="F178" s="10" t="str">
        <f>_xlfn.IFNA(VLOOKUP($B178,'Millennium Perf Network 032017'!$A$2:$AI$5000,12,FALSE),"")</f>
        <v/>
      </c>
      <c r="G178" s="2"/>
      <c r="H178" s="2"/>
      <c r="I178" s="2"/>
      <c r="J178" s="4">
        <f t="shared" si="29"/>
        <v>0</v>
      </c>
    </row>
    <row r="179" spans="1:10" x14ac:dyDescent="0.25">
      <c r="A179" s="43"/>
      <c r="B179" s="41" t="s">
        <v>35</v>
      </c>
      <c r="C179" s="42"/>
      <c r="D179" s="42"/>
      <c r="E179" s="42"/>
      <c r="F179" s="42"/>
      <c r="G179" s="42"/>
      <c r="H179" s="42"/>
      <c r="I179" s="42"/>
      <c r="J179" s="42"/>
    </row>
    <row r="180" spans="1:10" x14ac:dyDescent="0.25">
      <c r="A180" s="8"/>
      <c r="B180" s="9"/>
      <c r="C180" s="9"/>
      <c r="D180" s="9"/>
      <c r="E180" s="9"/>
      <c r="F180" s="9"/>
      <c r="G180" s="9"/>
      <c r="H180" s="12">
        <f>SUM(H176:H178)</f>
        <v>0</v>
      </c>
      <c r="I180" s="12">
        <f>SUM(I176:I178)</f>
        <v>0</v>
      </c>
      <c r="J180" s="12">
        <f>SUM(J176:J178)</f>
        <v>0</v>
      </c>
    </row>
  </sheetData>
  <sheetProtection algorithmName="SHA-512" hashValue="hBuU9xM4vnED6TfNHzVf8D9Aq0L/dWta/ux17OTk8be6CdVEU7Zu8Unirvm+SV03hI3sb0WktWrPt5/nh6PMVQ==" saltValue="RXqUL2NjFHqQya4xNeCYBw==" spinCount="100000" sheet="1" objects="1" scenarios="1"/>
  <sortState ref="B97:J133">
    <sortCondition ref="D97:D133"/>
  </sortState>
  <mergeCells count="38">
    <mergeCell ref="A77:A80"/>
    <mergeCell ref="A82:A85"/>
    <mergeCell ref="A87:A95"/>
    <mergeCell ref="A97:A137"/>
    <mergeCell ref="A5:A22"/>
    <mergeCell ref="A24:A28"/>
    <mergeCell ref="A30:A37"/>
    <mergeCell ref="A39:A46"/>
    <mergeCell ref="A48:A51"/>
    <mergeCell ref="B95:J95"/>
    <mergeCell ref="A176:A179"/>
    <mergeCell ref="B3:F3"/>
    <mergeCell ref="H3:J3"/>
    <mergeCell ref="B22:J22"/>
    <mergeCell ref="B28:J28"/>
    <mergeCell ref="B37:J37"/>
    <mergeCell ref="B46:J46"/>
    <mergeCell ref="A139:A142"/>
    <mergeCell ref="A144:A147"/>
    <mergeCell ref="A149:A156"/>
    <mergeCell ref="A158:A161"/>
    <mergeCell ref="A163:A169"/>
    <mergeCell ref="A171:A174"/>
    <mergeCell ref="A53:A70"/>
    <mergeCell ref="A72:A75"/>
    <mergeCell ref="B51:J51"/>
    <mergeCell ref="B70:J70"/>
    <mergeCell ref="B75:J75"/>
    <mergeCell ref="B80:J80"/>
    <mergeCell ref="B85:J85"/>
    <mergeCell ref="B179:J179"/>
    <mergeCell ref="B137:J137"/>
    <mergeCell ref="B142:J142"/>
    <mergeCell ref="B147:J147"/>
    <mergeCell ref="B156:J156"/>
    <mergeCell ref="B161:J161"/>
    <mergeCell ref="B174:J174"/>
    <mergeCell ref="B169:J16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zoomScaleNormal="100" workbookViewId="0">
      <selection activeCell="F2" sqref="F1:G1048576"/>
    </sheetView>
  </sheetViews>
  <sheetFormatPr defaultRowHeight="15" x14ac:dyDescent="0.25"/>
  <cols>
    <col min="1" max="1" width="14.140625" style="2" bestFit="1" customWidth="1"/>
    <col min="2" max="2" width="59.140625" style="2" bestFit="1" customWidth="1"/>
    <col min="3" max="3" width="5.5703125" style="2" customWidth="1"/>
    <col min="4" max="4" width="2.7109375" style="18" customWidth="1"/>
    <col min="5" max="5" width="14.85546875" style="2" bestFit="1" customWidth="1"/>
    <col min="6" max="6" width="14.85546875" style="2" hidden="1" customWidth="1"/>
    <col min="7" max="7" width="9" style="2" hidden="1" customWidth="1"/>
    <col min="8" max="8" width="50.28515625" style="2" bestFit="1" customWidth="1"/>
    <col min="9" max="9" width="2.7109375" style="18" customWidth="1"/>
    <col min="10" max="10" width="18.42578125" style="2" customWidth="1"/>
    <col min="11" max="11" width="2.7109375" style="19" hidden="1" customWidth="1"/>
    <col min="12" max="12" width="11.85546875" hidden="1" customWidth="1"/>
    <col min="13" max="13" width="12.85546875" hidden="1" customWidth="1"/>
    <col min="14" max="14" width="12.7109375" hidden="1" customWidth="1"/>
    <col min="15" max="15" width="12.85546875" hidden="1" customWidth="1"/>
    <col min="16" max="16" width="11.85546875" hidden="1" customWidth="1"/>
    <col min="17" max="17" width="12.28515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46" t="s">
        <v>36</v>
      </c>
      <c r="B1" s="47"/>
      <c r="C1" s="48"/>
      <c r="D1" s="13"/>
      <c r="E1" s="49" t="s">
        <v>37</v>
      </c>
      <c r="F1" s="49"/>
      <c r="G1" s="49"/>
      <c r="H1" s="49"/>
      <c r="I1" s="13"/>
      <c r="J1" s="21" t="s">
        <v>38</v>
      </c>
      <c r="K1" s="14"/>
      <c r="L1" s="49" t="s">
        <v>39</v>
      </c>
      <c r="M1" s="49"/>
      <c r="N1" s="49"/>
      <c r="O1" s="49"/>
      <c r="P1" s="49"/>
      <c r="Q1" s="49"/>
      <c r="R1" s="49"/>
      <c r="S1" s="49"/>
      <c r="T1" s="49"/>
      <c r="U1" s="49"/>
    </row>
    <row r="2" spans="1:21" ht="45" x14ac:dyDescent="0.25">
      <c r="A2" s="15" t="s">
        <v>40</v>
      </c>
      <c r="B2" s="15" t="s">
        <v>32</v>
      </c>
      <c r="C2" s="15" t="s">
        <v>41</v>
      </c>
      <c r="D2" s="16"/>
      <c r="E2" s="15" t="s">
        <v>1</v>
      </c>
      <c r="F2" s="15" t="s">
        <v>30</v>
      </c>
      <c r="G2" s="15" t="s">
        <v>31</v>
      </c>
      <c r="H2" s="15" t="s">
        <v>32</v>
      </c>
      <c r="I2" s="16"/>
      <c r="J2" s="15" t="s">
        <v>42</v>
      </c>
      <c r="K2" s="17"/>
      <c r="L2" s="15" t="s">
        <v>43</v>
      </c>
      <c r="M2" s="15" t="s">
        <v>44</v>
      </c>
      <c r="N2" s="15" t="s">
        <v>45</v>
      </c>
      <c r="O2" s="15" t="s">
        <v>46</v>
      </c>
      <c r="P2" s="15" t="s">
        <v>47</v>
      </c>
      <c r="Q2" s="15" t="s">
        <v>48</v>
      </c>
      <c r="R2" s="15" t="s">
        <v>49</v>
      </c>
      <c r="S2" s="15" t="s">
        <v>50</v>
      </c>
      <c r="T2" s="15" t="s">
        <v>51</v>
      </c>
      <c r="U2" s="15" t="s">
        <v>52</v>
      </c>
    </row>
    <row r="3" spans="1:21" x14ac:dyDescent="0.25">
      <c r="A3" s="2" t="str">
        <f>"1689880494"</f>
        <v>1689880494</v>
      </c>
      <c r="B3" s="2" t="s">
        <v>25281</v>
      </c>
      <c r="C3" s="2" t="s">
        <v>25283</v>
      </c>
      <c r="E3" s="2" t="s">
        <v>3095</v>
      </c>
      <c r="H3" s="2" t="s">
        <v>24074</v>
      </c>
      <c r="J3" s="38">
        <v>7700</v>
      </c>
    </row>
    <row r="4" spans="1:21" x14ac:dyDescent="0.25">
      <c r="B4" s="2" t="s">
        <v>25287</v>
      </c>
      <c r="C4" s="2" t="s">
        <v>25283</v>
      </c>
      <c r="E4" s="2" t="s">
        <v>3095</v>
      </c>
      <c r="F4" s="30" t="str">
        <f>"1316083934"</f>
        <v>1316083934</v>
      </c>
      <c r="G4" s="30" t="str">
        <f>"00618180"</f>
        <v>00618180</v>
      </c>
      <c r="H4" s="29" t="s">
        <v>24007</v>
      </c>
      <c r="J4" s="38">
        <v>1545.26</v>
      </c>
    </row>
    <row r="5" spans="1:21" x14ac:dyDescent="0.25">
      <c r="B5" s="2" t="s">
        <v>25287</v>
      </c>
      <c r="C5" s="2" t="s">
        <v>25283</v>
      </c>
      <c r="E5" s="2" t="s">
        <v>3095</v>
      </c>
      <c r="F5" s="30"/>
      <c r="G5" s="30"/>
      <c r="H5" s="2" t="s">
        <v>25289</v>
      </c>
      <c r="J5" s="38">
        <v>1250</v>
      </c>
    </row>
    <row r="6" spans="1:21" x14ac:dyDescent="0.25">
      <c r="B6" s="2" t="s">
        <v>25287</v>
      </c>
      <c r="C6" s="2" t="s">
        <v>25283</v>
      </c>
      <c r="E6" s="2" t="s">
        <v>3095</v>
      </c>
      <c r="F6" s="30"/>
      <c r="G6" s="30"/>
      <c r="H6" s="2" t="s">
        <v>20867</v>
      </c>
      <c r="J6" s="38">
        <v>17520.32</v>
      </c>
    </row>
    <row r="7" spans="1:21" x14ac:dyDescent="0.25">
      <c r="B7" s="2" t="s">
        <v>25287</v>
      </c>
      <c r="C7" s="2" t="s">
        <v>25283</v>
      </c>
      <c r="E7" s="2" t="s">
        <v>3095</v>
      </c>
      <c r="F7" s="30"/>
      <c r="G7" s="30"/>
      <c r="H7" s="36" t="s">
        <v>25290</v>
      </c>
      <c r="J7" s="38">
        <v>31670.81</v>
      </c>
    </row>
    <row r="8" spans="1:21" x14ac:dyDescent="0.25">
      <c r="B8" s="2" t="s">
        <v>25287</v>
      </c>
      <c r="C8" s="2" t="s">
        <v>25283</v>
      </c>
      <c r="E8" s="2" t="s">
        <v>3095</v>
      </c>
      <c r="F8" s="30"/>
      <c r="G8" s="30"/>
      <c r="H8" s="2" t="s">
        <v>25291</v>
      </c>
      <c r="J8" s="38">
        <v>7097.32</v>
      </c>
    </row>
    <row r="9" spans="1:21" x14ac:dyDescent="0.25">
      <c r="B9" s="2" t="s">
        <v>25287</v>
      </c>
      <c r="C9" s="2" t="s">
        <v>25283</v>
      </c>
      <c r="E9" s="2" t="s">
        <v>3095</v>
      </c>
      <c r="F9" s="30"/>
      <c r="G9" s="30"/>
      <c r="H9" s="2" t="s">
        <v>25292</v>
      </c>
      <c r="J9" s="38">
        <v>1344.79</v>
      </c>
    </row>
    <row r="10" spans="1:21" x14ac:dyDescent="0.25">
      <c r="B10" s="2" t="s">
        <v>25287</v>
      </c>
      <c r="C10" s="2" t="s">
        <v>25283</v>
      </c>
      <c r="E10" s="2" t="s">
        <v>3095</v>
      </c>
      <c r="F10" s="30"/>
      <c r="G10" s="30"/>
      <c r="H10" s="2" t="s">
        <v>21470</v>
      </c>
      <c r="J10" s="38">
        <v>1250</v>
      </c>
    </row>
    <row r="11" spans="1:21" x14ac:dyDescent="0.25">
      <c r="B11" s="2" t="s">
        <v>25287</v>
      </c>
      <c r="C11" s="2" t="s">
        <v>25283</v>
      </c>
      <c r="E11" s="2" t="s">
        <v>3095</v>
      </c>
      <c r="F11" s="30"/>
      <c r="G11" s="30"/>
      <c r="H11" s="2" t="s">
        <v>22963</v>
      </c>
      <c r="J11" s="38">
        <v>351329.44</v>
      </c>
    </row>
    <row r="12" spans="1:21" x14ac:dyDescent="0.25">
      <c r="B12" s="2" t="s">
        <v>25287</v>
      </c>
      <c r="C12" s="2" t="s">
        <v>25283</v>
      </c>
      <c r="E12" s="2" t="s">
        <v>3095</v>
      </c>
      <c r="F12" s="30"/>
      <c r="G12" s="30"/>
      <c r="H12" s="2" t="s">
        <v>21256</v>
      </c>
      <c r="J12" s="38">
        <v>3342</v>
      </c>
    </row>
    <row r="13" spans="1:21" x14ac:dyDescent="0.25">
      <c r="B13" s="2" t="s">
        <v>25287</v>
      </c>
      <c r="C13" s="2" t="s">
        <v>25283</v>
      </c>
      <c r="E13" s="2" t="s">
        <v>3095</v>
      </c>
      <c r="F13" s="30" t="str">
        <f>"1265665954"</f>
        <v>1265665954</v>
      </c>
      <c r="G13" s="30"/>
      <c r="H13" s="2" t="s">
        <v>25293</v>
      </c>
      <c r="J13" s="38">
        <v>14424.61</v>
      </c>
    </row>
    <row r="14" spans="1:21" x14ac:dyDescent="0.25">
      <c r="B14" s="2" t="s">
        <v>25287</v>
      </c>
      <c r="C14" s="2" t="s">
        <v>25283</v>
      </c>
      <c r="E14" s="2" t="s">
        <v>3095</v>
      </c>
      <c r="F14" s="30"/>
      <c r="G14" s="30"/>
      <c r="H14" s="2" t="s">
        <v>24108</v>
      </c>
      <c r="J14" s="38">
        <v>6591.65</v>
      </c>
    </row>
    <row r="15" spans="1:21" x14ac:dyDescent="0.25">
      <c r="B15" s="2" t="s">
        <v>25287</v>
      </c>
      <c r="C15" s="2" t="s">
        <v>25283</v>
      </c>
      <c r="E15" s="2" t="s">
        <v>3095</v>
      </c>
      <c r="F15" s="30"/>
      <c r="G15" s="30"/>
      <c r="H15" s="2" t="s">
        <v>25294</v>
      </c>
      <c r="J15" s="38">
        <v>10292.48</v>
      </c>
    </row>
    <row r="16" spans="1:21" x14ac:dyDescent="0.25">
      <c r="B16" s="2" t="s">
        <v>25287</v>
      </c>
      <c r="C16" s="2" t="s">
        <v>25283</v>
      </c>
      <c r="E16" s="2" t="s">
        <v>3095</v>
      </c>
      <c r="F16" s="30">
        <v>1427267806</v>
      </c>
      <c r="G16" s="30"/>
      <c r="H16" s="2" t="s">
        <v>24128</v>
      </c>
      <c r="J16" s="38">
        <v>1250</v>
      </c>
    </row>
    <row r="17" spans="2:10" x14ac:dyDescent="0.25">
      <c r="B17" s="2" t="s">
        <v>25287</v>
      </c>
      <c r="C17" s="2" t="s">
        <v>25283</v>
      </c>
      <c r="E17" s="2" t="s">
        <v>3095</v>
      </c>
      <c r="F17" s="30"/>
      <c r="G17" s="30"/>
      <c r="H17" s="2" t="s">
        <v>25137</v>
      </c>
      <c r="J17" s="38">
        <v>5469.77</v>
      </c>
    </row>
  </sheetData>
  <sheetProtection algorithmName="SHA-512" hashValue="a+lgP50hK43SzbWUokcg69Esv3+jXeQcm6POtW1LcwAmxINhT3fjESJNUGl+QNOVTCgx1SpZA7lE7rM7E5+kbg==" saltValue="yGPY8yiQ8bN5qXZpxAHrdA==" spinCount="100000" sheet="1" objects="1" scenarios="1"/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32" sqref="P32"/>
    </sheetView>
  </sheetViews>
  <sheetFormatPr defaultRowHeight="15" x14ac:dyDescent="0.25"/>
  <cols>
    <col min="1" max="1" width="22" customWidth="1"/>
    <col min="2" max="2" width="10" customWidth="1"/>
    <col min="3" max="20" width="12" customWidth="1"/>
  </cols>
  <sheetData>
    <row r="1" spans="1:20" x14ac:dyDescent="0.25">
      <c r="A1" s="1" t="s">
        <v>53</v>
      </c>
    </row>
    <row r="3" spans="1:20" x14ac:dyDescent="0.25">
      <c r="A3" s="51" t="s">
        <v>54</v>
      </c>
      <c r="B3" s="52"/>
      <c r="C3" s="55" t="s">
        <v>55</v>
      </c>
      <c r="D3" s="56"/>
      <c r="E3" s="55" t="s">
        <v>56</v>
      </c>
      <c r="F3" s="56"/>
      <c r="G3" s="55" t="s">
        <v>57</v>
      </c>
      <c r="H3" s="56"/>
      <c r="I3" s="55" t="s">
        <v>58</v>
      </c>
      <c r="J3" s="56"/>
      <c r="K3" s="55" t="s">
        <v>59</v>
      </c>
      <c r="L3" s="56"/>
      <c r="M3" s="55" t="s">
        <v>60</v>
      </c>
      <c r="N3" s="56"/>
      <c r="O3" s="55" t="s">
        <v>61</v>
      </c>
      <c r="P3" s="56"/>
      <c r="Q3" s="55" t="s">
        <v>62</v>
      </c>
      <c r="R3" s="56"/>
      <c r="S3" s="55" t="s">
        <v>63</v>
      </c>
      <c r="T3" s="56"/>
    </row>
    <row r="4" spans="1:20" x14ac:dyDescent="0.25">
      <c r="A4" s="53"/>
      <c r="B4" s="54"/>
      <c r="C4" s="20" t="s">
        <v>64</v>
      </c>
      <c r="D4" s="20" t="s">
        <v>65</v>
      </c>
      <c r="E4" s="20" t="s">
        <v>64</v>
      </c>
      <c r="F4" s="20" t="s">
        <v>65</v>
      </c>
      <c r="G4" s="20" t="s">
        <v>64</v>
      </c>
      <c r="H4" s="20" t="s">
        <v>65</v>
      </c>
      <c r="I4" s="20" t="s">
        <v>64</v>
      </c>
      <c r="J4" s="20" t="s">
        <v>65</v>
      </c>
      <c r="K4" s="20" t="s">
        <v>64</v>
      </c>
      <c r="L4" s="20" t="s">
        <v>65</v>
      </c>
      <c r="M4" s="20" t="s">
        <v>64</v>
      </c>
      <c r="N4" s="20" t="s">
        <v>65</v>
      </c>
      <c r="O4" s="20" t="s">
        <v>64</v>
      </c>
      <c r="P4" s="20" t="s">
        <v>65</v>
      </c>
      <c r="Q4" s="20" t="s">
        <v>64</v>
      </c>
      <c r="R4" s="20" t="s">
        <v>65</v>
      </c>
      <c r="S4" s="20" t="s">
        <v>64</v>
      </c>
      <c r="T4" s="20" t="s">
        <v>65</v>
      </c>
    </row>
    <row r="5" spans="1:20" x14ac:dyDescent="0.25">
      <c r="A5" s="50" t="s">
        <v>9</v>
      </c>
      <c r="B5" s="3" t="s">
        <v>26</v>
      </c>
      <c r="C5" s="2">
        <v>620</v>
      </c>
      <c r="D5" s="2">
        <v>645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119</v>
      </c>
      <c r="K5" s="2">
        <v>0</v>
      </c>
      <c r="L5" s="2">
        <v>465</v>
      </c>
      <c r="M5" s="2">
        <v>571</v>
      </c>
      <c r="N5" s="2">
        <v>140</v>
      </c>
      <c r="O5" s="2">
        <v>0</v>
      </c>
      <c r="P5" s="2">
        <v>5</v>
      </c>
      <c r="Q5" s="2">
        <v>570</v>
      </c>
      <c r="R5" s="2">
        <v>642</v>
      </c>
      <c r="S5" s="2">
        <v>0</v>
      </c>
      <c r="T5" s="2">
        <v>166</v>
      </c>
    </row>
    <row r="6" spans="1:20" x14ac:dyDescent="0.25">
      <c r="A6" s="50"/>
      <c r="B6" s="3" t="s">
        <v>33</v>
      </c>
      <c r="C6" s="2">
        <v>137</v>
      </c>
      <c r="D6" s="2">
        <v>135</v>
      </c>
      <c r="E6" s="2">
        <v>119</v>
      </c>
      <c r="F6" s="2">
        <v>0</v>
      </c>
      <c r="G6" s="2">
        <v>0</v>
      </c>
      <c r="H6" s="2">
        <v>0</v>
      </c>
      <c r="I6" s="2">
        <v>119</v>
      </c>
      <c r="J6" s="2">
        <v>119</v>
      </c>
      <c r="K6" s="2">
        <v>119</v>
      </c>
      <c r="L6" s="2">
        <v>121</v>
      </c>
      <c r="M6" s="2">
        <v>119</v>
      </c>
      <c r="N6" s="2">
        <v>119</v>
      </c>
      <c r="O6" s="2">
        <v>119</v>
      </c>
      <c r="P6" s="2">
        <v>119</v>
      </c>
      <c r="Q6" s="2">
        <v>119</v>
      </c>
      <c r="R6" s="2">
        <v>134</v>
      </c>
      <c r="S6" s="2">
        <v>95</v>
      </c>
      <c r="T6" s="2">
        <v>113</v>
      </c>
    </row>
    <row r="7" spans="1:20" x14ac:dyDescent="0.25">
      <c r="A7" s="50" t="s">
        <v>10</v>
      </c>
      <c r="B7" s="3" t="s">
        <v>26</v>
      </c>
      <c r="C7" s="2">
        <v>1999</v>
      </c>
      <c r="D7" s="2">
        <v>549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63</v>
      </c>
      <c r="K7" s="2">
        <v>0</v>
      </c>
      <c r="L7" s="2">
        <v>92</v>
      </c>
      <c r="M7" s="2">
        <v>245</v>
      </c>
      <c r="N7" s="2">
        <v>185</v>
      </c>
      <c r="O7" s="2">
        <v>0</v>
      </c>
      <c r="P7" s="2">
        <v>186</v>
      </c>
      <c r="Q7" s="2">
        <v>346</v>
      </c>
      <c r="R7" s="2">
        <v>360</v>
      </c>
      <c r="S7" s="2">
        <v>0</v>
      </c>
      <c r="T7" s="2">
        <v>133</v>
      </c>
    </row>
    <row r="8" spans="1:20" x14ac:dyDescent="0.25">
      <c r="A8" s="50"/>
      <c r="B8" s="3" t="s">
        <v>33</v>
      </c>
      <c r="C8" s="2">
        <v>132</v>
      </c>
      <c r="D8" s="2">
        <v>95</v>
      </c>
      <c r="E8" s="2">
        <v>0</v>
      </c>
      <c r="F8" s="2">
        <v>0</v>
      </c>
      <c r="G8" s="2">
        <v>0</v>
      </c>
      <c r="H8" s="2">
        <v>0</v>
      </c>
      <c r="I8" s="2">
        <v>56</v>
      </c>
      <c r="J8" s="2">
        <v>63</v>
      </c>
      <c r="K8" s="2">
        <v>76</v>
      </c>
      <c r="L8" s="2">
        <v>92</v>
      </c>
      <c r="M8" s="2">
        <v>76</v>
      </c>
      <c r="N8" s="2">
        <v>50</v>
      </c>
      <c r="O8" s="2">
        <v>76</v>
      </c>
      <c r="P8" s="2">
        <v>50</v>
      </c>
      <c r="Q8" s="2">
        <v>40</v>
      </c>
      <c r="R8" s="2">
        <v>94</v>
      </c>
      <c r="S8" s="2">
        <v>75</v>
      </c>
      <c r="T8" s="2">
        <v>84</v>
      </c>
    </row>
    <row r="9" spans="1:20" x14ac:dyDescent="0.25">
      <c r="A9" s="50" t="s">
        <v>66</v>
      </c>
      <c r="B9" s="3" t="s">
        <v>26</v>
      </c>
      <c r="C9" s="2">
        <v>10</v>
      </c>
      <c r="D9" s="2">
        <v>12</v>
      </c>
      <c r="E9" s="2">
        <v>0</v>
      </c>
      <c r="F9" s="2">
        <v>5</v>
      </c>
      <c r="G9" s="2">
        <v>0</v>
      </c>
      <c r="H9" s="2">
        <v>11</v>
      </c>
      <c r="I9" s="2">
        <v>0</v>
      </c>
      <c r="J9" s="2">
        <v>11</v>
      </c>
      <c r="K9" s="2">
        <v>0</v>
      </c>
      <c r="L9" s="2">
        <v>12</v>
      </c>
      <c r="M9" s="2">
        <v>0</v>
      </c>
      <c r="N9" s="2">
        <v>3</v>
      </c>
      <c r="O9" s="2">
        <v>0</v>
      </c>
      <c r="P9" s="2">
        <v>11</v>
      </c>
      <c r="Q9" s="2">
        <v>0</v>
      </c>
      <c r="R9" s="2">
        <v>11</v>
      </c>
      <c r="S9" s="2">
        <v>0</v>
      </c>
      <c r="T9" s="2">
        <v>12</v>
      </c>
    </row>
    <row r="10" spans="1:20" x14ac:dyDescent="0.25">
      <c r="A10" s="50"/>
      <c r="B10" s="3" t="s">
        <v>33</v>
      </c>
      <c r="C10" s="2">
        <v>10</v>
      </c>
      <c r="D10" s="2">
        <v>10</v>
      </c>
      <c r="E10" s="2">
        <v>7</v>
      </c>
      <c r="F10" s="2">
        <v>4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0</v>
      </c>
      <c r="N10" s="2">
        <v>2</v>
      </c>
      <c r="O10" s="2">
        <v>10</v>
      </c>
      <c r="P10" s="2">
        <v>10</v>
      </c>
      <c r="Q10" s="2">
        <v>0</v>
      </c>
      <c r="R10" s="2">
        <v>10</v>
      </c>
      <c r="S10" s="2">
        <v>10</v>
      </c>
      <c r="T10" s="2">
        <v>10</v>
      </c>
    </row>
    <row r="11" spans="1:20" x14ac:dyDescent="0.25">
      <c r="A11" s="50" t="s">
        <v>13</v>
      </c>
      <c r="B11" s="3" t="s">
        <v>26</v>
      </c>
      <c r="C11" s="2">
        <v>34</v>
      </c>
      <c r="D11" s="2">
        <v>30</v>
      </c>
      <c r="E11" s="2">
        <v>0</v>
      </c>
      <c r="F11" s="2">
        <v>10</v>
      </c>
      <c r="G11" s="2">
        <v>0</v>
      </c>
      <c r="H11" s="2">
        <v>1</v>
      </c>
      <c r="I11" s="2">
        <v>0</v>
      </c>
      <c r="J11" s="2">
        <v>3</v>
      </c>
      <c r="K11" s="2">
        <v>0</v>
      </c>
      <c r="L11" s="2">
        <v>28</v>
      </c>
      <c r="M11" s="2">
        <v>27</v>
      </c>
      <c r="N11" s="2">
        <v>28</v>
      </c>
      <c r="O11" s="2">
        <v>0</v>
      </c>
      <c r="P11" s="2">
        <v>13</v>
      </c>
      <c r="Q11" s="2">
        <v>27</v>
      </c>
      <c r="R11" s="2">
        <v>27</v>
      </c>
      <c r="S11" s="2">
        <v>0</v>
      </c>
      <c r="T11" s="2">
        <v>28</v>
      </c>
    </row>
    <row r="12" spans="1:20" x14ac:dyDescent="0.25">
      <c r="A12" s="50"/>
      <c r="B12" s="3" t="s">
        <v>33</v>
      </c>
      <c r="C12" s="2">
        <v>30</v>
      </c>
      <c r="D12" s="2">
        <v>26</v>
      </c>
      <c r="E12" s="2">
        <v>26</v>
      </c>
      <c r="F12" s="2">
        <v>9</v>
      </c>
      <c r="G12" s="2">
        <v>0</v>
      </c>
      <c r="H12" s="2">
        <v>0</v>
      </c>
      <c r="I12" s="2">
        <v>0</v>
      </c>
      <c r="J12" s="2">
        <v>2</v>
      </c>
      <c r="K12" s="2">
        <v>22</v>
      </c>
      <c r="L12" s="2">
        <v>26</v>
      </c>
      <c r="M12" s="2">
        <v>26</v>
      </c>
      <c r="N12" s="2">
        <v>26</v>
      </c>
      <c r="O12" s="2">
        <v>26</v>
      </c>
      <c r="P12" s="2">
        <v>26</v>
      </c>
      <c r="Q12" s="2">
        <v>26</v>
      </c>
      <c r="R12" s="2">
        <v>26</v>
      </c>
      <c r="S12" s="2">
        <v>26</v>
      </c>
      <c r="T12" s="2">
        <v>26</v>
      </c>
    </row>
    <row r="13" spans="1:20" x14ac:dyDescent="0.25">
      <c r="A13" s="50" t="s">
        <v>67</v>
      </c>
      <c r="B13" s="3" t="s">
        <v>26</v>
      </c>
      <c r="C13" s="2">
        <v>26</v>
      </c>
      <c r="D13" s="2">
        <v>22</v>
      </c>
      <c r="E13" s="2">
        <v>0</v>
      </c>
      <c r="F13" s="2">
        <v>3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20</v>
      </c>
      <c r="M13" s="2">
        <v>0</v>
      </c>
      <c r="N13" s="2">
        <v>7</v>
      </c>
      <c r="O13" s="2">
        <v>0</v>
      </c>
      <c r="P13" s="2">
        <v>7</v>
      </c>
      <c r="Q13" s="2">
        <v>26</v>
      </c>
      <c r="R13" s="2">
        <v>20</v>
      </c>
      <c r="S13" s="2">
        <v>0</v>
      </c>
      <c r="T13" s="2">
        <v>21</v>
      </c>
    </row>
    <row r="14" spans="1:20" x14ac:dyDescent="0.25">
      <c r="A14" s="50"/>
      <c r="B14" s="3" t="s">
        <v>33</v>
      </c>
      <c r="C14" s="2">
        <v>16</v>
      </c>
      <c r="D14" s="2">
        <v>19</v>
      </c>
      <c r="E14" s="2">
        <v>15</v>
      </c>
      <c r="F14" s="2">
        <v>2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19</v>
      </c>
      <c r="M14" s="2">
        <v>0</v>
      </c>
      <c r="N14" s="2">
        <v>19</v>
      </c>
      <c r="O14" s="2">
        <v>16</v>
      </c>
      <c r="P14" s="2">
        <v>19</v>
      </c>
      <c r="Q14" s="2">
        <v>16</v>
      </c>
      <c r="R14" s="2">
        <v>19</v>
      </c>
      <c r="S14" s="2">
        <v>16</v>
      </c>
      <c r="T14" s="2">
        <v>19</v>
      </c>
    </row>
    <row r="15" spans="1:20" x14ac:dyDescent="0.25">
      <c r="A15" s="50" t="s">
        <v>14</v>
      </c>
      <c r="B15" s="3" t="s">
        <v>26</v>
      </c>
      <c r="C15" s="2">
        <v>107</v>
      </c>
      <c r="D15" s="2">
        <v>117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36</v>
      </c>
      <c r="K15" s="2">
        <v>0</v>
      </c>
      <c r="L15" s="2">
        <v>2</v>
      </c>
      <c r="M15" s="2">
        <v>107</v>
      </c>
      <c r="N15" s="2">
        <v>117</v>
      </c>
      <c r="O15" s="2">
        <v>0</v>
      </c>
      <c r="P15" s="2">
        <v>43</v>
      </c>
      <c r="Q15" s="2">
        <v>107</v>
      </c>
      <c r="R15" s="2">
        <v>117</v>
      </c>
      <c r="S15" s="2">
        <v>0</v>
      </c>
      <c r="T15" s="2">
        <v>6</v>
      </c>
    </row>
    <row r="16" spans="1:20" x14ac:dyDescent="0.25">
      <c r="A16" s="50"/>
      <c r="B16" s="3" t="s">
        <v>33</v>
      </c>
      <c r="C16" s="2">
        <v>36</v>
      </c>
      <c r="D16" s="2">
        <v>39</v>
      </c>
      <c r="E16" s="2">
        <v>0</v>
      </c>
      <c r="F16" s="2">
        <v>1</v>
      </c>
      <c r="G16" s="2">
        <v>0</v>
      </c>
      <c r="H16" s="2">
        <v>0</v>
      </c>
      <c r="I16" s="2">
        <v>36</v>
      </c>
      <c r="J16" s="2">
        <v>36</v>
      </c>
      <c r="K16" s="2">
        <v>0</v>
      </c>
      <c r="L16" s="2">
        <v>2</v>
      </c>
      <c r="M16" s="2">
        <v>36</v>
      </c>
      <c r="N16" s="2">
        <v>39</v>
      </c>
      <c r="O16" s="2">
        <v>36</v>
      </c>
      <c r="P16" s="2">
        <v>39</v>
      </c>
      <c r="Q16" s="2">
        <v>36</v>
      </c>
      <c r="R16" s="2">
        <v>39</v>
      </c>
      <c r="S16" s="2">
        <v>0</v>
      </c>
      <c r="T16" s="2">
        <v>5</v>
      </c>
    </row>
    <row r="17" spans="1:20" x14ac:dyDescent="0.25">
      <c r="A17" s="50" t="s">
        <v>15</v>
      </c>
      <c r="B17" s="3" t="s">
        <v>26</v>
      </c>
      <c r="C17" s="2">
        <v>13</v>
      </c>
      <c r="D17" s="2">
        <v>18</v>
      </c>
      <c r="E17" s="2">
        <v>0</v>
      </c>
      <c r="F17" s="2">
        <v>1</v>
      </c>
      <c r="G17" s="2">
        <v>0</v>
      </c>
      <c r="H17" s="2">
        <v>0</v>
      </c>
      <c r="I17" s="2">
        <v>0</v>
      </c>
      <c r="J17" s="2">
        <v>16</v>
      </c>
      <c r="K17" s="2">
        <v>0</v>
      </c>
      <c r="L17" s="2">
        <v>1</v>
      </c>
      <c r="M17" s="2">
        <v>13</v>
      </c>
      <c r="N17" s="2">
        <v>8</v>
      </c>
      <c r="O17" s="2">
        <v>0</v>
      </c>
      <c r="P17" s="2">
        <v>8</v>
      </c>
      <c r="Q17" s="2">
        <v>13</v>
      </c>
      <c r="R17" s="2">
        <v>4</v>
      </c>
      <c r="S17" s="2">
        <v>0</v>
      </c>
      <c r="T17" s="2">
        <v>0</v>
      </c>
    </row>
    <row r="18" spans="1:20" x14ac:dyDescent="0.25">
      <c r="A18" s="50"/>
      <c r="B18" s="3" t="s">
        <v>33</v>
      </c>
      <c r="C18" s="2">
        <v>17</v>
      </c>
      <c r="D18" s="2">
        <v>17</v>
      </c>
      <c r="E18" s="2">
        <v>0</v>
      </c>
      <c r="F18" s="2">
        <v>1</v>
      </c>
      <c r="G18" s="2">
        <v>0</v>
      </c>
      <c r="H18" s="2">
        <v>0</v>
      </c>
      <c r="I18" s="2">
        <v>13</v>
      </c>
      <c r="J18" s="2">
        <v>16</v>
      </c>
      <c r="K18" s="2">
        <v>0</v>
      </c>
      <c r="L18" s="2">
        <v>1</v>
      </c>
      <c r="M18" s="2">
        <v>13</v>
      </c>
      <c r="N18" s="2">
        <v>8</v>
      </c>
      <c r="O18" s="2">
        <v>17</v>
      </c>
      <c r="P18" s="2">
        <v>16</v>
      </c>
      <c r="Q18" s="2">
        <v>13</v>
      </c>
      <c r="R18" s="2">
        <v>4</v>
      </c>
      <c r="S18" s="2">
        <v>0</v>
      </c>
      <c r="T18" s="2">
        <v>0</v>
      </c>
    </row>
    <row r="19" spans="1:20" x14ac:dyDescent="0.25">
      <c r="A19" s="50" t="s">
        <v>19</v>
      </c>
      <c r="B19" s="3" t="s">
        <v>26</v>
      </c>
      <c r="C19" s="2">
        <v>45</v>
      </c>
      <c r="D19" s="2">
        <v>48</v>
      </c>
      <c r="E19" s="2">
        <v>0</v>
      </c>
      <c r="F19" s="2">
        <v>0</v>
      </c>
      <c r="G19" s="2">
        <v>0</v>
      </c>
      <c r="H19" s="2">
        <v>48</v>
      </c>
      <c r="I19" s="2">
        <v>0</v>
      </c>
      <c r="J19" s="2">
        <v>48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</row>
    <row r="20" spans="1:20" x14ac:dyDescent="0.25">
      <c r="A20" s="50"/>
      <c r="B20" s="3" t="s">
        <v>33</v>
      </c>
      <c r="C20" s="2">
        <v>50</v>
      </c>
      <c r="D20" s="2">
        <v>47</v>
      </c>
      <c r="E20" s="2">
        <v>0</v>
      </c>
      <c r="F20" s="2">
        <v>0</v>
      </c>
      <c r="G20" s="2">
        <v>46</v>
      </c>
      <c r="H20" s="2">
        <v>47</v>
      </c>
      <c r="I20" s="2">
        <v>46</v>
      </c>
      <c r="J20" s="2">
        <v>47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</row>
    <row r="21" spans="1:20" x14ac:dyDescent="0.25">
      <c r="A21" s="50" t="s">
        <v>20</v>
      </c>
      <c r="B21" s="3" t="s">
        <v>26</v>
      </c>
      <c r="C21" s="2">
        <v>4</v>
      </c>
      <c r="D21" s="2">
        <v>20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20</v>
      </c>
      <c r="K21" s="2">
        <v>0</v>
      </c>
      <c r="L21" s="2">
        <v>20</v>
      </c>
      <c r="M21" s="2">
        <v>0</v>
      </c>
      <c r="N21" s="2">
        <v>0</v>
      </c>
      <c r="O21" s="2">
        <v>0</v>
      </c>
      <c r="P21" s="2">
        <v>0</v>
      </c>
      <c r="Q21" s="2">
        <v>4</v>
      </c>
      <c r="R21" s="2">
        <v>20</v>
      </c>
      <c r="S21" s="2">
        <v>0</v>
      </c>
      <c r="T21" s="2">
        <v>0</v>
      </c>
    </row>
    <row r="22" spans="1:20" x14ac:dyDescent="0.25">
      <c r="A22" s="50"/>
      <c r="B22" s="3" t="s">
        <v>33</v>
      </c>
      <c r="C22" s="2">
        <v>7</v>
      </c>
      <c r="D22" s="2">
        <v>7</v>
      </c>
      <c r="E22" s="2">
        <v>0</v>
      </c>
      <c r="F22" s="2">
        <v>0</v>
      </c>
      <c r="G22" s="2">
        <v>0</v>
      </c>
      <c r="H22" s="2">
        <v>0</v>
      </c>
      <c r="I22" s="2">
        <v>7</v>
      </c>
      <c r="J22" s="2">
        <v>7</v>
      </c>
      <c r="K22" s="2">
        <v>7</v>
      </c>
      <c r="L22" s="2">
        <v>7</v>
      </c>
      <c r="M22" s="2">
        <v>0</v>
      </c>
      <c r="N22" s="2">
        <v>0</v>
      </c>
      <c r="O22" s="2">
        <v>0</v>
      </c>
      <c r="P22" s="2">
        <v>0</v>
      </c>
      <c r="Q22" s="2">
        <v>7</v>
      </c>
      <c r="R22" s="2">
        <v>7</v>
      </c>
      <c r="S22" s="2">
        <v>0</v>
      </c>
      <c r="T22" s="2">
        <v>0</v>
      </c>
    </row>
    <row r="23" spans="1:20" x14ac:dyDescent="0.25">
      <c r="A23" s="50" t="s">
        <v>21</v>
      </c>
      <c r="B23" s="3" t="s">
        <v>26</v>
      </c>
      <c r="C23" s="2">
        <v>4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</row>
    <row r="24" spans="1:20" x14ac:dyDescent="0.25">
      <c r="A24" s="50"/>
      <c r="B24" s="3" t="s">
        <v>33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</row>
    <row r="25" spans="1:20" x14ac:dyDescent="0.25">
      <c r="A25" s="50" t="s">
        <v>68</v>
      </c>
      <c r="B25" s="3" t="s">
        <v>26</v>
      </c>
      <c r="C25" s="2">
        <v>19</v>
      </c>
      <c r="D25" s="2">
        <v>132</v>
      </c>
      <c r="E25" s="2">
        <v>0</v>
      </c>
      <c r="F25" s="2">
        <v>2</v>
      </c>
      <c r="G25" s="2">
        <v>0</v>
      </c>
      <c r="H25" s="2">
        <v>2</v>
      </c>
      <c r="I25" s="2">
        <v>0</v>
      </c>
      <c r="J25" s="2">
        <v>2</v>
      </c>
      <c r="K25" s="2">
        <v>0</v>
      </c>
      <c r="L25" s="2">
        <v>7</v>
      </c>
      <c r="M25" s="2">
        <v>12</v>
      </c>
      <c r="N25" s="2">
        <v>119</v>
      </c>
      <c r="O25" s="2">
        <v>0</v>
      </c>
      <c r="P25" s="2">
        <v>100</v>
      </c>
      <c r="Q25" s="2">
        <v>12</v>
      </c>
      <c r="R25" s="2">
        <v>22</v>
      </c>
      <c r="S25" s="2">
        <v>0</v>
      </c>
      <c r="T25" s="2">
        <v>20</v>
      </c>
    </row>
    <row r="26" spans="1:20" x14ac:dyDescent="0.25">
      <c r="A26" s="50"/>
      <c r="B26" s="3" t="s">
        <v>33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</row>
    <row r="27" spans="1:20" x14ac:dyDescent="0.25">
      <c r="A27" s="50" t="s">
        <v>69</v>
      </c>
      <c r="B27" s="3" t="s">
        <v>26</v>
      </c>
      <c r="C27" s="2">
        <v>1723</v>
      </c>
      <c r="D27" s="2">
        <v>724</v>
      </c>
      <c r="E27" s="2">
        <v>0</v>
      </c>
      <c r="F27" s="2">
        <v>8</v>
      </c>
      <c r="G27" s="2">
        <v>0</v>
      </c>
      <c r="H27" s="2">
        <v>1</v>
      </c>
      <c r="I27" s="2">
        <v>0</v>
      </c>
      <c r="J27" s="2">
        <v>205</v>
      </c>
      <c r="K27" s="2">
        <v>0</v>
      </c>
      <c r="L27" s="2">
        <v>258</v>
      </c>
      <c r="M27" s="2">
        <v>1377</v>
      </c>
      <c r="N27" s="2">
        <v>654</v>
      </c>
      <c r="O27" s="2">
        <v>0</v>
      </c>
      <c r="P27" s="2">
        <v>28</v>
      </c>
      <c r="Q27" s="2">
        <v>1377</v>
      </c>
      <c r="R27" s="2">
        <v>654</v>
      </c>
      <c r="S27" s="2">
        <v>0</v>
      </c>
      <c r="T27" s="2">
        <v>297</v>
      </c>
    </row>
    <row r="28" spans="1:20" x14ac:dyDescent="0.25">
      <c r="A28" s="50"/>
      <c r="B28" s="3" t="s">
        <v>33</v>
      </c>
      <c r="C28" s="2">
        <v>305</v>
      </c>
      <c r="D28" s="2">
        <v>264</v>
      </c>
      <c r="E28" s="2">
        <v>0</v>
      </c>
      <c r="F28" s="2">
        <v>8</v>
      </c>
      <c r="G28" s="2">
        <v>0</v>
      </c>
      <c r="H28" s="2">
        <v>1</v>
      </c>
      <c r="I28" s="2">
        <v>199</v>
      </c>
      <c r="J28" s="2">
        <v>202</v>
      </c>
      <c r="K28" s="2">
        <v>237</v>
      </c>
      <c r="L28" s="2">
        <v>256</v>
      </c>
      <c r="M28" s="2">
        <v>199</v>
      </c>
      <c r="N28" s="2">
        <v>201</v>
      </c>
      <c r="O28" s="2">
        <v>199</v>
      </c>
      <c r="P28" s="2">
        <v>201</v>
      </c>
      <c r="Q28" s="2">
        <v>199</v>
      </c>
      <c r="R28" s="2">
        <v>220</v>
      </c>
      <c r="S28" s="2">
        <v>199</v>
      </c>
      <c r="T28" s="2">
        <v>201</v>
      </c>
    </row>
    <row r="30" spans="1:20" x14ac:dyDescent="0.25">
      <c r="A30" s="1" t="s">
        <v>70</v>
      </c>
      <c r="E30">
        <v>8</v>
      </c>
      <c r="F30">
        <v>0</v>
      </c>
    </row>
    <row r="31" spans="1:20" x14ac:dyDescent="0.25">
      <c r="A31" s="1" t="s">
        <v>71</v>
      </c>
      <c r="K31">
        <v>21</v>
      </c>
      <c r="L31">
        <v>21</v>
      </c>
    </row>
    <row r="32" spans="1:20" x14ac:dyDescent="0.25">
      <c r="A32" s="1" t="s">
        <v>72</v>
      </c>
      <c r="O32" s="11">
        <v>8</v>
      </c>
      <c r="P32" s="11">
        <v>0</v>
      </c>
    </row>
  </sheetData>
  <mergeCells count="22">
    <mergeCell ref="O3:P3"/>
    <mergeCell ref="Q3:R3"/>
    <mergeCell ref="S3:T3"/>
    <mergeCell ref="A5:A6"/>
    <mergeCell ref="A7:A8"/>
    <mergeCell ref="C3:D3"/>
    <mergeCell ref="E3:F3"/>
    <mergeCell ref="G3:H3"/>
    <mergeCell ref="I3:J3"/>
    <mergeCell ref="K3:L3"/>
    <mergeCell ref="M3:N3"/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00"/>
  <sheetViews>
    <sheetView zoomScale="70" zoomScaleNormal="70" workbookViewId="0"/>
  </sheetViews>
  <sheetFormatPr defaultRowHeight="15" x14ac:dyDescent="0.25"/>
  <cols>
    <col min="1" max="1" width="11" bestFit="1" customWidth="1"/>
    <col min="2" max="2" width="9" bestFit="1" customWidth="1"/>
    <col min="3" max="3" width="40" customWidth="1"/>
    <col min="5" max="5" width="41.140625" bestFit="1" customWidth="1"/>
    <col min="6" max="6" width="13.140625" bestFit="1" customWidth="1"/>
  </cols>
  <sheetData>
    <row r="1" spans="1:35" x14ac:dyDescent="0.25">
      <c r="A1" t="s">
        <v>73</v>
      </c>
      <c r="B1" t="s">
        <v>31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33</v>
      </c>
      <c r="N1" t="s">
        <v>84</v>
      </c>
      <c r="O1" t="s">
        <v>85</v>
      </c>
      <c r="P1" t="s">
        <v>86</v>
      </c>
      <c r="Q1" t="s">
        <v>87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</row>
    <row r="2" spans="1:35" x14ac:dyDescent="0.25">
      <c r="A2" t="str">
        <f>"1497705016"</f>
        <v>1497705016</v>
      </c>
      <c r="B2" t="str">
        <f>"02582552"</f>
        <v>02582552</v>
      </c>
      <c r="C2" t="s">
        <v>106</v>
      </c>
      <c r="D2" t="s">
        <v>107</v>
      </c>
      <c r="E2" t="s">
        <v>108</v>
      </c>
      <c r="G2" t="s">
        <v>109</v>
      </c>
      <c r="H2" t="s">
        <v>110</v>
      </c>
      <c r="J2" t="s">
        <v>111</v>
      </c>
      <c r="L2" t="s">
        <v>112</v>
      </c>
      <c r="M2" t="s">
        <v>113</v>
      </c>
      <c r="R2" t="s">
        <v>114</v>
      </c>
      <c r="W2" t="s">
        <v>114</v>
      </c>
      <c r="X2" t="s">
        <v>115</v>
      </c>
      <c r="Y2" t="s">
        <v>116</v>
      </c>
      <c r="Z2" t="s">
        <v>117</v>
      </c>
      <c r="AA2" t="str">
        <f>"14209-2098"</f>
        <v>14209-2098</v>
      </c>
      <c r="AB2" t="s">
        <v>118</v>
      </c>
      <c r="AC2" t="s">
        <v>119</v>
      </c>
      <c r="AD2" t="s">
        <v>113</v>
      </c>
      <c r="AE2" t="s">
        <v>120</v>
      </c>
      <c r="AG2" t="s">
        <v>121</v>
      </c>
    </row>
    <row r="3" spans="1:35" x14ac:dyDescent="0.25">
      <c r="A3" t="str">
        <f>"1497708119"</f>
        <v>1497708119</v>
      </c>
      <c r="B3" t="str">
        <f>"00778652"</f>
        <v>00778652</v>
      </c>
      <c r="C3" t="s">
        <v>122</v>
      </c>
      <c r="D3" t="s">
        <v>123</v>
      </c>
      <c r="E3" t="s">
        <v>124</v>
      </c>
      <c r="G3" t="s">
        <v>122</v>
      </c>
      <c r="H3" t="s">
        <v>125</v>
      </c>
      <c r="J3" t="s">
        <v>126</v>
      </c>
      <c r="L3" t="s">
        <v>112</v>
      </c>
      <c r="M3" t="s">
        <v>113</v>
      </c>
      <c r="R3" t="s">
        <v>127</v>
      </c>
      <c r="W3" t="s">
        <v>124</v>
      </c>
      <c r="X3" t="s">
        <v>128</v>
      </c>
      <c r="Y3" t="s">
        <v>129</v>
      </c>
      <c r="Z3" t="s">
        <v>117</v>
      </c>
      <c r="AA3" t="str">
        <f>"14224-3452"</f>
        <v>14224-3452</v>
      </c>
      <c r="AB3" t="s">
        <v>118</v>
      </c>
      <c r="AC3" t="s">
        <v>119</v>
      </c>
      <c r="AD3" t="s">
        <v>113</v>
      </c>
      <c r="AE3" t="s">
        <v>120</v>
      </c>
      <c r="AG3" t="s">
        <v>121</v>
      </c>
    </row>
    <row r="4" spans="1:35" x14ac:dyDescent="0.25">
      <c r="A4" t="str">
        <f>"1497710362"</f>
        <v>1497710362</v>
      </c>
      <c r="B4" t="str">
        <f>"01184252"</f>
        <v>01184252</v>
      </c>
      <c r="C4" t="s">
        <v>130</v>
      </c>
      <c r="D4" t="s">
        <v>131</v>
      </c>
      <c r="E4" t="s">
        <v>132</v>
      </c>
      <c r="G4" t="s">
        <v>130</v>
      </c>
      <c r="H4" t="s">
        <v>133</v>
      </c>
      <c r="J4" t="s">
        <v>134</v>
      </c>
      <c r="L4" t="s">
        <v>112</v>
      </c>
      <c r="M4" t="s">
        <v>113</v>
      </c>
      <c r="R4" t="s">
        <v>135</v>
      </c>
      <c r="W4" t="s">
        <v>132</v>
      </c>
      <c r="X4" t="s">
        <v>136</v>
      </c>
      <c r="Y4" t="s">
        <v>116</v>
      </c>
      <c r="Z4" t="s">
        <v>117</v>
      </c>
      <c r="AA4" t="str">
        <f>"14209-1120"</f>
        <v>14209-1120</v>
      </c>
      <c r="AB4" t="s">
        <v>118</v>
      </c>
      <c r="AC4" t="s">
        <v>119</v>
      </c>
      <c r="AD4" t="s">
        <v>113</v>
      </c>
      <c r="AE4" t="s">
        <v>120</v>
      </c>
      <c r="AG4" t="s">
        <v>121</v>
      </c>
    </row>
    <row r="5" spans="1:35" x14ac:dyDescent="0.25">
      <c r="A5" t="str">
        <f>"1497714968"</f>
        <v>1497714968</v>
      </c>
      <c r="B5" t="str">
        <f>"02116085"</f>
        <v>02116085</v>
      </c>
      <c r="C5" t="s">
        <v>137</v>
      </c>
      <c r="D5" t="s">
        <v>138</v>
      </c>
      <c r="E5" t="s">
        <v>139</v>
      </c>
      <c r="G5" t="s">
        <v>137</v>
      </c>
      <c r="H5" t="s">
        <v>140</v>
      </c>
      <c r="J5" t="s">
        <v>141</v>
      </c>
      <c r="L5" t="s">
        <v>142</v>
      </c>
      <c r="M5" t="s">
        <v>113</v>
      </c>
      <c r="R5" t="s">
        <v>143</v>
      </c>
      <c r="W5" t="s">
        <v>139</v>
      </c>
      <c r="X5" t="s">
        <v>144</v>
      </c>
      <c r="Y5" t="s">
        <v>145</v>
      </c>
      <c r="Z5" t="s">
        <v>117</v>
      </c>
      <c r="AA5" t="str">
        <f>"14051-2606"</f>
        <v>14051-2606</v>
      </c>
      <c r="AB5" t="s">
        <v>118</v>
      </c>
      <c r="AC5" t="s">
        <v>119</v>
      </c>
      <c r="AD5" t="s">
        <v>113</v>
      </c>
      <c r="AE5" t="s">
        <v>120</v>
      </c>
      <c r="AG5" t="s">
        <v>121</v>
      </c>
    </row>
    <row r="6" spans="1:35" x14ac:dyDescent="0.25">
      <c r="A6" t="str">
        <f>"1497716492"</f>
        <v>1497716492</v>
      </c>
      <c r="B6" t="str">
        <f>"02519139"</f>
        <v>02519139</v>
      </c>
      <c r="C6" t="s">
        <v>146</v>
      </c>
      <c r="D6" t="s">
        <v>147</v>
      </c>
      <c r="E6" t="s">
        <v>148</v>
      </c>
      <c r="G6" t="s">
        <v>146</v>
      </c>
      <c r="H6" t="s">
        <v>149</v>
      </c>
      <c r="L6" t="s">
        <v>150</v>
      </c>
      <c r="M6" t="s">
        <v>113</v>
      </c>
      <c r="R6" t="s">
        <v>151</v>
      </c>
      <c r="W6" t="s">
        <v>148</v>
      </c>
      <c r="X6" t="s">
        <v>152</v>
      </c>
      <c r="Y6" t="s">
        <v>153</v>
      </c>
      <c r="Z6" t="s">
        <v>117</v>
      </c>
      <c r="AA6" t="str">
        <f>"14301-1813"</f>
        <v>14301-1813</v>
      </c>
      <c r="AB6" t="s">
        <v>118</v>
      </c>
      <c r="AC6" t="s">
        <v>119</v>
      </c>
      <c r="AD6" t="s">
        <v>113</v>
      </c>
      <c r="AE6" t="s">
        <v>120</v>
      </c>
      <c r="AG6" t="s">
        <v>121</v>
      </c>
    </row>
    <row r="7" spans="1:35" x14ac:dyDescent="0.25">
      <c r="A7" t="str">
        <f>"1497717268"</f>
        <v>1497717268</v>
      </c>
      <c r="B7" t="str">
        <f>"02184009"</f>
        <v>02184009</v>
      </c>
      <c r="C7" t="s">
        <v>154</v>
      </c>
      <c r="D7" t="s">
        <v>155</v>
      </c>
      <c r="E7" t="s">
        <v>156</v>
      </c>
      <c r="G7" t="s">
        <v>157</v>
      </c>
      <c r="H7" t="s">
        <v>158</v>
      </c>
      <c r="J7" t="s">
        <v>159</v>
      </c>
      <c r="L7" t="s">
        <v>150</v>
      </c>
      <c r="M7" t="s">
        <v>113</v>
      </c>
      <c r="R7" t="s">
        <v>160</v>
      </c>
      <c r="W7" t="s">
        <v>156</v>
      </c>
      <c r="X7" t="s">
        <v>161</v>
      </c>
      <c r="Y7" t="s">
        <v>116</v>
      </c>
      <c r="Z7" t="s">
        <v>117</v>
      </c>
      <c r="AA7" t="str">
        <f>"14223-1107"</f>
        <v>14223-1107</v>
      </c>
      <c r="AB7" t="s">
        <v>118</v>
      </c>
      <c r="AC7" t="s">
        <v>119</v>
      </c>
      <c r="AD7" t="s">
        <v>113</v>
      </c>
      <c r="AE7" t="s">
        <v>120</v>
      </c>
      <c r="AG7" t="s">
        <v>121</v>
      </c>
    </row>
    <row r="8" spans="1:35" x14ac:dyDescent="0.25">
      <c r="A8" t="str">
        <f>"1497717888"</f>
        <v>1497717888</v>
      </c>
      <c r="B8" t="str">
        <f>"01683783"</f>
        <v>01683783</v>
      </c>
      <c r="C8" t="s">
        <v>162</v>
      </c>
      <c r="D8" t="s">
        <v>163</v>
      </c>
      <c r="E8" t="s">
        <v>164</v>
      </c>
      <c r="G8" t="s">
        <v>162</v>
      </c>
      <c r="H8" t="s">
        <v>165</v>
      </c>
      <c r="J8" t="s">
        <v>166</v>
      </c>
      <c r="L8" t="s">
        <v>150</v>
      </c>
      <c r="M8" t="s">
        <v>113</v>
      </c>
      <c r="R8" t="s">
        <v>167</v>
      </c>
      <c r="W8" t="s">
        <v>167</v>
      </c>
      <c r="X8" t="s">
        <v>168</v>
      </c>
      <c r="Y8" t="s">
        <v>116</v>
      </c>
      <c r="Z8" t="s">
        <v>117</v>
      </c>
      <c r="AA8" t="str">
        <f>"14202-1309"</f>
        <v>14202-1309</v>
      </c>
      <c r="AB8" t="s">
        <v>118</v>
      </c>
      <c r="AC8" t="s">
        <v>119</v>
      </c>
      <c r="AD8" t="s">
        <v>113</v>
      </c>
      <c r="AE8" t="s">
        <v>120</v>
      </c>
      <c r="AG8" t="s">
        <v>121</v>
      </c>
    </row>
    <row r="9" spans="1:35" x14ac:dyDescent="0.25">
      <c r="A9" t="str">
        <f>"1497719264"</f>
        <v>1497719264</v>
      </c>
      <c r="B9" t="str">
        <f>"01026324"</f>
        <v>01026324</v>
      </c>
      <c r="C9" t="s">
        <v>169</v>
      </c>
      <c r="D9" t="s">
        <v>170</v>
      </c>
      <c r="E9" t="s">
        <v>171</v>
      </c>
      <c r="G9" t="s">
        <v>169</v>
      </c>
      <c r="H9" t="s">
        <v>172</v>
      </c>
      <c r="J9" t="s">
        <v>173</v>
      </c>
      <c r="L9" t="s">
        <v>150</v>
      </c>
      <c r="M9" t="s">
        <v>113</v>
      </c>
      <c r="R9" t="s">
        <v>174</v>
      </c>
      <c r="W9" t="s">
        <v>175</v>
      </c>
      <c r="X9" t="s">
        <v>176</v>
      </c>
      <c r="Y9" t="s">
        <v>116</v>
      </c>
      <c r="Z9" t="s">
        <v>117</v>
      </c>
      <c r="AA9" t="str">
        <f>"14203-1126"</f>
        <v>14203-1126</v>
      </c>
      <c r="AB9" t="s">
        <v>118</v>
      </c>
      <c r="AC9" t="s">
        <v>119</v>
      </c>
      <c r="AD9" t="s">
        <v>113</v>
      </c>
      <c r="AE9" t="s">
        <v>120</v>
      </c>
      <c r="AG9" t="s">
        <v>121</v>
      </c>
    </row>
    <row r="10" spans="1:35" x14ac:dyDescent="0.25">
      <c r="A10" t="str">
        <f>"1497728737"</f>
        <v>1497728737</v>
      </c>
      <c r="B10" t="str">
        <f>"00738138"</f>
        <v>00738138</v>
      </c>
      <c r="C10" t="s">
        <v>177</v>
      </c>
      <c r="D10" t="s">
        <v>178</v>
      </c>
      <c r="E10" t="s">
        <v>179</v>
      </c>
      <c r="G10" t="s">
        <v>177</v>
      </c>
      <c r="H10" t="s">
        <v>180</v>
      </c>
      <c r="J10" t="s">
        <v>181</v>
      </c>
      <c r="L10" t="s">
        <v>142</v>
      </c>
      <c r="M10" t="s">
        <v>113</v>
      </c>
      <c r="R10" t="s">
        <v>182</v>
      </c>
      <c r="W10" t="s">
        <v>183</v>
      </c>
      <c r="X10" t="s">
        <v>184</v>
      </c>
      <c r="Y10" t="s">
        <v>116</v>
      </c>
      <c r="Z10" t="s">
        <v>117</v>
      </c>
      <c r="AA10" t="str">
        <f>"14221-7386"</f>
        <v>14221-7386</v>
      </c>
      <c r="AB10" t="s">
        <v>118</v>
      </c>
      <c r="AC10" t="s">
        <v>119</v>
      </c>
      <c r="AD10" t="s">
        <v>113</v>
      </c>
      <c r="AE10" t="s">
        <v>120</v>
      </c>
      <c r="AG10" t="s">
        <v>121</v>
      </c>
    </row>
    <row r="11" spans="1:35" x14ac:dyDescent="0.25">
      <c r="A11" t="str">
        <f>"1497739833"</f>
        <v>1497739833</v>
      </c>
      <c r="B11" t="str">
        <f>"01649710"</f>
        <v>01649710</v>
      </c>
      <c r="C11" t="s">
        <v>185</v>
      </c>
      <c r="D11" t="s">
        <v>186</v>
      </c>
      <c r="E11" t="s">
        <v>187</v>
      </c>
      <c r="G11" t="s">
        <v>185</v>
      </c>
      <c r="H11" t="s">
        <v>188</v>
      </c>
      <c r="J11" t="s">
        <v>189</v>
      </c>
      <c r="L11" t="s">
        <v>142</v>
      </c>
      <c r="M11" t="s">
        <v>113</v>
      </c>
      <c r="R11" t="s">
        <v>190</v>
      </c>
      <c r="W11" t="s">
        <v>187</v>
      </c>
      <c r="X11" t="s">
        <v>191</v>
      </c>
      <c r="Y11" t="s">
        <v>192</v>
      </c>
      <c r="Z11" t="s">
        <v>117</v>
      </c>
      <c r="AA11" t="str">
        <f>"14020-2202"</f>
        <v>14020-2202</v>
      </c>
      <c r="AB11" t="s">
        <v>118</v>
      </c>
      <c r="AC11" t="s">
        <v>119</v>
      </c>
      <c r="AD11" t="s">
        <v>113</v>
      </c>
      <c r="AE11" t="s">
        <v>120</v>
      </c>
      <c r="AG11" t="s">
        <v>121</v>
      </c>
    </row>
    <row r="12" spans="1:35" x14ac:dyDescent="0.25">
      <c r="A12" t="str">
        <f>"1649277930"</f>
        <v>1649277930</v>
      </c>
      <c r="B12" t="str">
        <f>"01762734"</f>
        <v>01762734</v>
      </c>
      <c r="C12" t="s">
        <v>193</v>
      </c>
      <c r="D12" t="s">
        <v>194</v>
      </c>
      <c r="E12" t="s">
        <v>195</v>
      </c>
      <c r="G12" t="s">
        <v>196</v>
      </c>
      <c r="H12" t="s">
        <v>197</v>
      </c>
      <c r="I12">
        <v>214</v>
      </c>
      <c r="J12" t="s">
        <v>198</v>
      </c>
      <c r="L12" t="s">
        <v>150</v>
      </c>
      <c r="M12" t="s">
        <v>199</v>
      </c>
      <c r="R12" t="s">
        <v>200</v>
      </c>
      <c r="W12" t="s">
        <v>195</v>
      </c>
      <c r="X12" t="s">
        <v>201</v>
      </c>
      <c r="Y12" t="s">
        <v>153</v>
      </c>
      <c r="Z12" t="s">
        <v>117</v>
      </c>
      <c r="AA12" t="str">
        <f>"14301-1807"</f>
        <v>14301-1807</v>
      </c>
      <c r="AB12" t="s">
        <v>118</v>
      </c>
      <c r="AC12" t="s">
        <v>119</v>
      </c>
      <c r="AD12" t="s">
        <v>113</v>
      </c>
      <c r="AE12" t="s">
        <v>120</v>
      </c>
      <c r="AG12" t="s">
        <v>121</v>
      </c>
    </row>
    <row r="13" spans="1:35" x14ac:dyDescent="0.25">
      <c r="A13" t="str">
        <f>"1649279191"</f>
        <v>1649279191</v>
      </c>
      <c r="B13" t="str">
        <f>"01885125"</f>
        <v>01885125</v>
      </c>
      <c r="C13" t="s">
        <v>202</v>
      </c>
      <c r="D13" t="s">
        <v>203</v>
      </c>
      <c r="E13" t="s">
        <v>204</v>
      </c>
      <c r="G13" t="s">
        <v>202</v>
      </c>
      <c r="H13" t="s">
        <v>205</v>
      </c>
      <c r="J13" t="s">
        <v>206</v>
      </c>
      <c r="L13" t="s">
        <v>150</v>
      </c>
      <c r="M13" t="s">
        <v>113</v>
      </c>
      <c r="R13" t="s">
        <v>204</v>
      </c>
      <c r="W13" t="s">
        <v>207</v>
      </c>
      <c r="X13" t="s">
        <v>208</v>
      </c>
      <c r="Y13" t="s">
        <v>209</v>
      </c>
      <c r="Z13" t="s">
        <v>117</v>
      </c>
      <c r="AA13" t="str">
        <f>"14059-9634"</f>
        <v>14059-9634</v>
      </c>
      <c r="AB13" t="s">
        <v>118</v>
      </c>
      <c r="AC13" t="s">
        <v>119</v>
      </c>
      <c r="AD13" t="s">
        <v>113</v>
      </c>
      <c r="AE13" t="s">
        <v>120</v>
      </c>
      <c r="AG13" t="s">
        <v>121</v>
      </c>
    </row>
    <row r="14" spans="1:35" x14ac:dyDescent="0.25">
      <c r="A14" t="str">
        <f>"1740363183"</f>
        <v>1740363183</v>
      </c>
      <c r="B14" t="str">
        <f>"01042277"</f>
        <v>01042277</v>
      </c>
      <c r="C14" t="s">
        <v>210</v>
      </c>
      <c r="D14" t="s">
        <v>211</v>
      </c>
      <c r="E14" t="s">
        <v>212</v>
      </c>
      <c r="G14" t="s">
        <v>210</v>
      </c>
      <c r="H14" t="s">
        <v>213</v>
      </c>
      <c r="J14" t="s">
        <v>214</v>
      </c>
      <c r="L14" t="s">
        <v>142</v>
      </c>
      <c r="M14" t="s">
        <v>199</v>
      </c>
      <c r="R14" t="s">
        <v>215</v>
      </c>
      <c r="W14" t="s">
        <v>212</v>
      </c>
      <c r="X14" t="s">
        <v>216</v>
      </c>
      <c r="Y14" t="s">
        <v>116</v>
      </c>
      <c r="Z14" t="s">
        <v>117</v>
      </c>
      <c r="AA14" t="str">
        <f>"14222-2006"</f>
        <v>14222-2006</v>
      </c>
      <c r="AB14" t="s">
        <v>118</v>
      </c>
      <c r="AC14" t="s">
        <v>119</v>
      </c>
      <c r="AD14" t="s">
        <v>113</v>
      </c>
      <c r="AE14" t="s">
        <v>120</v>
      </c>
      <c r="AG14" t="s">
        <v>121</v>
      </c>
    </row>
    <row r="15" spans="1:35" x14ac:dyDescent="0.25">
      <c r="A15" t="str">
        <f>"1740372192"</f>
        <v>1740372192</v>
      </c>
      <c r="B15" t="str">
        <f>"01916361"</f>
        <v>01916361</v>
      </c>
      <c r="C15" t="s">
        <v>217</v>
      </c>
      <c r="D15" t="s">
        <v>218</v>
      </c>
      <c r="E15" t="s">
        <v>219</v>
      </c>
      <c r="H15" t="s">
        <v>220</v>
      </c>
      <c r="L15" t="s">
        <v>142</v>
      </c>
      <c r="M15" t="s">
        <v>113</v>
      </c>
      <c r="R15" t="s">
        <v>221</v>
      </c>
      <c r="W15" t="s">
        <v>219</v>
      </c>
      <c r="X15" t="s">
        <v>222</v>
      </c>
      <c r="Y15" t="s">
        <v>153</v>
      </c>
      <c r="Z15" t="s">
        <v>117</v>
      </c>
      <c r="AA15" t="str">
        <f>"14301-1110"</f>
        <v>14301-1110</v>
      </c>
      <c r="AB15" t="s">
        <v>223</v>
      </c>
      <c r="AC15" t="s">
        <v>119</v>
      </c>
      <c r="AD15" t="s">
        <v>113</v>
      </c>
      <c r="AE15" t="s">
        <v>120</v>
      </c>
      <c r="AG15" t="s">
        <v>121</v>
      </c>
    </row>
    <row r="16" spans="1:35" x14ac:dyDescent="0.25">
      <c r="A16" t="str">
        <f>"1740374248"</f>
        <v>1740374248</v>
      </c>
      <c r="B16" t="str">
        <f>"01947704"</f>
        <v>01947704</v>
      </c>
      <c r="C16" t="s">
        <v>224</v>
      </c>
      <c r="D16" t="s">
        <v>225</v>
      </c>
      <c r="E16" t="s">
        <v>226</v>
      </c>
      <c r="G16" t="s">
        <v>224</v>
      </c>
      <c r="H16" t="s">
        <v>227</v>
      </c>
      <c r="J16" t="s">
        <v>228</v>
      </c>
      <c r="L16" t="s">
        <v>229</v>
      </c>
      <c r="M16" t="s">
        <v>113</v>
      </c>
      <c r="R16" t="s">
        <v>230</v>
      </c>
      <c r="W16" t="s">
        <v>226</v>
      </c>
      <c r="X16" t="s">
        <v>231</v>
      </c>
      <c r="Y16" t="s">
        <v>232</v>
      </c>
      <c r="Z16" t="s">
        <v>117</v>
      </c>
      <c r="AA16" t="str">
        <f>"10038-2649"</f>
        <v>10038-2649</v>
      </c>
      <c r="AB16" t="s">
        <v>118</v>
      </c>
      <c r="AC16" t="s">
        <v>119</v>
      </c>
      <c r="AD16" t="s">
        <v>113</v>
      </c>
      <c r="AE16" t="s">
        <v>120</v>
      </c>
      <c r="AG16" t="s">
        <v>121</v>
      </c>
    </row>
    <row r="17" spans="1:33" x14ac:dyDescent="0.25">
      <c r="A17" t="str">
        <f>"1447262209"</f>
        <v>1447262209</v>
      </c>
      <c r="B17" t="str">
        <f>"02313835"</f>
        <v>02313835</v>
      </c>
      <c r="C17" t="s">
        <v>233</v>
      </c>
      <c r="D17" t="s">
        <v>234</v>
      </c>
      <c r="E17" t="s">
        <v>235</v>
      </c>
      <c r="G17" t="s">
        <v>233</v>
      </c>
      <c r="H17" t="s">
        <v>236</v>
      </c>
      <c r="J17" t="s">
        <v>237</v>
      </c>
      <c r="L17" t="s">
        <v>142</v>
      </c>
      <c r="M17" t="s">
        <v>113</v>
      </c>
      <c r="R17" t="s">
        <v>238</v>
      </c>
      <c r="W17" t="s">
        <v>235</v>
      </c>
      <c r="X17" t="s">
        <v>239</v>
      </c>
      <c r="Y17" t="s">
        <v>240</v>
      </c>
      <c r="Z17" t="s">
        <v>117</v>
      </c>
      <c r="AA17" t="str">
        <f>"14221-1729"</f>
        <v>14221-1729</v>
      </c>
      <c r="AB17" t="s">
        <v>118</v>
      </c>
      <c r="AC17" t="s">
        <v>119</v>
      </c>
      <c r="AD17" t="s">
        <v>113</v>
      </c>
      <c r="AE17" t="s">
        <v>120</v>
      </c>
      <c r="AG17" t="s">
        <v>121</v>
      </c>
    </row>
    <row r="18" spans="1:33" x14ac:dyDescent="0.25">
      <c r="A18" t="str">
        <f>"1447282199"</f>
        <v>1447282199</v>
      </c>
      <c r="B18" t="str">
        <f>"02773242"</f>
        <v>02773242</v>
      </c>
      <c r="C18" t="s">
        <v>241</v>
      </c>
      <c r="D18" t="s">
        <v>242</v>
      </c>
      <c r="E18" t="s">
        <v>243</v>
      </c>
      <c r="G18" t="s">
        <v>244</v>
      </c>
      <c r="H18" t="s">
        <v>213</v>
      </c>
      <c r="J18" t="s">
        <v>245</v>
      </c>
      <c r="L18" t="s">
        <v>150</v>
      </c>
      <c r="M18" t="s">
        <v>113</v>
      </c>
      <c r="R18" t="s">
        <v>246</v>
      </c>
      <c r="W18" t="s">
        <v>243</v>
      </c>
      <c r="X18" t="s">
        <v>216</v>
      </c>
      <c r="Y18" t="s">
        <v>116</v>
      </c>
      <c r="Z18" t="s">
        <v>117</v>
      </c>
      <c r="AA18" t="str">
        <f>"14222-2006"</f>
        <v>14222-2006</v>
      </c>
      <c r="AB18" t="s">
        <v>118</v>
      </c>
      <c r="AC18" t="s">
        <v>119</v>
      </c>
      <c r="AD18" t="s">
        <v>113</v>
      </c>
      <c r="AE18" t="s">
        <v>120</v>
      </c>
      <c r="AG18" t="s">
        <v>121</v>
      </c>
    </row>
    <row r="19" spans="1:33" x14ac:dyDescent="0.25">
      <c r="A19" t="str">
        <f>"1447283288"</f>
        <v>1447283288</v>
      </c>
      <c r="B19" t="str">
        <f>"02771882"</f>
        <v>02771882</v>
      </c>
      <c r="C19" t="s">
        <v>247</v>
      </c>
      <c r="D19" t="s">
        <v>248</v>
      </c>
      <c r="E19" t="s">
        <v>249</v>
      </c>
      <c r="G19" t="s">
        <v>247</v>
      </c>
      <c r="H19" t="s">
        <v>250</v>
      </c>
      <c r="J19" t="s">
        <v>251</v>
      </c>
      <c r="L19" t="s">
        <v>142</v>
      </c>
      <c r="M19" t="s">
        <v>113</v>
      </c>
      <c r="R19" t="s">
        <v>252</v>
      </c>
      <c r="W19" t="s">
        <v>249</v>
      </c>
      <c r="X19" t="s">
        <v>253</v>
      </c>
      <c r="Y19" t="s">
        <v>116</v>
      </c>
      <c r="Z19" t="s">
        <v>117</v>
      </c>
      <c r="AA19" t="str">
        <f>"14215-3021"</f>
        <v>14215-3021</v>
      </c>
      <c r="AB19" t="s">
        <v>118</v>
      </c>
      <c r="AC19" t="s">
        <v>119</v>
      </c>
      <c r="AD19" t="s">
        <v>113</v>
      </c>
      <c r="AE19" t="s">
        <v>120</v>
      </c>
      <c r="AG19" t="s">
        <v>121</v>
      </c>
    </row>
    <row r="20" spans="1:33" x14ac:dyDescent="0.25">
      <c r="A20" t="str">
        <f>"1447291703"</f>
        <v>1447291703</v>
      </c>
      <c r="B20" t="str">
        <f>"01501371"</f>
        <v>01501371</v>
      </c>
      <c r="C20" t="s">
        <v>254</v>
      </c>
      <c r="D20" t="s">
        <v>255</v>
      </c>
      <c r="E20" t="s">
        <v>256</v>
      </c>
      <c r="G20" t="s">
        <v>254</v>
      </c>
      <c r="H20" t="s">
        <v>257</v>
      </c>
      <c r="J20" t="s">
        <v>258</v>
      </c>
      <c r="L20" t="s">
        <v>150</v>
      </c>
      <c r="M20" t="s">
        <v>113</v>
      </c>
      <c r="R20" t="s">
        <v>259</v>
      </c>
      <c r="W20" t="s">
        <v>256</v>
      </c>
      <c r="X20" t="s">
        <v>260</v>
      </c>
      <c r="Y20" t="s">
        <v>240</v>
      </c>
      <c r="Z20" t="s">
        <v>117</v>
      </c>
      <c r="AA20" t="str">
        <f>"14221-3698"</f>
        <v>14221-3698</v>
      </c>
      <c r="AB20" t="s">
        <v>118</v>
      </c>
      <c r="AC20" t="s">
        <v>119</v>
      </c>
      <c r="AD20" t="s">
        <v>113</v>
      </c>
      <c r="AE20" t="s">
        <v>120</v>
      </c>
      <c r="AG20" t="s">
        <v>121</v>
      </c>
    </row>
    <row r="21" spans="1:33" x14ac:dyDescent="0.25">
      <c r="A21" t="str">
        <f>"1447299573"</f>
        <v>1447299573</v>
      </c>
      <c r="B21" t="str">
        <f>"02273210"</f>
        <v>02273210</v>
      </c>
      <c r="C21" t="s">
        <v>261</v>
      </c>
      <c r="D21" t="s">
        <v>262</v>
      </c>
      <c r="E21" t="s">
        <v>263</v>
      </c>
      <c r="G21" t="s">
        <v>261</v>
      </c>
      <c r="H21" t="s">
        <v>264</v>
      </c>
      <c r="J21" t="s">
        <v>265</v>
      </c>
      <c r="L21" t="s">
        <v>142</v>
      </c>
      <c r="M21" t="s">
        <v>113</v>
      </c>
      <c r="R21" t="s">
        <v>266</v>
      </c>
      <c r="W21" t="s">
        <v>263</v>
      </c>
      <c r="X21" t="s">
        <v>267</v>
      </c>
      <c r="Y21" t="s">
        <v>268</v>
      </c>
      <c r="Z21" t="s">
        <v>117</v>
      </c>
      <c r="AA21" t="str">
        <f>"14150-6850"</f>
        <v>14150-6850</v>
      </c>
      <c r="AB21" t="s">
        <v>118</v>
      </c>
      <c r="AC21" t="s">
        <v>119</v>
      </c>
      <c r="AD21" t="s">
        <v>113</v>
      </c>
      <c r="AE21" t="s">
        <v>120</v>
      </c>
      <c r="AG21" t="s">
        <v>121</v>
      </c>
    </row>
    <row r="22" spans="1:33" x14ac:dyDescent="0.25">
      <c r="A22" t="str">
        <f>"1447348776"</f>
        <v>1447348776</v>
      </c>
      <c r="B22" t="str">
        <f>"01139880"</f>
        <v>01139880</v>
      </c>
      <c r="C22" t="s">
        <v>269</v>
      </c>
      <c r="D22" t="s">
        <v>270</v>
      </c>
      <c r="E22" t="s">
        <v>271</v>
      </c>
      <c r="G22" t="s">
        <v>269</v>
      </c>
      <c r="H22" t="s">
        <v>272</v>
      </c>
      <c r="J22" t="s">
        <v>273</v>
      </c>
      <c r="L22" t="s">
        <v>150</v>
      </c>
      <c r="M22" t="s">
        <v>199</v>
      </c>
      <c r="R22" t="s">
        <v>274</v>
      </c>
      <c r="W22" t="s">
        <v>271</v>
      </c>
      <c r="X22" t="s">
        <v>275</v>
      </c>
      <c r="Y22" t="s">
        <v>116</v>
      </c>
      <c r="Z22" t="s">
        <v>117</v>
      </c>
      <c r="AA22" t="str">
        <f>"14223-1432"</f>
        <v>14223-1432</v>
      </c>
      <c r="AB22" t="s">
        <v>118</v>
      </c>
      <c r="AC22" t="s">
        <v>119</v>
      </c>
      <c r="AD22" t="s">
        <v>113</v>
      </c>
      <c r="AE22" t="s">
        <v>120</v>
      </c>
      <c r="AG22" t="s">
        <v>121</v>
      </c>
    </row>
    <row r="23" spans="1:33" x14ac:dyDescent="0.25">
      <c r="B23" t="str">
        <f>"03170174"</f>
        <v>03170174</v>
      </c>
      <c r="C23" t="s">
        <v>23936</v>
      </c>
      <c r="D23" t="s">
        <v>23937</v>
      </c>
      <c r="E23" t="s">
        <v>23938</v>
      </c>
      <c r="H23" t="s">
        <v>23939</v>
      </c>
      <c r="L23" t="s">
        <v>229</v>
      </c>
      <c r="M23" t="s">
        <v>113</v>
      </c>
      <c r="W23" t="s">
        <v>23938</v>
      </c>
      <c r="X23" t="s">
        <v>23940</v>
      </c>
      <c r="Y23" t="s">
        <v>268</v>
      </c>
      <c r="Z23" t="s">
        <v>117</v>
      </c>
      <c r="AA23" t="str">
        <f>"14150-6719"</f>
        <v>14150-6719</v>
      </c>
      <c r="AB23" t="s">
        <v>291</v>
      </c>
      <c r="AC23" t="s">
        <v>119</v>
      </c>
      <c r="AD23" t="s">
        <v>113</v>
      </c>
      <c r="AE23" t="s">
        <v>120</v>
      </c>
      <c r="AG23" t="s">
        <v>121</v>
      </c>
    </row>
    <row r="24" spans="1:33" x14ac:dyDescent="0.25">
      <c r="A24" t="str">
        <f>"1053684720"</f>
        <v>1053684720</v>
      </c>
      <c r="B24" t="str">
        <f>"01542621"</f>
        <v>01542621</v>
      </c>
      <c r="C24" t="s">
        <v>11494</v>
      </c>
      <c r="D24" t="s">
        <v>11495</v>
      </c>
      <c r="E24" t="s">
        <v>11496</v>
      </c>
      <c r="G24" t="s">
        <v>11497</v>
      </c>
      <c r="H24" t="s">
        <v>2773</v>
      </c>
      <c r="J24" t="s">
        <v>11498</v>
      </c>
      <c r="L24" t="s">
        <v>280</v>
      </c>
      <c r="M24" t="s">
        <v>199</v>
      </c>
      <c r="R24" t="s">
        <v>11494</v>
      </c>
      <c r="W24" t="s">
        <v>11496</v>
      </c>
      <c r="X24" t="s">
        <v>11499</v>
      </c>
      <c r="Y24" t="s">
        <v>9183</v>
      </c>
      <c r="Z24" t="s">
        <v>117</v>
      </c>
      <c r="AA24" t="str">
        <f>"14086-2824"</f>
        <v>14086-2824</v>
      </c>
      <c r="AB24" t="s">
        <v>282</v>
      </c>
      <c r="AC24" t="s">
        <v>119</v>
      </c>
      <c r="AD24" t="s">
        <v>113</v>
      </c>
      <c r="AE24" t="s">
        <v>120</v>
      </c>
      <c r="AG24" t="s">
        <v>121</v>
      </c>
    </row>
    <row r="25" spans="1:33" x14ac:dyDescent="0.25">
      <c r="A25" t="str">
        <f>"1447407036"</f>
        <v>1447407036</v>
      </c>
      <c r="B25" t="str">
        <f>"03025849"</f>
        <v>03025849</v>
      </c>
      <c r="C25" t="s">
        <v>292</v>
      </c>
      <c r="D25" t="s">
        <v>293</v>
      </c>
      <c r="E25" t="s">
        <v>294</v>
      </c>
      <c r="G25" t="s">
        <v>292</v>
      </c>
      <c r="H25" t="s">
        <v>295</v>
      </c>
      <c r="J25" t="s">
        <v>296</v>
      </c>
      <c r="L25" t="s">
        <v>142</v>
      </c>
      <c r="M25" t="s">
        <v>113</v>
      </c>
      <c r="R25" t="s">
        <v>297</v>
      </c>
      <c r="W25" t="s">
        <v>294</v>
      </c>
      <c r="X25" t="s">
        <v>298</v>
      </c>
      <c r="Y25" t="s">
        <v>240</v>
      </c>
      <c r="Z25" t="s">
        <v>117</v>
      </c>
      <c r="AA25" t="str">
        <f>"14221-8024"</f>
        <v>14221-8024</v>
      </c>
      <c r="AB25" t="s">
        <v>118</v>
      </c>
      <c r="AC25" t="s">
        <v>119</v>
      </c>
      <c r="AD25" t="s">
        <v>113</v>
      </c>
      <c r="AE25" t="s">
        <v>120</v>
      </c>
      <c r="AG25" t="s">
        <v>121</v>
      </c>
    </row>
    <row r="26" spans="1:33" x14ac:dyDescent="0.25">
      <c r="A26" t="str">
        <f>"1447410451"</f>
        <v>1447410451</v>
      </c>
      <c r="C26" t="s">
        <v>299</v>
      </c>
      <c r="G26" t="s">
        <v>300</v>
      </c>
      <c r="H26" t="s">
        <v>301</v>
      </c>
      <c r="J26" t="s">
        <v>302</v>
      </c>
      <c r="K26" t="s">
        <v>303</v>
      </c>
      <c r="L26" t="s">
        <v>229</v>
      </c>
      <c r="M26" t="s">
        <v>113</v>
      </c>
      <c r="R26" t="s">
        <v>299</v>
      </c>
      <c r="S26" t="s">
        <v>304</v>
      </c>
      <c r="T26" t="s">
        <v>305</v>
      </c>
      <c r="U26" t="s">
        <v>117</v>
      </c>
      <c r="V26" t="str">
        <f>"147602135"</f>
        <v>147602135</v>
      </c>
      <c r="AC26" t="s">
        <v>119</v>
      </c>
      <c r="AD26" t="s">
        <v>113</v>
      </c>
      <c r="AE26" t="s">
        <v>306</v>
      </c>
      <c r="AG26" t="s">
        <v>121</v>
      </c>
    </row>
    <row r="27" spans="1:33" x14ac:dyDescent="0.25">
      <c r="A27" t="str">
        <f>"1447417019"</f>
        <v>1447417019</v>
      </c>
      <c r="B27" t="str">
        <f>"03776381"</f>
        <v>03776381</v>
      </c>
      <c r="C27" t="s">
        <v>307</v>
      </c>
      <c r="D27" t="s">
        <v>308</v>
      </c>
      <c r="E27" t="s">
        <v>309</v>
      </c>
      <c r="G27" t="s">
        <v>307</v>
      </c>
      <c r="H27" t="s">
        <v>310</v>
      </c>
      <c r="J27" t="s">
        <v>311</v>
      </c>
      <c r="L27" t="s">
        <v>112</v>
      </c>
      <c r="M27" t="s">
        <v>113</v>
      </c>
      <c r="R27" t="s">
        <v>312</v>
      </c>
      <c r="W27" t="s">
        <v>309</v>
      </c>
      <c r="X27" t="s">
        <v>313</v>
      </c>
      <c r="Y27" t="s">
        <v>116</v>
      </c>
      <c r="Z27" t="s">
        <v>117</v>
      </c>
      <c r="AA27" t="str">
        <f>"14267-0002"</f>
        <v>14267-0002</v>
      </c>
      <c r="AB27" t="s">
        <v>118</v>
      </c>
      <c r="AC27" t="s">
        <v>119</v>
      </c>
      <c r="AD27" t="s">
        <v>113</v>
      </c>
      <c r="AE27" t="s">
        <v>120</v>
      </c>
      <c r="AG27" t="s">
        <v>121</v>
      </c>
    </row>
    <row r="28" spans="1:33" x14ac:dyDescent="0.25">
      <c r="A28" t="str">
        <f>"1447418371"</f>
        <v>1447418371</v>
      </c>
      <c r="C28" t="s">
        <v>314</v>
      </c>
      <c r="G28" t="s">
        <v>314</v>
      </c>
      <c r="J28" t="s">
        <v>315</v>
      </c>
      <c r="K28" t="s">
        <v>303</v>
      </c>
      <c r="L28" t="s">
        <v>229</v>
      </c>
      <c r="M28" t="s">
        <v>113</v>
      </c>
      <c r="R28" t="s">
        <v>316</v>
      </c>
      <c r="S28" t="s">
        <v>317</v>
      </c>
      <c r="T28" t="s">
        <v>318</v>
      </c>
      <c r="U28" t="s">
        <v>117</v>
      </c>
      <c r="V28" t="str">
        <f>"142251950"</f>
        <v>142251950</v>
      </c>
      <c r="AC28" t="s">
        <v>119</v>
      </c>
      <c r="AD28" t="s">
        <v>113</v>
      </c>
      <c r="AE28" t="s">
        <v>306</v>
      </c>
      <c r="AG28" t="s">
        <v>121</v>
      </c>
    </row>
    <row r="29" spans="1:33" x14ac:dyDescent="0.25">
      <c r="A29" t="str">
        <f>"1447429576"</f>
        <v>1447429576</v>
      </c>
      <c r="B29" t="str">
        <f>"02967499"</f>
        <v>02967499</v>
      </c>
      <c r="C29" t="s">
        <v>319</v>
      </c>
      <c r="D29" t="s">
        <v>320</v>
      </c>
      <c r="E29" t="s">
        <v>321</v>
      </c>
      <c r="G29" t="s">
        <v>319</v>
      </c>
      <c r="H29" t="s">
        <v>322</v>
      </c>
      <c r="J29" t="s">
        <v>323</v>
      </c>
      <c r="L29" t="s">
        <v>142</v>
      </c>
      <c r="M29" t="s">
        <v>113</v>
      </c>
      <c r="R29" t="s">
        <v>324</v>
      </c>
      <c r="W29" t="s">
        <v>321</v>
      </c>
      <c r="X29" t="s">
        <v>325</v>
      </c>
      <c r="Y29" t="s">
        <v>326</v>
      </c>
      <c r="Z29" t="s">
        <v>117</v>
      </c>
      <c r="AA29" t="str">
        <f>"14127-1573"</f>
        <v>14127-1573</v>
      </c>
      <c r="AB29" t="s">
        <v>118</v>
      </c>
      <c r="AC29" t="s">
        <v>119</v>
      </c>
      <c r="AD29" t="s">
        <v>113</v>
      </c>
      <c r="AE29" t="s">
        <v>120</v>
      </c>
      <c r="AG29" t="s">
        <v>121</v>
      </c>
    </row>
    <row r="30" spans="1:33" x14ac:dyDescent="0.25">
      <c r="A30" t="str">
        <f>"1447456959"</f>
        <v>1447456959</v>
      </c>
      <c r="B30" t="str">
        <f>"03384076"</f>
        <v>03384076</v>
      </c>
      <c r="C30" t="s">
        <v>327</v>
      </c>
      <c r="D30" t="s">
        <v>328</v>
      </c>
      <c r="E30" t="s">
        <v>329</v>
      </c>
      <c r="G30" t="s">
        <v>330</v>
      </c>
      <c r="H30" t="s">
        <v>331</v>
      </c>
      <c r="J30" t="s">
        <v>332</v>
      </c>
      <c r="L30" t="s">
        <v>142</v>
      </c>
      <c r="M30" t="s">
        <v>199</v>
      </c>
      <c r="R30" t="s">
        <v>329</v>
      </c>
      <c r="W30" t="s">
        <v>329</v>
      </c>
      <c r="X30" t="s">
        <v>333</v>
      </c>
      <c r="Y30" t="s">
        <v>116</v>
      </c>
      <c r="Z30" t="s">
        <v>117</v>
      </c>
      <c r="AA30" t="str">
        <f>"14203-1109"</f>
        <v>14203-1109</v>
      </c>
      <c r="AB30" t="s">
        <v>118</v>
      </c>
      <c r="AC30" t="s">
        <v>119</v>
      </c>
      <c r="AD30" t="s">
        <v>113</v>
      </c>
      <c r="AE30" t="s">
        <v>120</v>
      </c>
      <c r="AG30" t="s">
        <v>121</v>
      </c>
    </row>
    <row r="31" spans="1:33" x14ac:dyDescent="0.25">
      <c r="A31" t="str">
        <f>"1568436004"</f>
        <v>1568436004</v>
      </c>
      <c r="B31" t="str">
        <f>"02165277"</f>
        <v>02165277</v>
      </c>
      <c r="C31" t="s">
        <v>334</v>
      </c>
      <c r="D31" t="s">
        <v>335</v>
      </c>
      <c r="E31" t="s">
        <v>336</v>
      </c>
      <c r="G31" t="s">
        <v>334</v>
      </c>
      <c r="H31" t="s">
        <v>337</v>
      </c>
      <c r="L31" t="s">
        <v>150</v>
      </c>
      <c r="M31" t="s">
        <v>113</v>
      </c>
      <c r="R31" t="s">
        <v>338</v>
      </c>
      <c r="W31" t="s">
        <v>336</v>
      </c>
      <c r="X31" t="s">
        <v>339</v>
      </c>
      <c r="Y31" t="s">
        <v>326</v>
      </c>
      <c r="Z31" t="s">
        <v>117</v>
      </c>
      <c r="AA31" t="str">
        <f>"14127-1749"</f>
        <v>14127-1749</v>
      </c>
      <c r="AB31" t="s">
        <v>118</v>
      </c>
      <c r="AC31" t="s">
        <v>119</v>
      </c>
      <c r="AD31" t="s">
        <v>113</v>
      </c>
      <c r="AE31" t="s">
        <v>120</v>
      </c>
      <c r="AG31" t="s">
        <v>121</v>
      </c>
    </row>
    <row r="32" spans="1:33" x14ac:dyDescent="0.25">
      <c r="A32" t="str">
        <f>"1407264229"</f>
        <v>1407264229</v>
      </c>
      <c r="B32" t="str">
        <f>"03997317"</f>
        <v>03997317</v>
      </c>
      <c r="C32" t="s">
        <v>340</v>
      </c>
      <c r="D32" t="s">
        <v>341</v>
      </c>
      <c r="E32" t="s">
        <v>342</v>
      </c>
      <c r="G32" t="s">
        <v>340</v>
      </c>
      <c r="H32" t="s">
        <v>343</v>
      </c>
      <c r="J32" t="s">
        <v>344</v>
      </c>
      <c r="L32" t="s">
        <v>142</v>
      </c>
      <c r="M32" t="s">
        <v>113</v>
      </c>
      <c r="R32" t="s">
        <v>345</v>
      </c>
      <c r="W32" t="s">
        <v>346</v>
      </c>
      <c r="X32" t="s">
        <v>347</v>
      </c>
      <c r="Y32" t="s">
        <v>348</v>
      </c>
      <c r="Z32" t="s">
        <v>117</v>
      </c>
      <c r="AA32" t="str">
        <f>"14043-4888"</f>
        <v>14043-4888</v>
      </c>
      <c r="AB32" t="s">
        <v>118</v>
      </c>
      <c r="AC32" t="s">
        <v>119</v>
      </c>
      <c r="AD32" t="s">
        <v>113</v>
      </c>
      <c r="AE32" t="s">
        <v>120</v>
      </c>
      <c r="AG32" t="s">
        <v>121</v>
      </c>
    </row>
    <row r="33" spans="1:33" x14ac:dyDescent="0.25">
      <c r="A33" t="str">
        <f>"1407268907"</f>
        <v>1407268907</v>
      </c>
      <c r="C33" t="s">
        <v>349</v>
      </c>
      <c r="G33" t="s">
        <v>350</v>
      </c>
      <c r="H33" t="s">
        <v>351</v>
      </c>
      <c r="J33" t="s">
        <v>352</v>
      </c>
      <c r="K33" t="s">
        <v>303</v>
      </c>
      <c r="L33" t="s">
        <v>229</v>
      </c>
      <c r="M33" t="s">
        <v>113</v>
      </c>
      <c r="R33" t="s">
        <v>353</v>
      </c>
      <c r="S33" t="s">
        <v>354</v>
      </c>
      <c r="T33" t="s">
        <v>116</v>
      </c>
      <c r="U33" t="s">
        <v>117</v>
      </c>
      <c r="V33" t="str">
        <f>"142152814"</f>
        <v>142152814</v>
      </c>
      <c r="AC33" t="s">
        <v>119</v>
      </c>
      <c r="AD33" t="s">
        <v>113</v>
      </c>
      <c r="AE33" t="s">
        <v>306</v>
      </c>
      <c r="AG33" t="s">
        <v>121</v>
      </c>
    </row>
    <row r="34" spans="1:33" x14ac:dyDescent="0.25">
      <c r="A34" t="str">
        <f>"1407801798"</f>
        <v>1407801798</v>
      </c>
      <c r="B34" t="str">
        <f>"01461545"</f>
        <v>01461545</v>
      </c>
      <c r="C34" t="s">
        <v>355</v>
      </c>
      <c r="D34" t="s">
        <v>356</v>
      </c>
      <c r="E34" t="s">
        <v>357</v>
      </c>
      <c r="G34" t="s">
        <v>358</v>
      </c>
      <c r="H34" t="s">
        <v>359</v>
      </c>
      <c r="L34" t="s">
        <v>150</v>
      </c>
      <c r="M34" t="s">
        <v>113</v>
      </c>
      <c r="R34" t="s">
        <v>360</v>
      </c>
      <c r="W34" t="s">
        <v>360</v>
      </c>
      <c r="X34" t="s">
        <v>361</v>
      </c>
      <c r="Y34" t="s">
        <v>362</v>
      </c>
      <c r="Z34" t="s">
        <v>117</v>
      </c>
      <c r="AA34" t="str">
        <f>"14108-1026"</f>
        <v>14108-1026</v>
      </c>
      <c r="AB34" t="s">
        <v>118</v>
      </c>
      <c r="AC34" t="s">
        <v>119</v>
      </c>
      <c r="AD34" t="s">
        <v>113</v>
      </c>
      <c r="AE34" t="s">
        <v>120</v>
      </c>
      <c r="AG34" t="s">
        <v>121</v>
      </c>
    </row>
    <row r="35" spans="1:33" x14ac:dyDescent="0.25">
      <c r="A35" t="str">
        <f>"1407810948"</f>
        <v>1407810948</v>
      </c>
      <c r="B35" t="str">
        <f>"02082997"</f>
        <v>02082997</v>
      </c>
      <c r="C35" t="s">
        <v>363</v>
      </c>
      <c r="D35" t="s">
        <v>364</v>
      </c>
      <c r="E35" t="s">
        <v>365</v>
      </c>
      <c r="G35" t="s">
        <v>363</v>
      </c>
      <c r="H35" t="s">
        <v>366</v>
      </c>
      <c r="J35" t="s">
        <v>367</v>
      </c>
      <c r="L35" t="s">
        <v>142</v>
      </c>
      <c r="M35" t="s">
        <v>113</v>
      </c>
      <c r="R35" t="s">
        <v>368</v>
      </c>
      <c r="W35" t="s">
        <v>365</v>
      </c>
      <c r="X35" t="s">
        <v>176</v>
      </c>
      <c r="Y35" t="s">
        <v>116</v>
      </c>
      <c r="Z35" t="s">
        <v>117</v>
      </c>
      <c r="AA35" t="str">
        <f>"14203-1126"</f>
        <v>14203-1126</v>
      </c>
      <c r="AB35" t="s">
        <v>118</v>
      </c>
      <c r="AC35" t="s">
        <v>119</v>
      </c>
      <c r="AD35" t="s">
        <v>113</v>
      </c>
      <c r="AE35" t="s">
        <v>120</v>
      </c>
      <c r="AG35" t="s">
        <v>121</v>
      </c>
    </row>
    <row r="36" spans="1:33" x14ac:dyDescent="0.25">
      <c r="A36" t="str">
        <f>"1407812282"</f>
        <v>1407812282</v>
      </c>
      <c r="B36" t="str">
        <f>"01136685"</f>
        <v>01136685</v>
      </c>
      <c r="C36" t="s">
        <v>369</v>
      </c>
      <c r="D36" t="s">
        <v>370</v>
      </c>
      <c r="E36" t="s">
        <v>371</v>
      </c>
      <c r="G36" t="s">
        <v>372</v>
      </c>
      <c r="H36" t="s">
        <v>373</v>
      </c>
      <c r="J36" t="s">
        <v>374</v>
      </c>
      <c r="L36" t="s">
        <v>112</v>
      </c>
      <c r="M36" t="s">
        <v>113</v>
      </c>
      <c r="R36" t="s">
        <v>375</v>
      </c>
      <c r="W36" t="s">
        <v>371</v>
      </c>
      <c r="X36" t="s">
        <v>376</v>
      </c>
      <c r="Y36" t="s">
        <v>377</v>
      </c>
      <c r="Z36" t="s">
        <v>117</v>
      </c>
      <c r="AA36" t="str">
        <f>"14217-1390"</f>
        <v>14217-1390</v>
      </c>
      <c r="AB36" t="s">
        <v>118</v>
      </c>
      <c r="AC36" t="s">
        <v>119</v>
      </c>
      <c r="AD36" t="s">
        <v>113</v>
      </c>
      <c r="AE36" t="s">
        <v>120</v>
      </c>
      <c r="AG36" t="s">
        <v>121</v>
      </c>
    </row>
    <row r="37" spans="1:33" x14ac:dyDescent="0.25">
      <c r="A37" t="str">
        <f>"1407821986"</f>
        <v>1407821986</v>
      </c>
      <c r="B37" t="str">
        <f>"00632013"</f>
        <v>00632013</v>
      </c>
      <c r="C37" t="s">
        <v>378</v>
      </c>
      <c r="D37" t="s">
        <v>379</v>
      </c>
      <c r="E37" t="s">
        <v>380</v>
      </c>
      <c r="G37" t="s">
        <v>381</v>
      </c>
      <c r="H37" t="s">
        <v>382</v>
      </c>
      <c r="J37" t="s">
        <v>383</v>
      </c>
      <c r="L37" t="s">
        <v>150</v>
      </c>
      <c r="M37" t="s">
        <v>113</v>
      </c>
      <c r="R37" t="s">
        <v>384</v>
      </c>
      <c r="W37" t="s">
        <v>385</v>
      </c>
      <c r="X37" t="s">
        <v>386</v>
      </c>
      <c r="Y37" t="s">
        <v>387</v>
      </c>
      <c r="Z37" t="s">
        <v>117</v>
      </c>
      <c r="AA37" t="str">
        <f>"14787-0010"</f>
        <v>14787-0010</v>
      </c>
      <c r="AB37" t="s">
        <v>118</v>
      </c>
      <c r="AC37" t="s">
        <v>119</v>
      </c>
      <c r="AD37" t="s">
        <v>113</v>
      </c>
      <c r="AE37" t="s">
        <v>120</v>
      </c>
      <c r="AG37" t="s">
        <v>121</v>
      </c>
    </row>
    <row r="38" spans="1:33" x14ac:dyDescent="0.25">
      <c r="A38" t="str">
        <f>"1407822034"</f>
        <v>1407822034</v>
      </c>
      <c r="B38" t="str">
        <f>"01423427"</f>
        <v>01423427</v>
      </c>
      <c r="C38" t="s">
        <v>388</v>
      </c>
      <c r="D38" t="s">
        <v>389</v>
      </c>
      <c r="E38" t="s">
        <v>390</v>
      </c>
      <c r="G38" t="s">
        <v>391</v>
      </c>
      <c r="H38" t="s">
        <v>392</v>
      </c>
      <c r="J38" t="s">
        <v>393</v>
      </c>
      <c r="L38" t="s">
        <v>112</v>
      </c>
      <c r="M38" t="s">
        <v>113</v>
      </c>
      <c r="R38" t="s">
        <v>394</v>
      </c>
      <c r="W38" t="s">
        <v>390</v>
      </c>
      <c r="X38" t="s">
        <v>176</v>
      </c>
      <c r="Y38" t="s">
        <v>116</v>
      </c>
      <c r="Z38" t="s">
        <v>117</v>
      </c>
      <c r="AA38" t="str">
        <f>"14203-1126"</f>
        <v>14203-1126</v>
      </c>
      <c r="AB38" t="s">
        <v>118</v>
      </c>
      <c r="AC38" t="s">
        <v>119</v>
      </c>
      <c r="AD38" t="s">
        <v>113</v>
      </c>
      <c r="AE38" t="s">
        <v>120</v>
      </c>
      <c r="AG38" t="s">
        <v>121</v>
      </c>
    </row>
    <row r="39" spans="1:33" x14ac:dyDescent="0.25">
      <c r="A39" t="str">
        <f>"1407822125"</f>
        <v>1407822125</v>
      </c>
      <c r="B39" t="str">
        <f>"01842777"</f>
        <v>01842777</v>
      </c>
      <c r="C39" t="s">
        <v>395</v>
      </c>
      <c r="D39" t="s">
        <v>396</v>
      </c>
      <c r="E39" t="s">
        <v>397</v>
      </c>
      <c r="G39" t="s">
        <v>395</v>
      </c>
      <c r="H39" t="s">
        <v>398</v>
      </c>
      <c r="J39" t="s">
        <v>399</v>
      </c>
      <c r="L39" t="s">
        <v>150</v>
      </c>
      <c r="M39" t="s">
        <v>113</v>
      </c>
      <c r="R39" t="s">
        <v>400</v>
      </c>
      <c r="W39" t="s">
        <v>397</v>
      </c>
      <c r="X39" t="s">
        <v>401</v>
      </c>
      <c r="Y39" t="s">
        <v>116</v>
      </c>
      <c r="Z39" t="s">
        <v>117</v>
      </c>
      <c r="AA39" t="str">
        <f>"14223-2819"</f>
        <v>14223-2819</v>
      </c>
      <c r="AB39" t="s">
        <v>118</v>
      </c>
      <c r="AC39" t="s">
        <v>119</v>
      </c>
      <c r="AD39" t="s">
        <v>113</v>
      </c>
      <c r="AE39" t="s">
        <v>120</v>
      </c>
      <c r="AG39" t="s">
        <v>121</v>
      </c>
    </row>
    <row r="40" spans="1:33" x14ac:dyDescent="0.25">
      <c r="A40" t="str">
        <f>"1568544823"</f>
        <v>1568544823</v>
      </c>
      <c r="C40" t="s">
        <v>402</v>
      </c>
      <c r="G40" t="s">
        <v>403</v>
      </c>
      <c r="H40" t="s">
        <v>351</v>
      </c>
      <c r="J40" t="s">
        <v>352</v>
      </c>
      <c r="K40" t="s">
        <v>303</v>
      </c>
      <c r="L40" t="s">
        <v>229</v>
      </c>
      <c r="M40" t="s">
        <v>113</v>
      </c>
      <c r="R40" t="s">
        <v>404</v>
      </c>
      <c r="S40" t="s">
        <v>405</v>
      </c>
      <c r="T40" t="s">
        <v>116</v>
      </c>
      <c r="U40" t="s">
        <v>117</v>
      </c>
      <c r="V40" t="str">
        <f>"142151139"</f>
        <v>142151139</v>
      </c>
      <c r="AC40" t="s">
        <v>119</v>
      </c>
      <c r="AD40" t="s">
        <v>113</v>
      </c>
      <c r="AE40" t="s">
        <v>306</v>
      </c>
      <c r="AG40" t="s">
        <v>121</v>
      </c>
    </row>
    <row r="41" spans="1:33" x14ac:dyDescent="0.25">
      <c r="A41" t="str">
        <f>"1568560753"</f>
        <v>1568560753</v>
      </c>
      <c r="C41" t="s">
        <v>406</v>
      </c>
      <c r="G41" t="s">
        <v>407</v>
      </c>
      <c r="H41" t="s">
        <v>351</v>
      </c>
      <c r="K41" t="s">
        <v>303</v>
      </c>
      <c r="L41" t="s">
        <v>229</v>
      </c>
      <c r="M41" t="s">
        <v>113</v>
      </c>
      <c r="R41" t="s">
        <v>408</v>
      </c>
      <c r="S41" t="s">
        <v>409</v>
      </c>
      <c r="T41" t="s">
        <v>116</v>
      </c>
      <c r="U41" t="s">
        <v>117</v>
      </c>
      <c r="V41" t="str">
        <f>"142152814"</f>
        <v>142152814</v>
      </c>
      <c r="AC41" t="s">
        <v>119</v>
      </c>
      <c r="AD41" t="s">
        <v>113</v>
      </c>
      <c r="AE41" t="s">
        <v>306</v>
      </c>
      <c r="AG41" t="s">
        <v>121</v>
      </c>
    </row>
    <row r="42" spans="1:33" x14ac:dyDescent="0.25">
      <c r="A42" t="str">
        <f>"1568561314"</f>
        <v>1568561314</v>
      </c>
      <c r="B42" t="str">
        <f>"01150247"</f>
        <v>01150247</v>
      </c>
      <c r="C42" t="s">
        <v>410</v>
      </c>
      <c r="D42" t="s">
        <v>411</v>
      </c>
      <c r="E42" t="s">
        <v>412</v>
      </c>
      <c r="G42" t="s">
        <v>413</v>
      </c>
      <c r="H42" t="s">
        <v>213</v>
      </c>
      <c r="J42" t="s">
        <v>414</v>
      </c>
      <c r="L42" t="s">
        <v>150</v>
      </c>
      <c r="M42" t="s">
        <v>113</v>
      </c>
      <c r="R42" t="s">
        <v>415</v>
      </c>
      <c r="W42" t="s">
        <v>412</v>
      </c>
      <c r="X42" t="s">
        <v>216</v>
      </c>
      <c r="Y42" t="s">
        <v>116</v>
      </c>
      <c r="Z42" t="s">
        <v>117</v>
      </c>
      <c r="AA42" t="str">
        <f>"14222-2006"</f>
        <v>14222-2006</v>
      </c>
      <c r="AB42" t="s">
        <v>118</v>
      </c>
      <c r="AC42" t="s">
        <v>119</v>
      </c>
      <c r="AD42" t="s">
        <v>113</v>
      </c>
      <c r="AE42" t="s">
        <v>120</v>
      </c>
      <c r="AG42" t="s">
        <v>121</v>
      </c>
    </row>
    <row r="43" spans="1:33" x14ac:dyDescent="0.25">
      <c r="A43" t="str">
        <f>"1568602209"</f>
        <v>1568602209</v>
      </c>
      <c r="B43" t="str">
        <f>"03351773"</f>
        <v>03351773</v>
      </c>
      <c r="C43" t="s">
        <v>416</v>
      </c>
      <c r="D43" t="s">
        <v>417</v>
      </c>
      <c r="E43" t="s">
        <v>418</v>
      </c>
      <c r="G43" t="s">
        <v>416</v>
      </c>
      <c r="H43" t="s">
        <v>419</v>
      </c>
      <c r="J43" t="s">
        <v>420</v>
      </c>
      <c r="L43" t="s">
        <v>142</v>
      </c>
      <c r="M43" t="s">
        <v>113</v>
      </c>
      <c r="R43" t="s">
        <v>421</v>
      </c>
      <c r="W43" t="s">
        <v>418</v>
      </c>
      <c r="X43" t="s">
        <v>422</v>
      </c>
      <c r="Y43" t="s">
        <v>129</v>
      </c>
      <c r="Z43" t="s">
        <v>117</v>
      </c>
      <c r="AA43" t="str">
        <f>"14224-4658"</f>
        <v>14224-4658</v>
      </c>
      <c r="AB43" t="s">
        <v>118</v>
      </c>
      <c r="AC43" t="s">
        <v>119</v>
      </c>
      <c r="AD43" t="s">
        <v>113</v>
      </c>
      <c r="AE43" t="s">
        <v>120</v>
      </c>
      <c r="AG43" t="s">
        <v>121</v>
      </c>
    </row>
    <row r="44" spans="1:33" x14ac:dyDescent="0.25">
      <c r="A44" t="str">
        <f>"1568603173"</f>
        <v>1568603173</v>
      </c>
      <c r="B44" t="str">
        <f>"03174632"</f>
        <v>03174632</v>
      </c>
      <c r="C44" t="s">
        <v>423</v>
      </c>
      <c r="D44" t="s">
        <v>424</v>
      </c>
      <c r="E44" t="s">
        <v>425</v>
      </c>
      <c r="G44" t="s">
        <v>426</v>
      </c>
      <c r="H44" t="s">
        <v>427</v>
      </c>
      <c r="L44" t="s">
        <v>150</v>
      </c>
      <c r="M44" t="s">
        <v>113</v>
      </c>
      <c r="R44" t="s">
        <v>426</v>
      </c>
      <c r="W44" t="s">
        <v>425</v>
      </c>
      <c r="X44" t="s">
        <v>428</v>
      </c>
      <c r="Y44" t="s">
        <v>145</v>
      </c>
      <c r="Z44" t="s">
        <v>117</v>
      </c>
      <c r="AA44" t="str">
        <f>"14051-1786"</f>
        <v>14051-1786</v>
      </c>
      <c r="AB44" t="s">
        <v>118</v>
      </c>
      <c r="AC44" t="s">
        <v>119</v>
      </c>
      <c r="AD44" t="s">
        <v>113</v>
      </c>
      <c r="AE44" t="s">
        <v>120</v>
      </c>
      <c r="AG44" t="s">
        <v>121</v>
      </c>
    </row>
    <row r="45" spans="1:33" x14ac:dyDescent="0.25">
      <c r="A45" t="str">
        <f>"1568627727"</f>
        <v>1568627727</v>
      </c>
      <c r="B45" t="str">
        <f>"03688075"</f>
        <v>03688075</v>
      </c>
      <c r="C45" t="s">
        <v>429</v>
      </c>
      <c r="D45" t="s">
        <v>430</v>
      </c>
      <c r="E45" t="s">
        <v>431</v>
      </c>
      <c r="G45" t="s">
        <v>432</v>
      </c>
      <c r="J45" t="s">
        <v>433</v>
      </c>
      <c r="L45" t="s">
        <v>142</v>
      </c>
      <c r="M45" t="s">
        <v>113</v>
      </c>
      <c r="R45" t="s">
        <v>434</v>
      </c>
      <c r="W45" t="s">
        <v>431</v>
      </c>
      <c r="X45" t="s">
        <v>176</v>
      </c>
      <c r="Y45" t="s">
        <v>116</v>
      </c>
      <c r="Z45" t="s">
        <v>117</v>
      </c>
      <c r="AA45" t="str">
        <f>"14203-1126"</f>
        <v>14203-1126</v>
      </c>
      <c r="AB45" t="s">
        <v>118</v>
      </c>
      <c r="AC45" t="s">
        <v>119</v>
      </c>
      <c r="AD45" t="s">
        <v>113</v>
      </c>
      <c r="AE45" t="s">
        <v>120</v>
      </c>
      <c r="AG45" t="s">
        <v>121</v>
      </c>
    </row>
    <row r="46" spans="1:33" x14ac:dyDescent="0.25">
      <c r="A46" t="str">
        <f>"1679755532"</f>
        <v>1679755532</v>
      </c>
      <c r="C46" t="s">
        <v>435</v>
      </c>
      <c r="G46" t="s">
        <v>436</v>
      </c>
      <c r="H46" t="s">
        <v>437</v>
      </c>
      <c r="J46" t="s">
        <v>438</v>
      </c>
      <c r="K46" t="s">
        <v>303</v>
      </c>
      <c r="L46" t="s">
        <v>229</v>
      </c>
      <c r="M46" t="s">
        <v>113</v>
      </c>
      <c r="R46" t="s">
        <v>439</v>
      </c>
      <c r="S46" t="s">
        <v>440</v>
      </c>
      <c r="T46" t="s">
        <v>318</v>
      </c>
      <c r="U46" t="s">
        <v>117</v>
      </c>
      <c r="V46" t="str">
        <f>"142254965"</f>
        <v>142254965</v>
      </c>
      <c r="AC46" t="s">
        <v>119</v>
      </c>
      <c r="AD46" t="s">
        <v>113</v>
      </c>
      <c r="AE46" t="s">
        <v>306</v>
      </c>
      <c r="AG46" t="s">
        <v>121</v>
      </c>
    </row>
    <row r="47" spans="1:33" x14ac:dyDescent="0.25">
      <c r="A47" t="str">
        <f>"1679821888"</f>
        <v>1679821888</v>
      </c>
      <c r="C47" t="s">
        <v>441</v>
      </c>
      <c r="G47" t="s">
        <v>442</v>
      </c>
      <c r="H47" t="s">
        <v>443</v>
      </c>
      <c r="K47" t="s">
        <v>303</v>
      </c>
      <c r="L47" t="s">
        <v>112</v>
      </c>
      <c r="M47" t="s">
        <v>113</v>
      </c>
      <c r="R47" t="s">
        <v>444</v>
      </c>
      <c r="S47" t="s">
        <v>354</v>
      </c>
      <c r="T47" t="s">
        <v>116</v>
      </c>
      <c r="U47" t="s">
        <v>117</v>
      </c>
      <c r="V47" t="str">
        <f>"142152814"</f>
        <v>142152814</v>
      </c>
      <c r="AC47" t="s">
        <v>119</v>
      </c>
      <c r="AD47" t="s">
        <v>113</v>
      </c>
      <c r="AE47" t="s">
        <v>306</v>
      </c>
      <c r="AG47" t="s">
        <v>121</v>
      </c>
    </row>
    <row r="48" spans="1:33" x14ac:dyDescent="0.25">
      <c r="A48" t="str">
        <f>"1679853584"</f>
        <v>1679853584</v>
      </c>
      <c r="B48" t="str">
        <f>"03405263"</f>
        <v>03405263</v>
      </c>
      <c r="C48" t="s">
        <v>445</v>
      </c>
      <c r="D48" t="s">
        <v>446</v>
      </c>
      <c r="E48" t="s">
        <v>447</v>
      </c>
      <c r="G48" t="s">
        <v>448</v>
      </c>
      <c r="H48" t="s">
        <v>449</v>
      </c>
      <c r="J48" t="s">
        <v>450</v>
      </c>
      <c r="L48" t="s">
        <v>112</v>
      </c>
      <c r="M48" t="s">
        <v>113</v>
      </c>
      <c r="R48" t="s">
        <v>451</v>
      </c>
      <c r="W48" t="s">
        <v>447</v>
      </c>
      <c r="X48" t="s">
        <v>452</v>
      </c>
      <c r="Y48" t="s">
        <v>240</v>
      </c>
      <c r="Z48" t="s">
        <v>117</v>
      </c>
      <c r="AA48" t="str">
        <f>"14221-5258"</f>
        <v>14221-5258</v>
      </c>
      <c r="AB48" t="s">
        <v>118</v>
      </c>
      <c r="AC48" t="s">
        <v>119</v>
      </c>
      <c r="AD48" t="s">
        <v>113</v>
      </c>
      <c r="AE48" t="s">
        <v>120</v>
      </c>
      <c r="AG48" t="s">
        <v>121</v>
      </c>
    </row>
    <row r="49" spans="1:33" x14ac:dyDescent="0.25">
      <c r="A49" t="str">
        <f>"1679886691"</f>
        <v>1679886691</v>
      </c>
      <c r="B49" t="str">
        <f>"03688066"</f>
        <v>03688066</v>
      </c>
      <c r="C49" t="s">
        <v>453</v>
      </c>
      <c r="D49" t="s">
        <v>454</v>
      </c>
      <c r="E49" t="s">
        <v>455</v>
      </c>
      <c r="G49" t="s">
        <v>456</v>
      </c>
      <c r="H49" t="s">
        <v>457</v>
      </c>
      <c r="J49" t="s">
        <v>458</v>
      </c>
      <c r="L49" t="s">
        <v>150</v>
      </c>
      <c r="M49" t="s">
        <v>113</v>
      </c>
      <c r="R49" t="s">
        <v>459</v>
      </c>
      <c r="W49" t="s">
        <v>455</v>
      </c>
      <c r="X49" t="s">
        <v>460</v>
      </c>
      <c r="Y49" t="s">
        <v>116</v>
      </c>
      <c r="Z49" t="s">
        <v>117</v>
      </c>
      <c r="AA49" t="str">
        <f>"14216-2611"</f>
        <v>14216-2611</v>
      </c>
      <c r="AB49" t="s">
        <v>118</v>
      </c>
      <c r="AC49" t="s">
        <v>119</v>
      </c>
      <c r="AD49" t="s">
        <v>113</v>
      </c>
      <c r="AE49" t="s">
        <v>120</v>
      </c>
      <c r="AG49" t="s">
        <v>121</v>
      </c>
    </row>
    <row r="50" spans="1:33" x14ac:dyDescent="0.25">
      <c r="A50" t="str">
        <f>"1679888606"</f>
        <v>1679888606</v>
      </c>
      <c r="B50" t="str">
        <f>"03383479"</f>
        <v>03383479</v>
      </c>
      <c r="C50" t="s">
        <v>461</v>
      </c>
      <c r="D50" t="s">
        <v>462</v>
      </c>
      <c r="E50" t="s">
        <v>463</v>
      </c>
      <c r="G50" t="s">
        <v>464</v>
      </c>
      <c r="H50" t="s">
        <v>465</v>
      </c>
      <c r="J50" t="s">
        <v>466</v>
      </c>
      <c r="L50" t="s">
        <v>142</v>
      </c>
      <c r="M50" t="s">
        <v>113</v>
      </c>
      <c r="R50" t="s">
        <v>467</v>
      </c>
      <c r="W50" t="s">
        <v>468</v>
      </c>
      <c r="X50" t="s">
        <v>253</v>
      </c>
      <c r="Y50" t="s">
        <v>116</v>
      </c>
      <c r="Z50" t="s">
        <v>117</v>
      </c>
      <c r="AA50" t="str">
        <f>"14215-3021"</f>
        <v>14215-3021</v>
      </c>
      <c r="AB50" t="s">
        <v>118</v>
      </c>
      <c r="AC50" t="s">
        <v>119</v>
      </c>
      <c r="AD50" t="s">
        <v>113</v>
      </c>
      <c r="AE50" t="s">
        <v>120</v>
      </c>
      <c r="AG50" t="s">
        <v>121</v>
      </c>
    </row>
    <row r="51" spans="1:33" x14ac:dyDescent="0.25">
      <c r="A51" t="str">
        <f>"1689080459"</f>
        <v>1689080459</v>
      </c>
      <c r="C51" t="s">
        <v>469</v>
      </c>
      <c r="G51" t="s">
        <v>470</v>
      </c>
      <c r="H51" t="s">
        <v>471</v>
      </c>
      <c r="J51" t="s">
        <v>472</v>
      </c>
      <c r="K51" t="s">
        <v>303</v>
      </c>
      <c r="L51" t="s">
        <v>229</v>
      </c>
      <c r="M51" t="s">
        <v>113</v>
      </c>
      <c r="R51" t="s">
        <v>473</v>
      </c>
      <c r="S51" t="s">
        <v>474</v>
      </c>
      <c r="T51" t="s">
        <v>116</v>
      </c>
      <c r="U51" t="s">
        <v>117</v>
      </c>
      <c r="V51" t="str">
        <f>"142141316"</f>
        <v>142141316</v>
      </c>
      <c r="AC51" t="s">
        <v>119</v>
      </c>
      <c r="AD51" t="s">
        <v>113</v>
      </c>
      <c r="AE51" t="s">
        <v>306</v>
      </c>
      <c r="AG51" t="s">
        <v>121</v>
      </c>
    </row>
    <row r="52" spans="1:33" x14ac:dyDescent="0.25">
      <c r="A52" t="str">
        <f>"1689627465"</f>
        <v>1689627465</v>
      </c>
      <c r="B52" t="str">
        <f>"01881290"</f>
        <v>01881290</v>
      </c>
      <c r="C52" t="s">
        <v>475</v>
      </c>
      <c r="D52" t="s">
        <v>476</v>
      </c>
      <c r="E52" t="s">
        <v>477</v>
      </c>
      <c r="G52" t="s">
        <v>475</v>
      </c>
      <c r="H52" t="s">
        <v>478</v>
      </c>
      <c r="J52" t="s">
        <v>479</v>
      </c>
      <c r="L52" t="s">
        <v>142</v>
      </c>
      <c r="M52" t="s">
        <v>113</v>
      </c>
      <c r="R52" t="s">
        <v>480</v>
      </c>
      <c r="W52" t="s">
        <v>477</v>
      </c>
      <c r="X52" t="s">
        <v>481</v>
      </c>
      <c r="Y52" t="s">
        <v>326</v>
      </c>
      <c r="Z52" t="s">
        <v>117</v>
      </c>
      <c r="AA52" t="str">
        <f>"14127-1732"</f>
        <v>14127-1732</v>
      </c>
      <c r="AB52" t="s">
        <v>118</v>
      </c>
      <c r="AC52" t="s">
        <v>119</v>
      </c>
      <c r="AD52" t="s">
        <v>113</v>
      </c>
      <c r="AE52" t="s">
        <v>120</v>
      </c>
      <c r="AG52" t="s">
        <v>121</v>
      </c>
    </row>
    <row r="53" spans="1:33" x14ac:dyDescent="0.25">
      <c r="A53" t="str">
        <f>"1689637951"</f>
        <v>1689637951</v>
      </c>
      <c r="C53" t="s">
        <v>482</v>
      </c>
      <c r="G53" t="s">
        <v>482</v>
      </c>
      <c r="H53" t="s">
        <v>227</v>
      </c>
      <c r="J53" t="s">
        <v>483</v>
      </c>
      <c r="K53" t="s">
        <v>303</v>
      </c>
      <c r="L53" t="s">
        <v>229</v>
      </c>
      <c r="M53" t="s">
        <v>113</v>
      </c>
      <c r="R53" t="s">
        <v>484</v>
      </c>
      <c r="S53" t="s">
        <v>485</v>
      </c>
      <c r="T53" t="s">
        <v>486</v>
      </c>
      <c r="U53" t="s">
        <v>487</v>
      </c>
      <c r="V53" t="str">
        <f>"8008"</f>
        <v>8008</v>
      </c>
      <c r="AC53" t="s">
        <v>119</v>
      </c>
      <c r="AD53" t="s">
        <v>113</v>
      </c>
      <c r="AE53" t="s">
        <v>306</v>
      </c>
      <c r="AG53" t="s">
        <v>121</v>
      </c>
    </row>
    <row r="54" spans="1:33" x14ac:dyDescent="0.25">
      <c r="A54" t="str">
        <f>"1689638462"</f>
        <v>1689638462</v>
      </c>
      <c r="B54" t="str">
        <f>"01083825"</f>
        <v>01083825</v>
      </c>
      <c r="C54" t="s">
        <v>488</v>
      </c>
      <c r="D54" t="s">
        <v>489</v>
      </c>
      <c r="E54" t="s">
        <v>490</v>
      </c>
      <c r="G54" t="s">
        <v>488</v>
      </c>
      <c r="H54" t="s">
        <v>491</v>
      </c>
      <c r="J54" t="s">
        <v>492</v>
      </c>
      <c r="L54" t="s">
        <v>142</v>
      </c>
      <c r="M54" t="s">
        <v>113</v>
      </c>
      <c r="R54" t="s">
        <v>493</v>
      </c>
      <c r="W54" t="s">
        <v>490</v>
      </c>
      <c r="X54" t="s">
        <v>494</v>
      </c>
      <c r="Y54" t="s">
        <v>240</v>
      </c>
      <c r="Z54" t="s">
        <v>117</v>
      </c>
      <c r="AA54" t="str">
        <f>"14221-5934"</f>
        <v>14221-5934</v>
      </c>
      <c r="AB54" t="s">
        <v>118</v>
      </c>
      <c r="AC54" t="s">
        <v>119</v>
      </c>
      <c r="AD54" t="s">
        <v>113</v>
      </c>
      <c r="AE54" t="s">
        <v>120</v>
      </c>
      <c r="AG54" t="s">
        <v>121</v>
      </c>
    </row>
    <row r="55" spans="1:33" x14ac:dyDescent="0.25">
      <c r="A55" t="str">
        <f>"1689639460"</f>
        <v>1689639460</v>
      </c>
      <c r="B55" t="str">
        <f>"02939095"</f>
        <v>02939095</v>
      </c>
      <c r="C55" t="s">
        <v>495</v>
      </c>
      <c r="D55" t="s">
        <v>496</v>
      </c>
      <c r="E55" t="s">
        <v>497</v>
      </c>
      <c r="G55" t="s">
        <v>495</v>
      </c>
      <c r="H55" t="s">
        <v>498</v>
      </c>
      <c r="J55" t="s">
        <v>499</v>
      </c>
      <c r="L55" t="s">
        <v>142</v>
      </c>
      <c r="M55" t="s">
        <v>113</v>
      </c>
      <c r="R55" t="s">
        <v>500</v>
      </c>
      <c r="W55" t="s">
        <v>501</v>
      </c>
      <c r="X55" t="s">
        <v>502</v>
      </c>
      <c r="Y55" t="s">
        <v>348</v>
      </c>
      <c r="Z55" t="s">
        <v>117</v>
      </c>
      <c r="AA55" t="str">
        <f>"14043-1033"</f>
        <v>14043-1033</v>
      </c>
      <c r="AB55" t="s">
        <v>118</v>
      </c>
      <c r="AC55" t="s">
        <v>119</v>
      </c>
      <c r="AD55" t="s">
        <v>113</v>
      </c>
      <c r="AE55" t="s">
        <v>120</v>
      </c>
      <c r="AG55" t="s">
        <v>121</v>
      </c>
    </row>
    <row r="56" spans="1:33" x14ac:dyDescent="0.25">
      <c r="A56" t="str">
        <f>"1689639569"</f>
        <v>1689639569</v>
      </c>
      <c r="B56" t="str">
        <f>"02342785"</f>
        <v>02342785</v>
      </c>
      <c r="C56" t="s">
        <v>503</v>
      </c>
      <c r="D56" t="s">
        <v>504</v>
      </c>
      <c r="E56" t="s">
        <v>505</v>
      </c>
      <c r="G56" t="s">
        <v>506</v>
      </c>
      <c r="H56" t="s">
        <v>507</v>
      </c>
      <c r="J56" t="s">
        <v>508</v>
      </c>
      <c r="L56" t="s">
        <v>142</v>
      </c>
      <c r="M56" t="s">
        <v>113</v>
      </c>
      <c r="R56" t="s">
        <v>509</v>
      </c>
      <c r="W56" t="s">
        <v>510</v>
      </c>
      <c r="X56" t="s">
        <v>511</v>
      </c>
      <c r="Y56" t="s">
        <v>512</v>
      </c>
      <c r="Z56" t="s">
        <v>117</v>
      </c>
      <c r="AA56" t="str">
        <f>"14092-1903"</f>
        <v>14092-1903</v>
      </c>
      <c r="AB56" t="s">
        <v>118</v>
      </c>
      <c r="AC56" t="s">
        <v>119</v>
      </c>
      <c r="AD56" t="s">
        <v>113</v>
      </c>
      <c r="AE56" t="s">
        <v>120</v>
      </c>
      <c r="AG56" t="s">
        <v>121</v>
      </c>
    </row>
    <row r="57" spans="1:33" x14ac:dyDescent="0.25">
      <c r="A57" t="str">
        <f>"1598764730"</f>
        <v>1598764730</v>
      </c>
      <c r="B57" t="str">
        <f>"00893527"</f>
        <v>00893527</v>
      </c>
      <c r="C57" t="s">
        <v>513</v>
      </c>
      <c r="D57" t="s">
        <v>514</v>
      </c>
      <c r="E57" t="s">
        <v>515</v>
      </c>
      <c r="L57" t="s">
        <v>150</v>
      </c>
      <c r="M57" t="s">
        <v>113</v>
      </c>
      <c r="R57" t="s">
        <v>516</v>
      </c>
      <c r="W57" t="s">
        <v>517</v>
      </c>
      <c r="X57" t="s">
        <v>518</v>
      </c>
      <c r="Y57" t="s">
        <v>305</v>
      </c>
      <c r="Z57" t="s">
        <v>117</v>
      </c>
      <c r="AA57" t="str">
        <f>"14760-1500"</f>
        <v>14760-1500</v>
      </c>
      <c r="AB57" t="s">
        <v>118</v>
      </c>
      <c r="AC57" t="s">
        <v>119</v>
      </c>
      <c r="AD57" t="s">
        <v>113</v>
      </c>
      <c r="AE57" t="s">
        <v>120</v>
      </c>
      <c r="AG57" t="s">
        <v>121</v>
      </c>
    </row>
    <row r="58" spans="1:33" x14ac:dyDescent="0.25">
      <c r="A58" t="str">
        <f>"1598771289"</f>
        <v>1598771289</v>
      </c>
      <c r="B58" t="str">
        <f>"02635050"</f>
        <v>02635050</v>
      </c>
      <c r="C58" t="s">
        <v>519</v>
      </c>
      <c r="D58" t="s">
        <v>520</v>
      </c>
      <c r="E58" t="s">
        <v>521</v>
      </c>
      <c r="G58" t="s">
        <v>522</v>
      </c>
      <c r="H58" t="s">
        <v>523</v>
      </c>
      <c r="J58" t="s">
        <v>524</v>
      </c>
      <c r="L58" t="s">
        <v>142</v>
      </c>
      <c r="M58" t="s">
        <v>113</v>
      </c>
      <c r="R58" t="s">
        <v>525</v>
      </c>
      <c r="W58" t="s">
        <v>521</v>
      </c>
      <c r="X58" t="s">
        <v>526</v>
      </c>
      <c r="Y58" t="s">
        <v>527</v>
      </c>
      <c r="Z58" t="s">
        <v>117</v>
      </c>
      <c r="AA58" t="str">
        <f>"14103-1191"</f>
        <v>14103-1191</v>
      </c>
      <c r="AB58" t="s">
        <v>528</v>
      </c>
      <c r="AC58" t="s">
        <v>119</v>
      </c>
      <c r="AD58" t="s">
        <v>113</v>
      </c>
      <c r="AE58" t="s">
        <v>120</v>
      </c>
      <c r="AG58" t="s">
        <v>121</v>
      </c>
    </row>
    <row r="59" spans="1:33" x14ac:dyDescent="0.25">
      <c r="A59" t="str">
        <f>"1598779720"</f>
        <v>1598779720</v>
      </c>
      <c r="B59" t="str">
        <f>"02806664"</f>
        <v>02806664</v>
      </c>
      <c r="C59" t="s">
        <v>529</v>
      </c>
      <c r="D59" t="s">
        <v>530</v>
      </c>
      <c r="E59" t="s">
        <v>531</v>
      </c>
      <c r="G59" t="s">
        <v>529</v>
      </c>
      <c r="H59" t="s">
        <v>532</v>
      </c>
      <c r="J59" t="s">
        <v>533</v>
      </c>
      <c r="L59" t="s">
        <v>142</v>
      </c>
      <c r="M59" t="s">
        <v>113</v>
      </c>
      <c r="R59" t="s">
        <v>534</v>
      </c>
      <c r="W59" t="s">
        <v>531</v>
      </c>
      <c r="X59" t="s">
        <v>253</v>
      </c>
      <c r="Y59" t="s">
        <v>116</v>
      </c>
      <c r="Z59" t="s">
        <v>117</v>
      </c>
      <c r="AA59" t="str">
        <f>"14215-3021"</f>
        <v>14215-3021</v>
      </c>
      <c r="AB59" t="s">
        <v>118</v>
      </c>
      <c r="AC59" t="s">
        <v>119</v>
      </c>
      <c r="AD59" t="s">
        <v>113</v>
      </c>
      <c r="AE59" t="s">
        <v>120</v>
      </c>
      <c r="AG59" t="s">
        <v>121</v>
      </c>
    </row>
    <row r="60" spans="1:33" x14ac:dyDescent="0.25">
      <c r="A60" t="str">
        <f>"1598781460"</f>
        <v>1598781460</v>
      </c>
      <c r="B60" t="str">
        <f>"01658846"</f>
        <v>01658846</v>
      </c>
      <c r="C60" t="s">
        <v>535</v>
      </c>
      <c r="D60" t="s">
        <v>536</v>
      </c>
      <c r="E60" t="s">
        <v>537</v>
      </c>
      <c r="G60" t="s">
        <v>538</v>
      </c>
      <c r="H60" t="s">
        <v>539</v>
      </c>
      <c r="L60" t="s">
        <v>142</v>
      </c>
      <c r="M60" t="s">
        <v>113</v>
      </c>
      <c r="R60" t="s">
        <v>538</v>
      </c>
      <c r="W60" t="s">
        <v>537</v>
      </c>
      <c r="X60" t="s">
        <v>540</v>
      </c>
      <c r="Y60" t="s">
        <v>541</v>
      </c>
      <c r="Z60" t="s">
        <v>117</v>
      </c>
      <c r="AA60" t="str">
        <f>"14048-2288"</f>
        <v>14048-2288</v>
      </c>
      <c r="AB60" t="s">
        <v>118</v>
      </c>
      <c r="AC60" t="s">
        <v>119</v>
      </c>
      <c r="AD60" t="s">
        <v>113</v>
      </c>
      <c r="AE60" t="s">
        <v>120</v>
      </c>
      <c r="AG60" t="s">
        <v>121</v>
      </c>
    </row>
    <row r="61" spans="1:33" x14ac:dyDescent="0.25">
      <c r="A61" t="str">
        <f>"1598782146"</f>
        <v>1598782146</v>
      </c>
      <c r="B61" t="str">
        <f>"01192589"</f>
        <v>01192589</v>
      </c>
      <c r="C61" t="s">
        <v>542</v>
      </c>
      <c r="D61" t="s">
        <v>543</v>
      </c>
      <c r="E61" t="s">
        <v>544</v>
      </c>
      <c r="G61" t="s">
        <v>542</v>
      </c>
      <c r="H61" t="s">
        <v>532</v>
      </c>
      <c r="J61" t="s">
        <v>545</v>
      </c>
      <c r="L61" t="s">
        <v>112</v>
      </c>
      <c r="M61" t="s">
        <v>113</v>
      </c>
      <c r="R61" t="s">
        <v>546</v>
      </c>
      <c r="W61" t="s">
        <v>544</v>
      </c>
      <c r="X61" t="s">
        <v>253</v>
      </c>
      <c r="Y61" t="s">
        <v>116</v>
      </c>
      <c r="Z61" t="s">
        <v>117</v>
      </c>
      <c r="AA61" t="str">
        <f>"14215-3021"</f>
        <v>14215-3021</v>
      </c>
      <c r="AB61" t="s">
        <v>118</v>
      </c>
      <c r="AC61" t="s">
        <v>119</v>
      </c>
      <c r="AD61" t="s">
        <v>113</v>
      </c>
      <c r="AE61" t="s">
        <v>120</v>
      </c>
      <c r="AG61" t="s">
        <v>121</v>
      </c>
    </row>
    <row r="62" spans="1:33" x14ac:dyDescent="0.25">
      <c r="A62" t="str">
        <f>"1659341949"</f>
        <v>1659341949</v>
      </c>
      <c r="B62" t="str">
        <f>"00759917"</f>
        <v>00759917</v>
      </c>
      <c r="C62" t="s">
        <v>547</v>
      </c>
      <c r="D62" t="s">
        <v>548</v>
      </c>
      <c r="E62" t="s">
        <v>549</v>
      </c>
      <c r="G62" t="s">
        <v>550</v>
      </c>
      <c r="H62" t="s">
        <v>551</v>
      </c>
      <c r="J62" t="s">
        <v>552</v>
      </c>
      <c r="L62" t="s">
        <v>112</v>
      </c>
      <c r="M62" t="s">
        <v>113</v>
      </c>
      <c r="R62" t="s">
        <v>553</v>
      </c>
      <c r="W62" t="s">
        <v>549</v>
      </c>
      <c r="X62" t="s">
        <v>554</v>
      </c>
      <c r="Y62" t="s">
        <v>116</v>
      </c>
      <c r="Z62" t="s">
        <v>117</v>
      </c>
      <c r="AA62" t="str">
        <f>"14209-1635"</f>
        <v>14209-1635</v>
      </c>
      <c r="AB62" t="s">
        <v>223</v>
      </c>
      <c r="AC62" t="s">
        <v>119</v>
      </c>
      <c r="AD62" t="s">
        <v>113</v>
      </c>
      <c r="AE62" t="s">
        <v>120</v>
      </c>
      <c r="AG62" t="s">
        <v>121</v>
      </c>
    </row>
    <row r="63" spans="1:33" x14ac:dyDescent="0.25">
      <c r="A63" t="str">
        <f>"1659341956"</f>
        <v>1659341956</v>
      </c>
      <c r="B63" t="str">
        <f>"01686915"</f>
        <v>01686915</v>
      </c>
      <c r="C63" t="s">
        <v>555</v>
      </c>
      <c r="D63" t="s">
        <v>556</v>
      </c>
      <c r="E63" t="s">
        <v>557</v>
      </c>
      <c r="G63" t="s">
        <v>558</v>
      </c>
      <c r="H63" t="s">
        <v>559</v>
      </c>
      <c r="J63" t="s">
        <v>560</v>
      </c>
      <c r="L63" t="s">
        <v>112</v>
      </c>
      <c r="M63" t="s">
        <v>113</v>
      </c>
      <c r="R63" t="s">
        <v>561</v>
      </c>
      <c r="W63" t="s">
        <v>557</v>
      </c>
      <c r="X63" t="s">
        <v>562</v>
      </c>
      <c r="Y63" t="s">
        <v>116</v>
      </c>
      <c r="Z63" t="s">
        <v>117</v>
      </c>
      <c r="AA63" t="str">
        <f>"14215-3021"</f>
        <v>14215-3021</v>
      </c>
      <c r="AB63" t="s">
        <v>118</v>
      </c>
      <c r="AC63" t="s">
        <v>119</v>
      </c>
      <c r="AD63" t="s">
        <v>113</v>
      </c>
      <c r="AE63" t="s">
        <v>120</v>
      </c>
      <c r="AG63" t="s">
        <v>121</v>
      </c>
    </row>
    <row r="64" spans="1:33" x14ac:dyDescent="0.25">
      <c r="A64" t="str">
        <f>"1659343267"</f>
        <v>1659343267</v>
      </c>
      <c r="B64" t="str">
        <f>"01401945"</f>
        <v>01401945</v>
      </c>
      <c r="C64" t="s">
        <v>563</v>
      </c>
      <c r="D64" t="s">
        <v>564</v>
      </c>
      <c r="E64" t="s">
        <v>565</v>
      </c>
      <c r="G64" t="s">
        <v>563</v>
      </c>
      <c r="H64" t="s">
        <v>566</v>
      </c>
      <c r="J64" t="s">
        <v>567</v>
      </c>
      <c r="L64" t="s">
        <v>150</v>
      </c>
      <c r="M64" t="s">
        <v>113</v>
      </c>
      <c r="R64" t="s">
        <v>568</v>
      </c>
      <c r="W64" t="s">
        <v>565</v>
      </c>
      <c r="X64" t="s">
        <v>216</v>
      </c>
      <c r="Y64" t="s">
        <v>116</v>
      </c>
      <c r="Z64" t="s">
        <v>117</v>
      </c>
      <c r="AA64" t="str">
        <f>"14222-2006"</f>
        <v>14222-2006</v>
      </c>
      <c r="AB64" t="s">
        <v>118</v>
      </c>
      <c r="AC64" t="s">
        <v>119</v>
      </c>
      <c r="AD64" t="s">
        <v>113</v>
      </c>
      <c r="AE64" t="s">
        <v>120</v>
      </c>
      <c r="AG64" t="s">
        <v>121</v>
      </c>
    </row>
    <row r="65" spans="1:33" x14ac:dyDescent="0.25">
      <c r="A65" t="str">
        <f>"1659346948"</f>
        <v>1659346948</v>
      </c>
      <c r="B65" t="str">
        <f>"01642020"</f>
        <v>01642020</v>
      </c>
      <c r="C65" t="s">
        <v>569</v>
      </c>
      <c r="D65" t="s">
        <v>570</v>
      </c>
      <c r="E65" t="s">
        <v>571</v>
      </c>
      <c r="G65" t="s">
        <v>569</v>
      </c>
      <c r="H65" t="s">
        <v>572</v>
      </c>
      <c r="J65" t="s">
        <v>573</v>
      </c>
      <c r="L65" t="s">
        <v>150</v>
      </c>
      <c r="M65" t="s">
        <v>113</v>
      </c>
      <c r="R65" t="s">
        <v>574</v>
      </c>
      <c r="W65" t="s">
        <v>571</v>
      </c>
      <c r="Y65" t="s">
        <v>116</v>
      </c>
      <c r="Z65" t="s">
        <v>117</v>
      </c>
      <c r="AA65" t="str">
        <f>"14222-2099"</f>
        <v>14222-2099</v>
      </c>
      <c r="AB65" t="s">
        <v>118</v>
      </c>
      <c r="AC65" t="s">
        <v>119</v>
      </c>
      <c r="AD65" t="s">
        <v>113</v>
      </c>
      <c r="AE65" t="s">
        <v>120</v>
      </c>
      <c r="AG65" t="s">
        <v>121</v>
      </c>
    </row>
    <row r="66" spans="1:33" x14ac:dyDescent="0.25">
      <c r="A66" t="str">
        <f>"1659348266"</f>
        <v>1659348266</v>
      </c>
      <c r="B66" t="str">
        <f>"00961660"</f>
        <v>00961660</v>
      </c>
      <c r="C66" t="s">
        <v>575</v>
      </c>
      <c r="D66" t="s">
        <v>576</v>
      </c>
      <c r="E66" t="s">
        <v>577</v>
      </c>
      <c r="G66" t="s">
        <v>578</v>
      </c>
      <c r="H66" t="s">
        <v>579</v>
      </c>
      <c r="J66" t="s">
        <v>580</v>
      </c>
      <c r="L66" t="s">
        <v>112</v>
      </c>
      <c r="M66" t="s">
        <v>113</v>
      </c>
      <c r="R66" t="s">
        <v>581</v>
      </c>
      <c r="W66" t="s">
        <v>581</v>
      </c>
      <c r="Y66" t="s">
        <v>116</v>
      </c>
      <c r="Z66" t="s">
        <v>117</v>
      </c>
      <c r="AA66" t="str">
        <f>"14222-2099"</f>
        <v>14222-2099</v>
      </c>
      <c r="AB66" t="s">
        <v>118</v>
      </c>
      <c r="AC66" t="s">
        <v>119</v>
      </c>
      <c r="AD66" t="s">
        <v>113</v>
      </c>
      <c r="AE66" t="s">
        <v>120</v>
      </c>
      <c r="AG66" t="s">
        <v>121</v>
      </c>
    </row>
    <row r="67" spans="1:33" x14ac:dyDescent="0.25">
      <c r="A67" t="str">
        <f>"1770785669"</f>
        <v>1770785669</v>
      </c>
      <c r="B67" t="str">
        <f>"03455034"</f>
        <v>03455034</v>
      </c>
      <c r="C67" t="s">
        <v>582</v>
      </c>
      <c r="D67" t="s">
        <v>583</v>
      </c>
      <c r="E67" t="s">
        <v>584</v>
      </c>
      <c r="G67" t="s">
        <v>582</v>
      </c>
      <c r="H67" t="s">
        <v>585</v>
      </c>
      <c r="J67" t="s">
        <v>586</v>
      </c>
      <c r="L67" t="s">
        <v>112</v>
      </c>
      <c r="M67" t="s">
        <v>113</v>
      </c>
      <c r="R67" t="s">
        <v>584</v>
      </c>
      <c r="W67" t="s">
        <v>584</v>
      </c>
      <c r="X67" t="s">
        <v>176</v>
      </c>
      <c r="Y67" t="s">
        <v>116</v>
      </c>
      <c r="Z67" t="s">
        <v>117</v>
      </c>
      <c r="AA67" t="str">
        <f>"14203-1126"</f>
        <v>14203-1126</v>
      </c>
      <c r="AB67" t="s">
        <v>118</v>
      </c>
      <c r="AC67" t="s">
        <v>119</v>
      </c>
      <c r="AD67" t="s">
        <v>113</v>
      </c>
      <c r="AE67" t="s">
        <v>120</v>
      </c>
      <c r="AG67" t="s">
        <v>121</v>
      </c>
    </row>
    <row r="68" spans="1:33" x14ac:dyDescent="0.25">
      <c r="A68" t="str">
        <f>"1770823957"</f>
        <v>1770823957</v>
      </c>
      <c r="B68" t="str">
        <f>"03581702"</f>
        <v>03581702</v>
      </c>
      <c r="C68" t="s">
        <v>587</v>
      </c>
      <c r="D68" t="s">
        <v>588</v>
      </c>
      <c r="E68" t="s">
        <v>589</v>
      </c>
      <c r="G68" t="s">
        <v>587</v>
      </c>
      <c r="H68" t="s">
        <v>590</v>
      </c>
      <c r="J68" t="s">
        <v>591</v>
      </c>
      <c r="L68" t="s">
        <v>112</v>
      </c>
      <c r="M68" t="s">
        <v>113</v>
      </c>
      <c r="R68" t="s">
        <v>592</v>
      </c>
      <c r="W68" t="s">
        <v>589</v>
      </c>
      <c r="X68" t="s">
        <v>593</v>
      </c>
      <c r="Y68" t="s">
        <v>268</v>
      </c>
      <c r="Z68" t="s">
        <v>117</v>
      </c>
      <c r="AA68" t="str">
        <f>"14150-9200"</f>
        <v>14150-9200</v>
      </c>
      <c r="AB68" t="s">
        <v>528</v>
      </c>
      <c r="AC68" t="s">
        <v>119</v>
      </c>
      <c r="AD68" t="s">
        <v>113</v>
      </c>
      <c r="AE68" t="s">
        <v>120</v>
      </c>
      <c r="AG68" t="s">
        <v>121</v>
      </c>
    </row>
    <row r="69" spans="1:33" x14ac:dyDescent="0.25">
      <c r="A69" t="str">
        <f>"1770857872"</f>
        <v>1770857872</v>
      </c>
      <c r="C69" t="s">
        <v>594</v>
      </c>
      <c r="G69" t="s">
        <v>595</v>
      </c>
      <c r="H69" t="s">
        <v>351</v>
      </c>
      <c r="J69" t="s">
        <v>352</v>
      </c>
      <c r="K69" t="s">
        <v>303</v>
      </c>
      <c r="L69" t="s">
        <v>112</v>
      </c>
      <c r="M69" t="s">
        <v>113</v>
      </c>
      <c r="R69" t="s">
        <v>596</v>
      </c>
      <c r="S69" t="s">
        <v>409</v>
      </c>
      <c r="T69" t="s">
        <v>116</v>
      </c>
      <c r="U69" t="s">
        <v>117</v>
      </c>
      <c r="V69" t="str">
        <f>"142152814"</f>
        <v>142152814</v>
      </c>
      <c r="AC69" t="s">
        <v>119</v>
      </c>
      <c r="AD69" t="s">
        <v>113</v>
      </c>
      <c r="AE69" t="s">
        <v>306</v>
      </c>
      <c r="AG69" t="s">
        <v>121</v>
      </c>
    </row>
    <row r="70" spans="1:33" x14ac:dyDescent="0.25">
      <c r="A70" t="str">
        <f>"1770874604"</f>
        <v>1770874604</v>
      </c>
      <c r="C70" t="s">
        <v>597</v>
      </c>
      <c r="G70" t="s">
        <v>597</v>
      </c>
      <c r="H70" t="s">
        <v>598</v>
      </c>
      <c r="J70" t="s">
        <v>599</v>
      </c>
      <c r="K70" t="s">
        <v>303</v>
      </c>
      <c r="L70" t="s">
        <v>229</v>
      </c>
      <c r="M70" t="s">
        <v>113</v>
      </c>
      <c r="R70" t="s">
        <v>600</v>
      </c>
      <c r="S70" t="s">
        <v>216</v>
      </c>
      <c r="T70" t="s">
        <v>116</v>
      </c>
      <c r="U70" t="s">
        <v>117</v>
      </c>
      <c r="V70" t="str">
        <f>"142222006"</f>
        <v>142222006</v>
      </c>
      <c r="AC70" t="s">
        <v>119</v>
      </c>
      <c r="AD70" t="s">
        <v>113</v>
      </c>
      <c r="AE70" t="s">
        <v>306</v>
      </c>
      <c r="AG70" t="s">
        <v>121</v>
      </c>
    </row>
    <row r="71" spans="1:33" x14ac:dyDescent="0.25">
      <c r="A71" t="str">
        <f>"1770899932"</f>
        <v>1770899932</v>
      </c>
      <c r="C71" t="s">
        <v>601</v>
      </c>
      <c r="G71" t="s">
        <v>602</v>
      </c>
      <c r="H71" t="s">
        <v>590</v>
      </c>
      <c r="J71" t="s">
        <v>603</v>
      </c>
      <c r="K71" t="s">
        <v>303</v>
      </c>
      <c r="L71" t="s">
        <v>112</v>
      </c>
      <c r="M71" t="s">
        <v>113</v>
      </c>
      <c r="R71" t="s">
        <v>604</v>
      </c>
      <c r="S71" t="s">
        <v>605</v>
      </c>
      <c r="T71" t="s">
        <v>326</v>
      </c>
      <c r="U71" t="s">
        <v>117</v>
      </c>
      <c r="V71" t="str">
        <f>"141272600"</f>
        <v>141272600</v>
      </c>
      <c r="AC71" t="s">
        <v>119</v>
      </c>
      <c r="AD71" t="s">
        <v>113</v>
      </c>
      <c r="AE71" t="s">
        <v>306</v>
      </c>
      <c r="AG71" t="s">
        <v>121</v>
      </c>
    </row>
    <row r="72" spans="1:33" x14ac:dyDescent="0.25">
      <c r="A72" t="str">
        <f>"1770904195"</f>
        <v>1770904195</v>
      </c>
      <c r="B72" t="str">
        <f>"03817787"</f>
        <v>03817787</v>
      </c>
      <c r="C72" t="s">
        <v>606</v>
      </c>
      <c r="D72" t="s">
        <v>607</v>
      </c>
      <c r="E72" t="s">
        <v>608</v>
      </c>
      <c r="G72" t="s">
        <v>609</v>
      </c>
      <c r="H72" t="s">
        <v>610</v>
      </c>
      <c r="J72" t="s">
        <v>611</v>
      </c>
      <c r="L72" t="s">
        <v>112</v>
      </c>
      <c r="M72" t="s">
        <v>113</v>
      </c>
      <c r="R72" t="s">
        <v>612</v>
      </c>
      <c r="W72" t="s">
        <v>608</v>
      </c>
      <c r="X72" t="s">
        <v>176</v>
      </c>
      <c r="Y72" t="s">
        <v>116</v>
      </c>
      <c r="Z72" t="s">
        <v>117</v>
      </c>
      <c r="AA72" t="str">
        <f>"14203-1126"</f>
        <v>14203-1126</v>
      </c>
      <c r="AB72" t="s">
        <v>118</v>
      </c>
      <c r="AC72" t="s">
        <v>119</v>
      </c>
      <c r="AD72" t="s">
        <v>113</v>
      </c>
      <c r="AE72" t="s">
        <v>120</v>
      </c>
      <c r="AG72" t="s">
        <v>121</v>
      </c>
    </row>
    <row r="73" spans="1:33" x14ac:dyDescent="0.25">
      <c r="A73" t="str">
        <f>"1770918716"</f>
        <v>1770918716</v>
      </c>
      <c r="B73" t="str">
        <f>"04228828"</f>
        <v>04228828</v>
      </c>
      <c r="C73" t="s">
        <v>613</v>
      </c>
      <c r="D73" t="s">
        <v>614</v>
      </c>
      <c r="E73" t="s">
        <v>615</v>
      </c>
      <c r="G73" t="s">
        <v>616</v>
      </c>
      <c r="H73" t="s">
        <v>617</v>
      </c>
      <c r="J73" t="s">
        <v>618</v>
      </c>
      <c r="L73" t="s">
        <v>112</v>
      </c>
      <c r="M73" t="s">
        <v>113</v>
      </c>
      <c r="R73" t="s">
        <v>619</v>
      </c>
      <c r="W73" t="s">
        <v>615</v>
      </c>
      <c r="X73" t="s">
        <v>620</v>
      </c>
      <c r="Y73" t="s">
        <v>192</v>
      </c>
      <c r="Z73" t="s">
        <v>117</v>
      </c>
      <c r="AA73" t="str">
        <f>"14020-3444"</f>
        <v>14020-3444</v>
      </c>
      <c r="AB73" t="s">
        <v>621</v>
      </c>
      <c r="AC73" t="s">
        <v>119</v>
      </c>
      <c r="AD73" t="s">
        <v>113</v>
      </c>
      <c r="AE73" t="s">
        <v>120</v>
      </c>
      <c r="AG73" t="s">
        <v>121</v>
      </c>
    </row>
    <row r="74" spans="1:33" x14ac:dyDescent="0.25">
      <c r="A74" t="str">
        <f>"1770922189"</f>
        <v>1770922189</v>
      </c>
      <c r="C74" t="s">
        <v>622</v>
      </c>
      <c r="G74" t="s">
        <v>623</v>
      </c>
      <c r="H74" t="s">
        <v>590</v>
      </c>
      <c r="J74" t="s">
        <v>624</v>
      </c>
      <c r="K74" t="s">
        <v>303</v>
      </c>
      <c r="L74" t="s">
        <v>112</v>
      </c>
      <c r="M74" t="s">
        <v>113</v>
      </c>
      <c r="R74" t="s">
        <v>625</v>
      </c>
      <c r="S74" t="s">
        <v>626</v>
      </c>
      <c r="T74" t="s">
        <v>116</v>
      </c>
      <c r="U74" t="s">
        <v>117</v>
      </c>
      <c r="V74" t="str">
        <f>"142102324"</f>
        <v>142102324</v>
      </c>
      <c r="AC74" t="s">
        <v>119</v>
      </c>
      <c r="AD74" t="s">
        <v>113</v>
      </c>
      <c r="AE74" t="s">
        <v>306</v>
      </c>
      <c r="AG74" t="s">
        <v>121</v>
      </c>
    </row>
    <row r="75" spans="1:33" x14ac:dyDescent="0.25">
      <c r="A75" t="str">
        <f>"1770922783"</f>
        <v>1770922783</v>
      </c>
      <c r="B75" t="str">
        <f>"03831436"</f>
        <v>03831436</v>
      </c>
      <c r="C75" t="s">
        <v>627</v>
      </c>
      <c r="D75" t="s">
        <v>628</v>
      </c>
      <c r="E75" t="s">
        <v>629</v>
      </c>
      <c r="G75" t="s">
        <v>627</v>
      </c>
      <c r="H75" t="s">
        <v>630</v>
      </c>
      <c r="J75" t="s">
        <v>631</v>
      </c>
      <c r="L75" t="s">
        <v>112</v>
      </c>
      <c r="M75" t="s">
        <v>113</v>
      </c>
      <c r="R75" t="s">
        <v>632</v>
      </c>
      <c r="W75" t="s">
        <v>629</v>
      </c>
      <c r="X75" t="s">
        <v>633</v>
      </c>
      <c r="Y75" t="s">
        <v>232</v>
      </c>
      <c r="Z75" t="s">
        <v>117</v>
      </c>
      <c r="AA75" t="str">
        <f>"10065-6007"</f>
        <v>10065-6007</v>
      </c>
      <c r="AB75" t="s">
        <v>634</v>
      </c>
      <c r="AC75" t="s">
        <v>119</v>
      </c>
      <c r="AD75" t="s">
        <v>113</v>
      </c>
      <c r="AE75" t="s">
        <v>120</v>
      </c>
      <c r="AG75" t="s">
        <v>121</v>
      </c>
    </row>
    <row r="76" spans="1:33" x14ac:dyDescent="0.25">
      <c r="A76" t="str">
        <f>"1770983553"</f>
        <v>1770983553</v>
      </c>
      <c r="C76" t="s">
        <v>635</v>
      </c>
      <c r="G76" t="s">
        <v>636</v>
      </c>
      <c r="H76" t="s">
        <v>443</v>
      </c>
      <c r="K76" t="s">
        <v>303</v>
      </c>
      <c r="L76" t="s">
        <v>229</v>
      </c>
      <c r="M76" t="s">
        <v>113</v>
      </c>
      <c r="R76" t="s">
        <v>637</v>
      </c>
      <c r="S76" t="s">
        <v>409</v>
      </c>
      <c r="T76" t="s">
        <v>116</v>
      </c>
      <c r="U76" t="s">
        <v>117</v>
      </c>
      <c r="V76" t="str">
        <f>"142152814"</f>
        <v>142152814</v>
      </c>
      <c r="AC76" t="s">
        <v>119</v>
      </c>
      <c r="AD76" t="s">
        <v>113</v>
      </c>
      <c r="AE76" t="s">
        <v>306</v>
      </c>
      <c r="AG76" t="s">
        <v>121</v>
      </c>
    </row>
    <row r="77" spans="1:33" x14ac:dyDescent="0.25">
      <c r="A77" t="str">
        <f>"1780023481"</f>
        <v>1780023481</v>
      </c>
      <c r="B77" t="str">
        <f>"04098775"</f>
        <v>04098775</v>
      </c>
      <c r="C77" t="s">
        <v>638</v>
      </c>
      <c r="D77" t="s">
        <v>639</v>
      </c>
      <c r="E77" t="s">
        <v>640</v>
      </c>
      <c r="G77" t="s">
        <v>641</v>
      </c>
      <c r="H77" t="s">
        <v>642</v>
      </c>
      <c r="J77" t="s">
        <v>643</v>
      </c>
      <c r="L77" t="s">
        <v>142</v>
      </c>
      <c r="M77" t="s">
        <v>113</v>
      </c>
      <c r="R77" t="s">
        <v>644</v>
      </c>
      <c r="W77" t="s">
        <v>645</v>
      </c>
      <c r="X77" t="s">
        <v>646</v>
      </c>
      <c r="Y77" t="s">
        <v>129</v>
      </c>
      <c r="Z77" t="s">
        <v>117</v>
      </c>
      <c r="AA77" t="str">
        <f>"14224-1945"</f>
        <v>14224-1945</v>
      </c>
      <c r="AB77" t="s">
        <v>118</v>
      </c>
      <c r="AC77" t="s">
        <v>119</v>
      </c>
      <c r="AD77" t="s">
        <v>113</v>
      </c>
      <c r="AE77" t="s">
        <v>120</v>
      </c>
      <c r="AG77" t="s">
        <v>121</v>
      </c>
    </row>
    <row r="78" spans="1:33" x14ac:dyDescent="0.25">
      <c r="A78" t="str">
        <f>"1780085605"</f>
        <v>1780085605</v>
      </c>
      <c r="C78" t="s">
        <v>647</v>
      </c>
      <c r="G78" t="s">
        <v>648</v>
      </c>
      <c r="H78" t="s">
        <v>590</v>
      </c>
      <c r="J78" t="s">
        <v>649</v>
      </c>
      <c r="K78" t="s">
        <v>303</v>
      </c>
      <c r="L78" t="s">
        <v>112</v>
      </c>
      <c r="M78" t="s">
        <v>113</v>
      </c>
      <c r="R78" t="s">
        <v>650</v>
      </c>
      <c r="S78" t="s">
        <v>651</v>
      </c>
      <c r="T78" t="s">
        <v>116</v>
      </c>
      <c r="U78" t="s">
        <v>117</v>
      </c>
      <c r="V78" t="str">
        <f>"142091912"</f>
        <v>142091912</v>
      </c>
      <c r="AC78" t="s">
        <v>119</v>
      </c>
      <c r="AD78" t="s">
        <v>113</v>
      </c>
      <c r="AE78" t="s">
        <v>306</v>
      </c>
      <c r="AG78" t="s">
        <v>121</v>
      </c>
    </row>
    <row r="79" spans="1:33" x14ac:dyDescent="0.25">
      <c r="A79" t="str">
        <f>"1780600718"</f>
        <v>1780600718</v>
      </c>
      <c r="B79" t="str">
        <f>"01651876"</f>
        <v>01651876</v>
      </c>
      <c r="C79" t="s">
        <v>652</v>
      </c>
      <c r="D79" t="s">
        <v>653</v>
      </c>
      <c r="E79" t="s">
        <v>654</v>
      </c>
      <c r="G79" t="s">
        <v>652</v>
      </c>
      <c r="H79" t="s">
        <v>449</v>
      </c>
      <c r="J79" t="s">
        <v>655</v>
      </c>
      <c r="L79" t="s">
        <v>142</v>
      </c>
      <c r="M79" t="s">
        <v>113</v>
      </c>
      <c r="R79" t="s">
        <v>656</v>
      </c>
      <c r="W79" t="s">
        <v>654</v>
      </c>
      <c r="X79" t="s">
        <v>657</v>
      </c>
      <c r="Y79" t="s">
        <v>116</v>
      </c>
      <c r="Z79" t="s">
        <v>117</v>
      </c>
      <c r="AA79" t="str">
        <f>"14209-1120"</f>
        <v>14209-1120</v>
      </c>
      <c r="AB79" t="s">
        <v>118</v>
      </c>
      <c r="AC79" t="s">
        <v>119</v>
      </c>
      <c r="AD79" t="s">
        <v>113</v>
      </c>
      <c r="AE79" t="s">
        <v>120</v>
      </c>
      <c r="AG79" t="s">
        <v>121</v>
      </c>
    </row>
    <row r="80" spans="1:33" x14ac:dyDescent="0.25">
      <c r="A80" t="str">
        <f>"1780611640"</f>
        <v>1780611640</v>
      </c>
      <c r="B80" t="str">
        <f>"02626162"</f>
        <v>02626162</v>
      </c>
      <c r="C80" t="s">
        <v>658</v>
      </c>
      <c r="D80" t="s">
        <v>659</v>
      </c>
      <c r="E80" t="s">
        <v>660</v>
      </c>
      <c r="H80" t="s">
        <v>359</v>
      </c>
      <c r="L80" t="s">
        <v>142</v>
      </c>
      <c r="M80" t="s">
        <v>113</v>
      </c>
      <c r="R80" t="s">
        <v>661</v>
      </c>
      <c r="W80" t="s">
        <v>660</v>
      </c>
      <c r="X80" t="s">
        <v>662</v>
      </c>
      <c r="Y80" t="s">
        <v>663</v>
      </c>
      <c r="Z80" t="s">
        <v>117</v>
      </c>
      <c r="AA80" t="str">
        <f>"14094-9497"</f>
        <v>14094-9497</v>
      </c>
      <c r="AB80" t="s">
        <v>118</v>
      </c>
      <c r="AC80" t="s">
        <v>119</v>
      </c>
      <c r="AD80" t="s">
        <v>113</v>
      </c>
      <c r="AE80" t="s">
        <v>120</v>
      </c>
      <c r="AG80" t="s">
        <v>121</v>
      </c>
    </row>
    <row r="81" spans="1:33" x14ac:dyDescent="0.25">
      <c r="A81" t="str">
        <f>"1780624577"</f>
        <v>1780624577</v>
      </c>
      <c r="B81" t="str">
        <f>"03235325"</f>
        <v>03235325</v>
      </c>
      <c r="C81" t="s">
        <v>664</v>
      </c>
      <c r="D81" t="s">
        <v>665</v>
      </c>
      <c r="E81" t="s">
        <v>666</v>
      </c>
      <c r="G81" t="s">
        <v>664</v>
      </c>
      <c r="H81" t="s">
        <v>667</v>
      </c>
      <c r="J81" t="s">
        <v>668</v>
      </c>
      <c r="L81" t="s">
        <v>142</v>
      </c>
      <c r="M81" t="s">
        <v>113</v>
      </c>
      <c r="R81" t="s">
        <v>669</v>
      </c>
      <c r="W81" t="s">
        <v>666</v>
      </c>
      <c r="X81" t="s">
        <v>670</v>
      </c>
      <c r="Y81" t="s">
        <v>326</v>
      </c>
      <c r="Z81" t="s">
        <v>117</v>
      </c>
      <c r="AA81" t="str">
        <f>"14127-1231"</f>
        <v>14127-1231</v>
      </c>
      <c r="AB81" t="s">
        <v>118</v>
      </c>
      <c r="AC81" t="s">
        <v>119</v>
      </c>
      <c r="AD81" t="s">
        <v>113</v>
      </c>
      <c r="AE81" t="s">
        <v>120</v>
      </c>
      <c r="AG81" t="s">
        <v>121</v>
      </c>
    </row>
    <row r="82" spans="1:33" x14ac:dyDescent="0.25">
      <c r="A82" t="str">
        <f>"1780633412"</f>
        <v>1780633412</v>
      </c>
      <c r="B82" t="str">
        <f>"01192612"</f>
        <v>01192612</v>
      </c>
      <c r="C82" t="s">
        <v>671</v>
      </c>
      <c r="D82" t="s">
        <v>672</v>
      </c>
      <c r="E82" t="s">
        <v>673</v>
      </c>
      <c r="G82" t="s">
        <v>671</v>
      </c>
      <c r="H82" t="s">
        <v>674</v>
      </c>
      <c r="J82" t="s">
        <v>675</v>
      </c>
      <c r="L82" t="s">
        <v>142</v>
      </c>
      <c r="M82" t="s">
        <v>113</v>
      </c>
      <c r="R82" t="s">
        <v>676</v>
      </c>
      <c r="W82" t="s">
        <v>673</v>
      </c>
      <c r="X82" t="s">
        <v>176</v>
      </c>
      <c r="Y82" t="s">
        <v>116</v>
      </c>
      <c r="Z82" t="s">
        <v>117</v>
      </c>
      <c r="AA82" t="str">
        <f>"14203-1126"</f>
        <v>14203-1126</v>
      </c>
      <c r="AB82" t="s">
        <v>118</v>
      </c>
      <c r="AC82" t="s">
        <v>119</v>
      </c>
      <c r="AD82" t="s">
        <v>113</v>
      </c>
      <c r="AE82" t="s">
        <v>120</v>
      </c>
      <c r="AG82" t="s">
        <v>121</v>
      </c>
    </row>
    <row r="83" spans="1:33" x14ac:dyDescent="0.25">
      <c r="A83" t="str">
        <f>"1780640920"</f>
        <v>1780640920</v>
      </c>
      <c r="B83" t="str">
        <f>"01412404"</f>
        <v>01412404</v>
      </c>
      <c r="C83" t="s">
        <v>677</v>
      </c>
      <c r="D83" t="s">
        <v>678</v>
      </c>
      <c r="E83" t="s">
        <v>679</v>
      </c>
      <c r="G83" t="s">
        <v>677</v>
      </c>
      <c r="H83" t="s">
        <v>579</v>
      </c>
      <c r="J83" t="s">
        <v>680</v>
      </c>
      <c r="L83" t="s">
        <v>229</v>
      </c>
      <c r="M83" t="s">
        <v>113</v>
      </c>
      <c r="R83" t="s">
        <v>681</v>
      </c>
      <c r="W83" t="s">
        <v>679</v>
      </c>
      <c r="X83" t="s">
        <v>682</v>
      </c>
      <c r="Y83" t="s">
        <v>326</v>
      </c>
      <c r="Z83" t="s">
        <v>117</v>
      </c>
      <c r="AA83" t="str">
        <f>"14127-1934"</f>
        <v>14127-1934</v>
      </c>
      <c r="AB83" t="s">
        <v>118</v>
      </c>
      <c r="AC83" t="s">
        <v>119</v>
      </c>
      <c r="AD83" t="s">
        <v>113</v>
      </c>
      <c r="AE83" t="s">
        <v>120</v>
      </c>
      <c r="AG83" t="s">
        <v>121</v>
      </c>
    </row>
    <row r="84" spans="1:33" x14ac:dyDescent="0.25">
      <c r="A84" t="str">
        <f>"1780642546"</f>
        <v>1780642546</v>
      </c>
      <c r="B84" t="str">
        <f>"01096428"</f>
        <v>01096428</v>
      </c>
      <c r="C84" t="s">
        <v>683</v>
      </c>
      <c r="D84" t="s">
        <v>684</v>
      </c>
      <c r="E84" t="s">
        <v>685</v>
      </c>
      <c r="G84" t="s">
        <v>683</v>
      </c>
      <c r="H84" t="s">
        <v>686</v>
      </c>
      <c r="J84" t="s">
        <v>687</v>
      </c>
      <c r="L84" t="s">
        <v>112</v>
      </c>
      <c r="M84" t="s">
        <v>113</v>
      </c>
      <c r="R84" t="s">
        <v>688</v>
      </c>
      <c r="W84" t="s">
        <v>685</v>
      </c>
      <c r="X84" t="s">
        <v>689</v>
      </c>
      <c r="Y84" t="s">
        <v>240</v>
      </c>
      <c r="Z84" t="s">
        <v>117</v>
      </c>
      <c r="AA84" t="str">
        <f>"14221-3706"</f>
        <v>14221-3706</v>
      </c>
      <c r="AB84" t="s">
        <v>118</v>
      </c>
      <c r="AC84" t="s">
        <v>119</v>
      </c>
      <c r="AD84" t="s">
        <v>113</v>
      </c>
      <c r="AE84" t="s">
        <v>120</v>
      </c>
      <c r="AG84" t="s">
        <v>121</v>
      </c>
    </row>
    <row r="85" spans="1:33" x14ac:dyDescent="0.25">
      <c r="A85" t="str">
        <f>"1780650937"</f>
        <v>1780650937</v>
      </c>
      <c r="B85" t="str">
        <f>"02227296"</f>
        <v>02227296</v>
      </c>
      <c r="C85" t="s">
        <v>690</v>
      </c>
      <c r="D85" t="s">
        <v>691</v>
      </c>
      <c r="E85" t="s">
        <v>692</v>
      </c>
      <c r="G85" t="s">
        <v>690</v>
      </c>
      <c r="H85" t="s">
        <v>693</v>
      </c>
      <c r="J85" t="s">
        <v>694</v>
      </c>
      <c r="L85" t="s">
        <v>150</v>
      </c>
      <c r="M85" t="s">
        <v>113</v>
      </c>
      <c r="R85" t="s">
        <v>695</v>
      </c>
      <c r="W85" t="s">
        <v>692</v>
      </c>
      <c r="X85" t="s">
        <v>136</v>
      </c>
      <c r="Y85" t="s">
        <v>116</v>
      </c>
      <c r="Z85" t="s">
        <v>117</v>
      </c>
      <c r="AA85" t="str">
        <f>"14209-1120"</f>
        <v>14209-1120</v>
      </c>
      <c r="AB85" t="s">
        <v>118</v>
      </c>
      <c r="AC85" t="s">
        <v>119</v>
      </c>
      <c r="AD85" t="s">
        <v>113</v>
      </c>
      <c r="AE85" t="s">
        <v>120</v>
      </c>
      <c r="AG85" t="s">
        <v>121</v>
      </c>
    </row>
    <row r="86" spans="1:33" x14ac:dyDescent="0.25">
      <c r="A86" t="str">
        <f>"1780655548"</f>
        <v>1780655548</v>
      </c>
      <c r="B86" t="str">
        <f>"01548847"</f>
        <v>01548847</v>
      </c>
      <c r="C86" t="s">
        <v>696</v>
      </c>
      <c r="D86" t="s">
        <v>697</v>
      </c>
      <c r="E86" t="s">
        <v>698</v>
      </c>
      <c r="G86" t="s">
        <v>696</v>
      </c>
      <c r="H86" t="s">
        <v>699</v>
      </c>
      <c r="J86" t="s">
        <v>700</v>
      </c>
      <c r="L86" t="s">
        <v>142</v>
      </c>
      <c r="M86" t="s">
        <v>113</v>
      </c>
      <c r="R86" t="s">
        <v>701</v>
      </c>
      <c r="W86" t="s">
        <v>698</v>
      </c>
      <c r="X86" t="s">
        <v>702</v>
      </c>
      <c r="Y86" t="s">
        <v>703</v>
      </c>
      <c r="Z86" t="s">
        <v>117</v>
      </c>
      <c r="AA86" t="str">
        <f>"14263"</f>
        <v>14263</v>
      </c>
      <c r="AB86" t="s">
        <v>118</v>
      </c>
      <c r="AC86" t="s">
        <v>119</v>
      </c>
      <c r="AD86" t="s">
        <v>113</v>
      </c>
      <c r="AE86" t="s">
        <v>120</v>
      </c>
      <c r="AG86" t="s">
        <v>121</v>
      </c>
    </row>
    <row r="87" spans="1:33" x14ac:dyDescent="0.25">
      <c r="A87" t="str">
        <f>"1730345513"</f>
        <v>1730345513</v>
      </c>
      <c r="B87" t="str">
        <f>"03580701"</f>
        <v>03580701</v>
      </c>
      <c r="C87" t="s">
        <v>704</v>
      </c>
      <c r="D87" t="s">
        <v>705</v>
      </c>
      <c r="E87" t="s">
        <v>706</v>
      </c>
      <c r="G87" t="s">
        <v>704</v>
      </c>
      <c r="H87" t="s">
        <v>707</v>
      </c>
      <c r="J87" t="s">
        <v>708</v>
      </c>
      <c r="L87" t="s">
        <v>142</v>
      </c>
      <c r="M87" t="s">
        <v>113</v>
      </c>
      <c r="R87" t="s">
        <v>706</v>
      </c>
      <c r="W87" t="s">
        <v>706</v>
      </c>
      <c r="X87" t="s">
        <v>709</v>
      </c>
      <c r="Y87" t="s">
        <v>116</v>
      </c>
      <c r="Z87" t="s">
        <v>117</v>
      </c>
      <c r="AA87" t="str">
        <f>"14263-0001"</f>
        <v>14263-0001</v>
      </c>
      <c r="AB87" t="s">
        <v>118</v>
      </c>
      <c r="AC87" t="s">
        <v>119</v>
      </c>
      <c r="AD87" t="s">
        <v>113</v>
      </c>
      <c r="AE87" t="s">
        <v>120</v>
      </c>
      <c r="AG87" t="s">
        <v>121</v>
      </c>
    </row>
    <row r="88" spans="1:33" x14ac:dyDescent="0.25">
      <c r="A88" t="str">
        <f>"1467725168"</f>
        <v>1467725168</v>
      </c>
      <c r="B88" t="str">
        <f>"01287874"</f>
        <v>01287874</v>
      </c>
      <c r="C88" t="s">
        <v>17231</v>
      </c>
      <c r="D88" t="s">
        <v>17232</v>
      </c>
      <c r="E88" t="s">
        <v>17233</v>
      </c>
      <c r="G88" t="s">
        <v>17234</v>
      </c>
      <c r="H88" t="s">
        <v>17235</v>
      </c>
      <c r="J88" t="s">
        <v>17236</v>
      </c>
      <c r="L88" t="s">
        <v>280</v>
      </c>
      <c r="M88" t="s">
        <v>199</v>
      </c>
      <c r="R88" t="s">
        <v>17237</v>
      </c>
      <c r="W88" t="s">
        <v>17233</v>
      </c>
      <c r="X88" t="s">
        <v>17238</v>
      </c>
      <c r="Y88" t="s">
        <v>958</v>
      </c>
      <c r="Z88" t="s">
        <v>117</v>
      </c>
      <c r="AA88" t="str">
        <f>"14221-2639"</f>
        <v>14221-2639</v>
      </c>
      <c r="AB88" t="s">
        <v>282</v>
      </c>
      <c r="AC88" t="s">
        <v>119</v>
      </c>
      <c r="AD88" t="s">
        <v>113</v>
      </c>
      <c r="AE88" t="s">
        <v>120</v>
      </c>
      <c r="AG88" t="s">
        <v>121</v>
      </c>
    </row>
    <row r="89" spans="1:33" x14ac:dyDescent="0.25">
      <c r="A89" t="str">
        <f>"1730356593"</f>
        <v>1730356593</v>
      </c>
      <c r="B89" t="str">
        <f>"03253587"</f>
        <v>03253587</v>
      </c>
      <c r="C89" t="s">
        <v>715</v>
      </c>
      <c r="D89" t="s">
        <v>716</v>
      </c>
      <c r="E89" t="s">
        <v>717</v>
      </c>
      <c r="G89" t="s">
        <v>715</v>
      </c>
      <c r="H89" t="s">
        <v>718</v>
      </c>
      <c r="J89" t="s">
        <v>719</v>
      </c>
      <c r="L89" t="s">
        <v>150</v>
      </c>
      <c r="M89" t="s">
        <v>113</v>
      </c>
      <c r="R89" t="s">
        <v>720</v>
      </c>
      <c r="W89" t="s">
        <v>717</v>
      </c>
      <c r="X89" t="s">
        <v>721</v>
      </c>
      <c r="Y89" t="s">
        <v>129</v>
      </c>
      <c r="Z89" t="s">
        <v>117</v>
      </c>
      <c r="AA89" t="str">
        <f>"14224-3452"</f>
        <v>14224-3452</v>
      </c>
      <c r="AB89" t="s">
        <v>118</v>
      </c>
      <c r="AC89" t="s">
        <v>119</v>
      </c>
      <c r="AD89" t="s">
        <v>113</v>
      </c>
      <c r="AE89" t="s">
        <v>120</v>
      </c>
      <c r="AG89" t="s">
        <v>121</v>
      </c>
    </row>
    <row r="90" spans="1:33" x14ac:dyDescent="0.25">
      <c r="A90" t="str">
        <f>"1730371196"</f>
        <v>1730371196</v>
      </c>
      <c r="B90" t="str">
        <f>"03716534"</f>
        <v>03716534</v>
      </c>
      <c r="C90" t="s">
        <v>722</v>
      </c>
      <c r="D90" t="s">
        <v>723</v>
      </c>
      <c r="E90" t="s">
        <v>724</v>
      </c>
      <c r="G90" t="s">
        <v>725</v>
      </c>
      <c r="H90" t="s">
        <v>726</v>
      </c>
      <c r="J90" t="s">
        <v>727</v>
      </c>
      <c r="L90" t="s">
        <v>728</v>
      </c>
      <c r="M90" t="s">
        <v>113</v>
      </c>
      <c r="R90" t="s">
        <v>729</v>
      </c>
      <c r="W90" t="s">
        <v>724</v>
      </c>
      <c r="X90" t="s">
        <v>253</v>
      </c>
      <c r="Y90" t="s">
        <v>116</v>
      </c>
      <c r="Z90" t="s">
        <v>117</v>
      </c>
      <c r="AA90" t="str">
        <f>"14215-3021"</f>
        <v>14215-3021</v>
      </c>
      <c r="AB90" t="s">
        <v>118</v>
      </c>
      <c r="AC90" t="s">
        <v>119</v>
      </c>
      <c r="AD90" t="s">
        <v>113</v>
      </c>
      <c r="AE90" t="s">
        <v>120</v>
      </c>
      <c r="AG90" t="s">
        <v>121</v>
      </c>
    </row>
    <row r="91" spans="1:33" x14ac:dyDescent="0.25">
      <c r="A91" t="str">
        <f>"1730382284"</f>
        <v>1730382284</v>
      </c>
      <c r="B91" t="str">
        <f>"02904805"</f>
        <v>02904805</v>
      </c>
      <c r="C91" t="s">
        <v>730</v>
      </c>
      <c r="D91" t="s">
        <v>731</v>
      </c>
      <c r="E91" t="s">
        <v>732</v>
      </c>
      <c r="G91" t="s">
        <v>730</v>
      </c>
      <c r="H91" t="s">
        <v>213</v>
      </c>
      <c r="J91" t="s">
        <v>733</v>
      </c>
      <c r="L91" t="s">
        <v>728</v>
      </c>
      <c r="M91" t="s">
        <v>113</v>
      </c>
      <c r="R91" t="s">
        <v>734</v>
      </c>
      <c r="W91" t="s">
        <v>732</v>
      </c>
      <c r="X91" t="s">
        <v>216</v>
      </c>
      <c r="Y91" t="s">
        <v>116</v>
      </c>
      <c r="Z91" t="s">
        <v>117</v>
      </c>
      <c r="AA91" t="str">
        <f>"14222-2006"</f>
        <v>14222-2006</v>
      </c>
      <c r="AB91" t="s">
        <v>118</v>
      </c>
      <c r="AC91" t="s">
        <v>119</v>
      </c>
      <c r="AD91" t="s">
        <v>113</v>
      </c>
      <c r="AE91" t="s">
        <v>120</v>
      </c>
      <c r="AG91" t="s">
        <v>121</v>
      </c>
    </row>
    <row r="92" spans="1:33" x14ac:dyDescent="0.25">
      <c r="A92" t="str">
        <f>"1730382730"</f>
        <v>1730382730</v>
      </c>
      <c r="B92" t="str">
        <f>"04026853"</f>
        <v>04026853</v>
      </c>
      <c r="C92" t="s">
        <v>735</v>
      </c>
      <c r="D92" t="s">
        <v>736</v>
      </c>
      <c r="E92" t="s">
        <v>737</v>
      </c>
      <c r="G92" t="s">
        <v>735</v>
      </c>
      <c r="H92" t="s">
        <v>738</v>
      </c>
      <c r="J92" t="s">
        <v>739</v>
      </c>
      <c r="L92" t="s">
        <v>112</v>
      </c>
      <c r="M92" t="s">
        <v>113</v>
      </c>
      <c r="R92" t="s">
        <v>737</v>
      </c>
      <c r="W92" t="s">
        <v>737</v>
      </c>
      <c r="X92" t="s">
        <v>740</v>
      </c>
      <c r="Y92" t="s">
        <v>116</v>
      </c>
      <c r="Z92" t="s">
        <v>117</v>
      </c>
      <c r="AA92" t="str">
        <f>"14202-1804"</f>
        <v>14202-1804</v>
      </c>
      <c r="AB92" t="s">
        <v>621</v>
      </c>
      <c r="AC92" t="s">
        <v>119</v>
      </c>
      <c r="AD92" t="s">
        <v>113</v>
      </c>
      <c r="AE92" t="s">
        <v>120</v>
      </c>
      <c r="AG92" t="s">
        <v>121</v>
      </c>
    </row>
    <row r="93" spans="1:33" x14ac:dyDescent="0.25">
      <c r="A93" t="str">
        <f>"1568437549"</f>
        <v>1568437549</v>
      </c>
      <c r="B93" t="str">
        <f>"01272568"</f>
        <v>01272568</v>
      </c>
      <c r="C93" t="s">
        <v>741</v>
      </c>
      <c r="D93" t="s">
        <v>742</v>
      </c>
      <c r="E93" t="s">
        <v>743</v>
      </c>
      <c r="G93" t="s">
        <v>741</v>
      </c>
      <c r="H93" t="s">
        <v>744</v>
      </c>
      <c r="J93" t="s">
        <v>745</v>
      </c>
      <c r="L93" t="s">
        <v>150</v>
      </c>
      <c r="M93" t="s">
        <v>113</v>
      </c>
      <c r="R93" t="s">
        <v>746</v>
      </c>
      <c r="W93" t="s">
        <v>743</v>
      </c>
      <c r="X93" t="s">
        <v>216</v>
      </c>
      <c r="Y93" t="s">
        <v>116</v>
      </c>
      <c r="Z93" t="s">
        <v>117</v>
      </c>
      <c r="AA93" t="str">
        <f>"14222-2006"</f>
        <v>14222-2006</v>
      </c>
      <c r="AB93" t="s">
        <v>118</v>
      </c>
      <c r="AC93" t="s">
        <v>119</v>
      </c>
      <c r="AD93" t="s">
        <v>113</v>
      </c>
      <c r="AE93" t="s">
        <v>120</v>
      </c>
      <c r="AG93" t="s">
        <v>121</v>
      </c>
    </row>
    <row r="94" spans="1:33" x14ac:dyDescent="0.25">
      <c r="A94" t="str">
        <f>"1568437853"</f>
        <v>1568437853</v>
      </c>
      <c r="B94" t="str">
        <f>"01991235"</f>
        <v>01991235</v>
      </c>
      <c r="C94" t="s">
        <v>747</v>
      </c>
      <c r="D94" t="s">
        <v>748</v>
      </c>
      <c r="E94" t="s">
        <v>749</v>
      </c>
      <c r="G94" t="s">
        <v>747</v>
      </c>
      <c r="H94" t="s">
        <v>566</v>
      </c>
      <c r="J94" t="s">
        <v>750</v>
      </c>
      <c r="L94" t="s">
        <v>150</v>
      </c>
      <c r="M94" t="s">
        <v>113</v>
      </c>
      <c r="R94" t="s">
        <v>751</v>
      </c>
      <c r="W94" t="s">
        <v>749</v>
      </c>
      <c r="X94" t="s">
        <v>752</v>
      </c>
      <c r="Y94" t="s">
        <v>116</v>
      </c>
      <c r="Z94" t="s">
        <v>117</v>
      </c>
      <c r="AA94" t="str">
        <f>"14222-2099"</f>
        <v>14222-2099</v>
      </c>
      <c r="AB94" t="s">
        <v>118</v>
      </c>
      <c r="AC94" t="s">
        <v>119</v>
      </c>
      <c r="AD94" t="s">
        <v>113</v>
      </c>
      <c r="AE94" t="s">
        <v>120</v>
      </c>
      <c r="AG94" t="s">
        <v>121</v>
      </c>
    </row>
    <row r="95" spans="1:33" x14ac:dyDescent="0.25">
      <c r="A95" t="str">
        <f>"1568442465"</f>
        <v>1568442465</v>
      </c>
      <c r="B95" t="str">
        <f>"01477605"</f>
        <v>01477605</v>
      </c>
      <c r="C95" t="s">
        <v>753</v>
      </c>
      <c r="D95" t="s">
        <v>754</v>
      </c>
      <c r="E95" t="s">
        <v>755</v>
      </c>
      <c r="G95" t="s">
        <v>753</v>
      </c>
      <c r="H95" t="s">
        <v>756</v>
      </c>
      <c r="J95" t="s">
        <v>757</v>
      </c>
      <c r="L95" t="s">
        <v>150</v>
      </c>
      <c r="M95" t="s">
        <v>113</v>
      </c>
      <c r="R95" t="s">
        <v>758</v>
      </c>
      <c r="W95" t="s">
        <v>755</v>
      </c>
      <c r="X95" t="s">
        <v>216</v>
      </c>
      <c r="Y95" t="s">
        <v>116</v>
      </c>
      <c r="Z95" t="s">
        <v>117</v>
      </c>
      <c r="AA95" t="str">
        <f>"14222-2006"</f>
        <v>14222-2006</v>
      </c>
      <c r="AB95" t="s">
        <v>118</v>
      </c>
      <c r="AC95" t="s">
        <v>119</v>
      </c>
      <c r="AD95" t="s">
        <v>113</v>
      </c>
      <c r="AE95" t="s">
        <v>120</v>
      </c>
      <c r="AG95" t="s">
        <v>121</v>
      </c>
    </row>
    <row r="96" spans="1:33" x14ac:dyDescent="0.25">
      <c r="A96" t="str">
        <f>"1568447290"</f>
        <v>1568447290</v>
      </c>
      <c r="B96" t="str">
        <f>"02069170"</f>
        <v>02069170</v>
      </c>
      <c r="C96" t="s">
        <v>759</v>
      </c>
      <c r="D96" t="s">
        <v>760</v>
      </c>
      <c r="E96" t="s">
        <v>761</v>
      </c>
      <c r="G96" t="s">
        <v>759</v>
      </c>
      <c r="H96" t="s">
        <v>707</v>
      </c>
      <c r="J96" t="s">
        <v>762</v>
      </c>
      <c r="L96" t="s">
        <v>142</v>
      </c>
      <c r="M96" t="s">
        <v>113</v>
      </c>
      <c r="R96" t="s">
        <v>763</v>
      </c>
      <c r="W96" t="s">
        <v>764</v>
      </c>
      <c r="X96" t="s">
        <v>709</v>
      </c>
      <c r="Y96" t="s">
        <v>116</v>
      </c>
      <c r="Z96" t="s">
        <v>117</v>
      </c>
      <c r="AA96" t="str">
        <f>"14263-0001"</f>
        <v>14263-0001</v>
      </c>
      <c r="AB96" t="s">
        <v>118</v>
      </c>
      <c r="AC96" t="s">
        <v>119</v>
      </c>
      <c r="AD96" t="s">
        <v>113</v>
      </c>
      <c r="AE96" t="s">
        <v>120</v>
      </c>
      <c r="AG96" t="s">
        <v>121</v>
      </c>
    </row>
    <row r="97" spans="1:33" x14ac:dyDescent="0.25">
      <c r="A97" t="str">
        <f>"1568453199"</f>
        <v>1568453199</v>
      </c>
      <c r="B97" t="str">
        <f>"00653741"</f>
        <v>00653741</v>
      </c>
      <c r="C97" t="s">
        <v>765</v>
      </c>
      <c r="D97" t="s">
        <v>766</v>
      </c>
      <c r="E97" t="s">
        <v>767</v>
      </c>
      <c r="G97" t="s">
        <v>765</v>
      </c>
      <c r="H97" t="s">
        <v>768</v>
      </c>
      <c r="J97" t="s">
        <v>769</v>
      </c>
      <c r="L97" t="s">
        <v>150</v>
      </c>
      <c r="M97" t="s">
        <v>113</v>
      </c>
      <c r="R97" t="s">
        <v>770</v>
      </c>
      <c r="W97" t="s">
        <v>771</v>
      </c>
      <c r="X97" t="s">
        <v>772</v>
      </c>
      <c r="Y97" t="s">
        <v>240</v>
      </c>
      <c r="Z97" t="s">
        <v>117</v>
      </c>
      <c r="AA97" t="str">
        <f>"14221-4641"</f>
        <v>14221-4641</v>
      </c>
      <c r="AB97" t="s">
        <v>118</v>
      </c>
      <c r="AC97" t="s">
        <v>119</v>
      </c>
      <c r="AD97" t="s">
        <v>113</v>
      </c>
      <c r="AE97" t="s">
        <v>120</v>
      </c>
      <c r="AG97" t="s">
        <v>121</v>
      </c>
    </row>
    <row r="98" spans="1:33" x14ac:dyDescent="0.25">
      <c r="A98" t="str">
        <f>"1568455657"</f>
        <v>1568455657</v>
      </c>
      <c r="B98" t="str">
        <f>"02881730"</f>
        <v>02881730</v>
      </c>
      <c r="C98" t="s">
        <v>773</v>
      </c>
      <c r="D98" t="s">
        <v>774</v>
      </c>
      <c r="E98" t="s">
        <v>775</v>
      </c>
      <c r="G98" t="s">
        <v>773</v>
      </c>
      <c r="H98" t="s">
        <v>205</v>
      </c>
      <c r="J98" t="s">
        <v>776</v>
      </c>
      <c r="L98" t="s">
        <v>150</v>
      </c>
      <c r="M98" t="s">
        <v>113</v>
      </c>
      <c r="R98" t="s">
        <v>777</v>
      </c>
      <c r="W98" t="s">
        <v>775</v>
      </c>
      <c r="X98" t="s">
        <v>778</v>
      </c>
      <c r="Y98" t="s">
        <v>240</v>
      </c>
      <c r="Z98" t="s">
        <v>117</v>
      </c>
      <c r="AA98" t="str">
        <f>"14221-8243"</f>
        <v>14221-8243</v>
      </c>
      <c r="AB98" t="s">
        <v>118</v>
      </c>
      <c r="AC98" t="s">
        <v>119</v>
      </c>
      <c r="AD98" t="s">
        <v>113</v>
      </c>
      <c r="AE98" t="s">
        <v>120</v>
      </c>
      <c r="AG98" t="s">
        <v>121</v>
      </c>
    </row>
    <row r="99" spans="1:33" x14ac:dyDescent="0.25">
      <c r="A99" t="str">
        <f>"1568456424"</f>
        <v>1568456424</v>
      </c>
      <c r="B99" t="str">
        <f>"01762725"</f>
        <v>01762725</v>
      </c>
      <c r="C99" t="s">
        <v>779</v>
      </c>
      <c r="D99" t="s">
        <v>780</v>
      </c>
      <c r="E99" t="s">
        <v>781</v>
      </c>
      <c r="G99" t="s">
        <v>779</v>
      </c>
      <c r="H99" t="s">
        <v>272</v>
      </c>
      <c r="J99" t="s">
        <v>782</v>
      </c>
      <c r="L99" t="s">
        <v>150</v>
      </c>
      <c r="M99" t="s">
        <v>199</v>
      </c>
      <c r="R99" t="s">
        <v>783</v>
      </c>
      <c r="W99" t="s">
        <v>781</v>
      </c>
      <c r="X99" t="s">
        <v>784</v>
      </c>
      <c r="Y99" t="s">
        <v>116</v>
      </c>
      <c r="Z99" t="s">
        <v>117</v>
      </c>
      <c r="AA99" t="str">
        <f>"14209-1194"</f>
        <v>14209-1194</v>
      </c>
      <c r="AB99" t="s">
        <v>118</v>
      </c>
      <c r="AC99" t="s">
        <v>119</v>
      </c>
      <c r="AD99" t="s">
        <v>113</v>
      </c>
      <c r="AE99" t="s">
        <v>120</v>
      </c>
      <c r="AG99" t="s">
        <v>121</v>
      </c>
    </row>
    <row r="100" spans="1:33" x14ac:dyDescent="0.25">
      <c r="A100" t="str">
        <f>"1568457182"</f>
        <v>1568457182</v>
      </c>
      <c r="B100" t="str">
        <f>"01088453"</f>
        <v>01088453</v>
      </c>
      <c r="C100" t="s">
        <v>785</v>
      </c>
      <c r="D100" t="s">
        <v>786</v>
      </c>
      <c r="E100" t="s">
        <v>787</v>
      </c>
      <c r="G100" t="s">
        <v>785</v>
      </c>
      <c r="H100" t="s">
        <v>322</v>
      </c>
      <c r="J100" t="s">
        <v>788</v>
      </c>
      <c r="L100" t="s">
        <v>142</v>
      </c>
      <c r="M100" t="s">
        <v>113</v>
      </c>
      <c r="R100" t="s">
        <v>789</v>
      </c>
      <c r="W100" t="s">
        <v>790</v>
      </c>
      <c r="X100" t="s">
        <v>791</v>
      </c>
      <c r="Y100" t="s">
        <v>129</v>
      </c>
      <c r="Z100" t="s">
        <v>117</v>
      </c>
      <c r="AA100" t="str">
        <f>"14224-2655"</f>
        <v>14224-2655</v>
      </c>
      <c r="AB100" t="s">
        <v>118</v>
      </c>
      <c r="AC100" t="s">
        <v>119</v>
      </c>
      <c r="AD100" t="s">
        <v>113</v>
      </c>
      <c r="AE100" t="s">
        <v>120</v>
      </c>
      <c r="AG100" t="s">
        <v>121</v>
      </c>
    </row>
    <row r="101" spans="1:33" x14ac:dyDescent="0.25">
      <c r="A101" t="str">
        <f>"1477559359"</f>
        <v>1477559359</v>
      </c>
      <c r="B101" t="str">
        <f>"02397184"</f>
        <v>02397184</v>
      </c>
      <c r="C101" t="s">
        <v>792</v>
      </c>
      <c r="D101" t="s">
        <v>793</v>
      </c>
      <c r="E101" t="s">
        <v>794</v>
      </c>
      <c r="G101" t="s">
        <v>792</v>
      </c>
      <c r="H101" t="s">
        <v>707</v>
      </c>
      <c r="J101" t="s">
        <v>795</v>
      </c>
      <c r="L101" t="s">
        <v>142</v>
      </c>
      <c r="M101" t="s">
        <v>113</v>
      </c>
      <c r="R101" t="s">
        <v>796</v>
      </c>
      <c r="W101" t="s">
        <v>794</v>
      </c>
      <c r="X101" t="s">
        <v>797</v>
      </c>
      <c r="Y101" t="s">
        <v>116</v>
      </c>
      <c r="Z101" t="s">
        <v>117</v>
      </c>
      <c r="AA101" t="str">
        <f>"14263-0001"</f>
        <v>14263-0001</v>
      </c>
      <c r="AB101" t="s">
        <v>118</v>
      </c>
      <c r="AC101" t="s">
        <v>119</v>
      </c>
      <c r="AD101" t="s">
        <v>113</v>
      </c>
      <c r="AE101" t="s">
        <v>120</v>
      </c>
      <c r="AG101" t="s">
        <v>121</v>
      </c>
    </row>
    <row r="102" spans="1:33" x14ac:dyDescent="0.25">
      <c r="A102" t="str">
        <f>"1477560738"</f>
        <v>1477560738</v>
      </c>
      <c r="B102" t="str">
        <f>"03254244"</f>
        <v>03254244</v>
      </c>
      <c r="C102" t="s">
        <v>798</v>
      </c>
      <c r="D102" t="s">
        <v>799</v>
      </c>
      <c r="E102" t="s">
        <v>800</v>
      </c>
      <c r="G102" t="s">
        <v>798</v>
      </c>
      <c r="H102" t="s">
        <v>322</v>
      </c>
      <c r="J102" t="s">
        <v>801</v>
      </c>
      <c r="L102" t="s">
        <v>142</v>
      </c>
      <c r="M102" t="s">
        <v>113</v>
      </c>
      <c r="R102" t="s">
        <v>800</v>
      </c>
      <c r="W102" t="s">
        <v>802</v>
      </c>
      <c r="X102" t="s">
        <v>325</v>
      </c>
      <c r="Y102" t="s">
        <v>326</v>
      </c>
      <c r="Z102" t="s">
        <v>117</v>
      </c>
      <c r="AA102" t="str">
        <f>"14127-1573"</f>
        <v>14127-1573</v>
      </c>
      <c r="AB102" t="s">
        <v>118</v>
      </c>
      <c r="AC102" t="s">
        <v>119</v>
      </c>
      <c r="AD102" t="s">
        <v>113</v>
      </c>
      <c r="AE102" t="s">
        <v>120</v>
      </c>
      <c r="AG102" t="s">
        <v>121</v>
      </c>
    </row>
    <row r="103" spans="1:33" x14ac:dyDescent="0.25">
      <c r="A103" t="str">
        <f>"1477561280"</f>
        <v>1477561280</v>
      </c>
      <c r="B103" t="str">
        <f>"02784747"</f>
        <v>02784747</v>
      </c>
      <c r="C103" t="s">
        <v>803</v>
      </c>
      <c r="D103" t="s">
        <v>804</v>
      </c>
      <c r="E103" t="s">
        <v>805</v>
      </c>
      <c r="G103" t="s">
        <v>803</v>
      </c>
      <c r="H103" t="s">
        <v>806</v>
      </c>
      <c r="J103" t="s">
        <v>807</v>
      </c>
      <c r="L103" t="s">
        <v>142</v>
      </c>
      <c r="M103" t="s">
        <v>113</v>
      </c>
      <c r="R103" t="s">
        <v>808</v>
      </c>
      <c r="W103" t="s">
        <v>805</v>
      </c>
      <c r="X103" t="s">
        <v>809</v>
      </c>
      <c r="Y103" t="s">
        <v>116</v>
      </c>
      <c r="Z103" t="s">
        <v>117</v>
      </c>
      <c r="AA103" t="str">
        <f>"14203-1126"</f>
        <v>14203-1126</v>
      </c>
      <c r="AB103" t="s">
        <v>118</v>
      </c>
      <c r="AC103" t="s">
        <v>119</v>
      </c>
      <c r="AD103" t="s">
        <v>113</v>
      </c>
      <c r="AE103" t="s">
        <v>120</v>
      </c>
      <c r="AG103" t="s">
        <v>121</v>
      </c>
    </row>
    <row r="104" spans="1:33" x14ac:dyDescent="0.25">
      <c r="A104" t="str">
        <f>"1477589471"</f>
        <v>1477589471</v>
      </c>
      <c r="B104" t="str">
        <f>"02430399"</f>
        <v>02430399</v>
      </c>
      <c r="C104" t="s">
        <v>810</v>
      </c>
      <c r="D104" t="s">
        <v>811</v>
      </c>
      <c r="E104" t="s">
        <v>812</v>
      </c>
      <c r="G104" t="s">
        <v>810</v>
      </c>
      <c r="H104" t="s">
        <v>693</v>
      </c>
      <c r="J104" t="s">
        <v>813</v>
      </c>
      <c r="L104" t="s">
        <v>112</v>
      </c>
      <c r="M104" t="s">
        <v>113</v>
      </c>
      <c r="R104" t="s">
        <v>814</v>
      </c>
      <c r="W104" t="s">
        <v>812</v>
      </c>
      <c r="X104" t="s">
        <v>815</v>
      </c>
      <c r="Y104" t="s">
        <v>816</v>
      </c>
      <c r="Z104" t="s">
        <v>117</v>
      </c>
      <c r="AA104" t="str">
        <f>"14120-4435"</f>
        <v>14120-4435</v>
      </c>
      <c r="AB104" t="s">
        <v>118</v>
      </c>
      <c r="AC104" t="s">
        <v>119</v>
      </c>
      <c r="AD104" t="s">
        <v>113</v>
      </c>
      <c r="AE104" t="s">
        <v>120</v>
      </c>
      <c r="AG104" t="s">
        <v>121</v>
      </c>
    </row>
    <row r="105" spans="1:33" x14ac:dyDescent="0.25">
      <c r="A105" t="str">
        <f>"1477606200"</f>
        <v>1477606200</v>
      </c>
      <c r="C105" t="s">
        <v>817</v>
      </c>
      <c r="G105" t="s">
        <v>818</v>
      </c>
      <c r="H105" t="s">
        <v>471</v>
      </c>
      <c r="J105" t="s">
        <v>819</v>
      </c>
      <c r="K105" t="s">
        <v>303</v>
      </c>
      <c r="L105" t="s">
        <v>112</v>
      </c>
      <c r="M105" t="s">
        <v>113</v>
      </c>
      <c r="R105" t="s">
        <v>820</v>
      </c>
      <c r="S105" t="s">
        <v>821</v>
      </c>
      <c r="T105" t="s">
        <v>318</v>
      </c>
      <c r="U105" t="s">
        <v>117</v>
      </c>
      <c r="V105" t="str">
        <f>"14225"</f>
        <v>14225</v>
      </c>
      <c r="AC105" t="s">
        <v>119</v>
      </c>
      <c r="AD105" t="s">
        <v>113</v>
      </c>
      <c r="AE105" t="s">
        <v>306</v>
      </c>
      <c r="AG105" t="s">
        <v>121</v>
      </c>
    </row>
    <row r="106" spans="1:33" x14ac:dyDescent="0.25">
      <c r="A106" t="str">
        <f>"1477606796"</f>
        <v>1477606796</v>
      </c>
      <c r="B106" t="str">
        <f>"00419049"</f>
        <v>00419049</v>
      </c>
      <c r="C106" t="s">
        <v>822</v>
      </c>
      <c r="D106" t="s">
        <v>823</v>
      </c>
      <c r="E106" t="s">
        <v>824</v>
      </c>
      <c r="G106" t="s">
        <v>822</v>
      </c>
      <c r="H106" t="s">
        <v>825</v>
      </c>
      <c r="J106" t="s">
        <v>826</v>
      </c>
      <c r="L106" t="s">
        <v>142</v>
      </c>
      <c r="M106" t="s">
        <v>113</v>
      </c>
      <c r="R106" t="s">
        <v>827</v>
      </c>
      <c r="W106" t="s">
        <v>824</v>
      </c>
      <c r="X106" t="s">
        <v>828</v>
      </c>
      <c r="Y106" t="s">
        <v>829</v>
      </c>
      <c r="Z106" t="s">
        <v>117</v>
      </c>
      <c r="AA106" t="str">
        <f>"11432"</f>
        <v>11432</v>
      </c>
      <c r="AB106" t="s">
        <v>118</v>
      </c>
      <c r="AC106" t="s">
        <v>119</v>
      </c>
      <c r="AD106" t="s">
        <v>113</v>
      </c>
      <c r="AE106" t="s">
        <v>120</v>
      </c>
      <c r="AG106" t="s">
        <v>121</v>
      </c>
    </row>
    <row r="107" spans="1:33" x14ac:dyDescent="0.25">
      <c r="A107" t="str">
        <f>"1396057931"</f>
        <v>1396057931</v>
      </c>
      <c r="B107" t="str">
        <f>"03265501"</f>
        <v>03265501</v>
      </c>
      <c r="C107" t="s">
        <v>830</v>
      </c>
      <c r="D107" t="s">
        <v>831</v>
      </c>
      <c r="E107" t="s">
        <v>832</v>
      </c>
      <c r="G107" t="s">
        <v>833</v>
      </c>
      <c r="H107" t="s">
        <v>834</v>
      </c>
      <c r="J107" t="s">
        <v>835</v>
      </c>
      <c r="L107" t="s">
        <v>142</v>
      </c>
      <c r="M107" t="s">
        <v>113</v>
      </c>
      <c r="R107" t="s">
        <v>836</v>
      </c>
      <c r="W107" t="s">
        <v>837</v>
      </c>
      <c r="X107" t="s">
        <v>838</v>
      </c>
      <c r="Y107" t="s">
        <v>240</v>
      </c>
      <c r="Z107" t="s">
        <v>117</v>
      </c>
      <c r="AA107" t="str">
        <f>"14221-3647"</f>
        <v>14221-3647</v>
      </c>
      <c r="AB107" t="s">
        <v>118</v>
      </c>
      <c r="AC107" t="s">
        <v>119</v>
      </c>
      <c r="AD107" t="s">
        <v>113</v>
      </c>
      <c r="AE107" t="s">
        <v>120</v>
      </c>
      <c r="AG107" t="s">
        <v>121</v>
      </c>
    </row>
    <row r="108" spans="1:33" x14ac:dyDescent="0.25">
      <c r="A108" t="str">
        <f>"1396151650"</f>
        <v>1396151650</v>
      </c>
      <c r="C108" t="s">
        <v>839</v>
      </c>
      <c r="G108" t="s">
        <v>840</v>
      </c>
      <c r="H108" t="s">
        <v>351</v>
      </c>
      <c r="K108" t="s">
        <v>303</v>
      </c>
      <c r="L108" t="s">
        <v>229</v>
      </c>
      <c r="M108" t="s">
        <v>113</v>
      </c>
      <c r="R108" t="s">
        <v>841</v>
      </c>
      <c r="S108" t="s">
        <v>354</v>
      </c>
      <c r="T108" t="s">
        <v>116</v>
      </c>
      <c r="U108" t="s">
        <v>117</v>
      </c>
      <c r="V108" t="str">
        <f>"142152814"</f>
        <v>142152814</v>
      </c>
      <c r="AC108" t="s">
        <v>119</v>
      </c>
      <c r="AD108" t="s">
        <v>113</v>
      </c>
      <c r="AE108" t="s">
        <v>306</v>
      </c>
      <c r="AG108" t="s">
        <v>121</v>
      </c>
    </row>
    <row r="109" spans="1:33" x14ac:dyDescent="0.25">
      <c r="A109" t="str">
        <f>"1396181053"</f>
        <v>1396181053</v>
      </c>
      <c r="C109" t="s">
        <v>842</v>
      </c>
      <c r="G109" t="s">
        <v>843</v>
      </c>
      <c r="H109" t="s">
        <v>590</v>
      </c>
      <c r="J109" t="s">
        <v>844</v>
      </c>
      <c r="K109" t="s">
        <v>303</v>
      </c>
      <c r="L109" t="s">
        <v>229</v>
      </c>
      <c r="M109" t="s">
        <v>113</v>
      </c>
      <c r="R109" t="s">
        <v>845</v>
      </c>
      <c r="S109" t="s">
        <v>846</v>
      </c>
      <c r="T109" t="s">
        <v>847</v>
      </c>
      <c r="U109" t="s">
        <v>117</v>
      </c>
      <c r="V109" t="str">
        <f>"145691326"</f>
        <v>145691326</v>
      </c>
      <c r="AC109" t="s">
        <v>119</v>
      </c>
      <c r="AD109" t="s">
        <v>113</v>
      </c>
      <c r="AE109" t="s">
        <v>306</v>
      </c>
      <c r="AG109" t="s">
        <v>121</v>
      </c>
    </row>
    <row r="110" spans="1:33" x14ac:dyDescent="0.25">
      <c r="A110" t="str">
        <f>"1396185971"</f>
        <v>1396185971</v>
      </c>
      <c r="B110" t="str">
        <f>"03716149"</f>
        <v>03716149</v>
      </c>
      <c r="C110" t="s">
        <v>848</v>
      </c>
      <c r="D110" t="s">
        <v>849</v>
      </c>
      <c r="E110" t="s">
        <v>850</v>
      </c>
      <c r="G110" t="s">
        <v>851</v>
      </c>
      <c r="H110" t="s">
        <v>852</v>
      </c>
      <c r="L110" t="s">
        <v>150</v>
      </c>
      <c r="M110" t="s">
        <v>113</v>
      </c>
      <c r="R110" t="s">
        <v>853</v>
      </c>
      <c r="W110" t="s">
        <v>854</v>
      </c>
      <c r="X110" t="s">
        <v>855</v>
      </c>
      <c r="Y110" t="s">
        <v>116</v>
      </c>
      <c r="Z110" t="s">
        <v>117</v>
      </c>
      <c r="AA110" t="str">
        <f>"14213-1573"</f>
        <v>14213-1573</v>
      </c>
      <c r="AB110" t="s">
        <v>118</v>
      </c>
      <c r="AC110" t="s">
        <v>119</v>
      </c>
      <c r="AD110" t="s">
        <v>113</v>
      </c>
      <c r="AE110" t="s">
        <v>120</v>
      </c>
      <c r="AG110" t="s">
        <v>121</v>
      </c>
    </row>
    <row r="111" spans="1:33" x14ac:dyDescent="0.25">
      <c r="A111" t="str">
        <f>"1417996968"</f>
        <v>1417996968</v>
      </c>
      <c r="B111" t="str">
        <f>"01740005"</f>
        <v>01740005</v>
      </c>
      <c r="C111" t="s">
        <v>856</v>
      </c>
      <c r="D111" t="s">
        <v>857</v>
      </c>
      <c r="E111" t="s">
        <v>858</v>
      </c>
      <c r="G111" t="s">
        <v>859</v>
      </c>
      <c r="H111" t="s">
        <v>860</v>
      </c>
      <c r="J111" t="s">
        <v>861</v>
      </c>
      <c r="L111" t="s">
        <v>142</v>
      </c>
      <c r="M111" t="s">
        <v>113</v>
      </c>
      <c r="R111" t="s">
        <v>862</v>
      </c>
      <c r="W111" t="s">
        <v>858</v>
      </c>
      <c r="Y111" t="s">
        <v>116</v>
      </c>
      <c r="Z111" t="s">
        <v>117</v>
      </c>
      <c r="AA111" t="str">
        <f>"14220-2095"</f>
        <v>14220-2095</v>
      </c>
      <c r="AB111" t="s">
        <v>118</v>
      </c>
      <c r="AC111" t="s">
        <v>119</v>
      </c>
      <c r="AD111" t="s">
        <v>113</v>
      </c>
      <c r="AE111" t="s">
        <v>120</v>
      </c>
      <c r="AG111" t="s">
        <v>121</v>
      </c>
    </row>
    <row r="112" spans="1:33" x14ac:dyDescent="0.25">
      <c r="A112" t="str">
        <f>"1427004118"</f>
        <v>1427004118</v>
      </c>
      <c r="B112" t="str">
        <f>"02628288"</f>
        <v>02628288</v>
      </c>
      <c r="C112" t="s">
        <v>863</v>
      </c>
      <c r="D112" t="s">
        <v>864</v>
      </c>
      <c r="E112" t="s">
        <v>865</v>
      </c>
      <c r="G112" t="s">
        <v>863</v>
      </c>
      <c r="H112" t="s">
        <v>866</v>
      </c>
      <c r="J112" t="s">
        <v>867</v>
      </c>
      <c r="L112" t="s">
        <v>142</v>
      </c>
      <c r="M112" t="s">
        <v>113</v>
      </c>
      <c r="R112" t="s">
        <v>868</v>
      </c>
      <c r="W112" t="s">
        <v>865</v>
      </c>
      <c r="X112" t="s">
        <v>838</v>
      </c>
      <c r="Y112" t="s">
        <v>240</v>
      </c>
      <c r="Z112" t="s">
        <v>117</v>
      </c>
      <c r="AA112" t="str">
        <f>"14221-3647"</f>
        <v>14221-3647</v>
      </c>
      <c r="AB112" t="s">
        <v>118</v>
      </c>
      <c r="AC112" t="s">
        <v>119</v>
      </c>
      <c r="AD112" t="s">
        <v>113</v>
      </c>
      <c r="AE112" t="s">
        <v>120</v>
      </c>
      <c r="AG112" t="s">
        <v>121</v>
      </c>
    </row>
    <row r="113" spans="1:33" x14ac:dyDescent="0.25">
      <c r="A113" t="str">
        <f>"1427007046"</f>
        <v>1427007046</v>
      </c>
      <c r="B113" t="str">
        <f>"02677241"</f>
        <v>02677241</v>
      </c>
      <c r="C113" t="s">
        <v>869</v>
      </c>
      <c r="D113" t="s">
        <v>870</v>
      </c>
      <c r="E113" t="s">
        <v>869</v>
      </c>
      <c r="H113" t="s">
        <v>871</v>
      </c>
      <c r="L113" t="s">
        <v>69</v>
      </c>
      <c r="M113" t="s">
        <v>113</v>
      </c>
      <c r="R113" t="s">
        <v>869</v>
      </c>
      <c r="W113" t="s">
        <v>869</v>
      </c>
      <c r="X113" t="s">
        <v>176</v>
      </c>
      <c r="Y113" t="s">
        <v>116</v>
      </c>
      <c r="Z113" t="s">
        <v>117</v>
      </c>
      <c r="AA113" t="str">
        <f>"14203-1126"</f>
        <v>14203-1126</v>
      </c>
      <c r="AB113" t="s">
        <v>872</v>
      </c>
      <c r="AC113" t="s">
        <v>119</v>
      </c>
      <c r="AD113" t="s">
        <v>113</v>
      </c>
      <c r="AE113" t="s">
        <v>120</v>
      </c>
      <c r="AG113" t="s">
        <v>121</v>
      </c>
    </row>
    <row r="114" spans="1:33" x14ac:dyDescent="0.25">
      <c r="A114" t="str">
        <f>"1427007095"</f>
        <v>1427007095</v>
      </c>
      <c r="B114" t="str">
        <f>"02298617"</f>
        <v>02298617</v>
      </c>
      <c r="C114" t="s">
        <v>873</v>
      </c>
      <c r="D114" t="s">
        <v>874</v>
      </c>
      <c r="E114" t="s">
        <v>875</v>
      </c>
      <c r="G114" t="s">
        <v>873</v>
      </c>
      <c r="H114" t="s">
        <v>707</v>
      </c>
      <c r="J114" t="s">
        <v>876</v>
      </c>
      <c r="L114" t="s">
        <v>142</v>
      </c>
      <c r="M114" t="s">
        <v>113</v>
      </c>
      <c r="R114" t="s">
        <v>877</v>
      </c>
      <c r="W114" t="s">
        <v>878</v>
      </c>
      <c r="X114" t="s">
        <v>879</v>
      </c>
      <c r="Y114" t="s">
        <v>880</v>
      </c>
      <c r="Z114" t="s">
        <v>117</v>
      </c>
      <c r="AA114" t="str">
        <f>"13210-2342"</f>
        <v>13210-2342</v>
      </c>
      <c r="AB114" t="s">
        <v>118</v>
      </c>
      <c r="AC114" t="s">
        <v>119</v>
      </c>
      <c r="AD114" t="s">
        <v>113</v>
      </c>
      <c r="AE114" t="s">
        <v>120</v>
      </c>
      <c r="AG114" t="s">
        <v>121</v>
      </c>
    </row>
    <row r="115" spans="1:33" x14ac:dyDescent="0.25">
      <c r="A115" t="str">
        <f>"1427011782"</f>
        <v>1427011782</v>
      </c>
      <c r="B115" t="str">
        <f>"01619878"</f>
        <v>01619878</v>
      </c>
      <c r="C115" t="s">
        <v>881</v>
      </c>
      <c r="D115" t="s">
        <v>882</v>
      </c>
      <c r="E115" t="s">
        <v>883</v>
      </c>
      <c r="G115" t="s">
        <v>881</v>
      </c>
      <c r="H115" t="s">
        <v>884</v>
      </c>
      <c r="J115" t="s">
        <v>885</v>
      </c>
      <c r="L115" t="s">
        <v>142</v>
      </c>
      <c r="M115" t="s">
        <v>113</v>
      </c>
      <c r="R115" t="s">
        <v>886</v>
      </c>
      <c r="W115" t="s">
        <v>887</v>
      </c>
      <c r="X115" t="s">
        <v>888</v>
      </c>
      <c r="Y115" t="s">
        <v>889</v>
      </c>
      <c r="Z115" t="s">
        <v>117</v>
      </c>
      <c r="AA115" t="str">
        <f>"14120-6196"</f>
        <v>14120-6196</v>
      </c>
      <c r="AB115" t="s">
        <v>118</v>
      </c>
      <c r="AC115" t="s">
        <v>119</v>
      </c>
      <c r="AD115" t="s">
        <v>113</v>
      </c>
      <c r="AE115" t="s">
        <v>120</v>
      </c>
      <c r="AG115" t="s">
        <v>121</v>
      </c>
    </row>
    <row r="116" spans="1:33" x14ac:dyDescent="0.25">
      <c r="A116" t="str">
        <f>"1427012467"</f>
        <v>1427012467</v>
      </c>
      <c r="B116" t="str">
        <f>"01616191"</f>
        <v>01616191</v>
      </c>
      <c r="C116" t="s">
        <v>890</v>
      </c>
      <c r="D116" t="s">
        <v>891</v>
      </c>
      <c r="E116" t="s">
        <v>892</v>
      </c>
      <c r="G116" t="s">
        <v>890</v>
      </c>
      <c r="H116" t="s">
        <v>893</v>
      </c>
      <c r="J116" t="s">
        <v>894</v>
      </c>
      <c r="L116" t="s">
        <v>150</v>
      </c>
      <c r="M116" t="s">
        <v>113</v>
      </c>
      <c r="R116" t="s">
        <v>895</v>
      </c>
      <c r="W116" t="s">
        <v>892</v>
      </c>
      <c r="X116" t="s">
        <v>896</v>
      </c>
      <c r="Y116" t="s">
        <v>116</v>
      </c>
      <c r="Z116" t="s">
        <v>117</v>
      </c>
      <c r="AA116" t="str">
        <f>"14203-1154"</f>
        <v>14203-1154</v>
      </c>
      <c r="AB116" t="s">
        <v>118</v>
      </c>
      <c r="AC116" t="s">
        <v>119</v>
      </c>
      <c r="AD116" t="s">
        <v>113</v>
      </c>
      <c r="AE116" t="s">
        <v>120</v>
      </c>
      <c r="AG116" t="s">
        <v>121</v>
      </c>
    </row>
    <row r="117" spans="1:33" x14ac:dyDescent="0.25">
      <c r="A117" t="str">
        <f>"1427013879"</f>
        <v>1427013879</v>
      </c>
      <c r="B117" t="str">
        <f>"00648128"</f>
        <v>00648128</v>
      </c>
      <c r="C117" t="s">
        <v>897</v>
      </c>
      <c r="D117" t="s">
        <v>898</v>
      </c>
      <c r="E117" t="s">
        <v>899</v>
      </c>
      <c r="G117" t="s">
        <v>900</v>
      </c>
      <c r="H117" t="s">
        <v>901</v>
      </c>
      <c r="J117" t="s">
        <v>902</v>
      </c>
      <c r="L117" t="s">
        <v>112</v>
      </c>
      <c r="M117" t="s">
        <v>113</v>
      </c>
      <c r="R117" t="s">
        <v>903</v>
      </c>
      <c r="W117" t="s">
        <v>899</v>
      </c>
      <c r="X117" t="s">
        <v>904</v>
      </c>
      <c r="Y117" t="s">
        <v>153</v>
      </c>
      <c r="Z117" t="s">
        <v>117</v>
      </c>
      <c r="AA117" t="str">
        <f>"14301-1841"</f>
        <v>14301-1841</v>
      </c>
      <c r="AB117" t="s">
        <v>118</v>
      </c>
      <c r="AC117" t="s">
        <v>119</v>
      </c>
      <c r="AD117" t="s">
        <v>113</v>
      </c>
      <c r="AE117" t="s">
        <v>120</v>
      </c>
      <c r="AG117" t="s">
        <v>121</v>
      </c>
    </row>
    <row r="118" spans="1:33" x14ac:dyDescent="0.25">
      <c r="A118" t="str">
        <f>"1427014448"</f>
        <v>1427014448</v>
      </c>
      <c r="B118" t="str">
        <f>"02458051"</f>
        <v>02458051</v>
      </c>
      <c r="C118" t="s">
        <v>905</v>
      </c>
      <c r="D118" t="s">
        <v>906</v>
      </c>
      <c r="E118" t="s">
        <v>907</v>
      </c>
      <c r="G118" t="s">
        <v>905</v>
      </c>
      <c r="H118" t="s">
        <v>908</v>
      </c>
      <c r="J118" t="s">
        <v>909</v>
      </c>
      <c r="L118" t="s">
        <v>142</v>
      </c>
      <c r="M118" t="s">
        <v>113</v>
      </c>
      <c r="R118" t="s">
        <v>910</v>
      </c>
      <c r="W118" t="s">
        <v>907</v>
      </c>
      <c r="X118" t="s">
        <v>896</v>
      </c>
      <c r="Y118" t="s">
        <v>116</v>
      </c>
      <c r="Z118" t="s">
        <v>117</v>
      </c>
      <c r="AA118" t="str">
        <f>"14203-1154"</f>
        <v>14203-1154</v>
      </c>
      <c r="AB118" t="s">
        <v>118</v>
      </c>
      <c r="AC118" t="s">
        <v>119</v>
      </c>
      <c r="AD118" t="s">
        <v>113</v>
      </c>
      <c r="AE118" t="s">
        <v>120</v>
      </c>
      <c r="AG118" t="s">
        <v>121</v>
      </c>
    </row>
    <row r="119" spans="1:33" x14ac:dyDescent="0.25">
      <c r="A119" t="str">
        <f>"1427015650"</f>
        <v>1427015650</v>
      </c>
      <c r="B119" t="str">
        <f>"01439803"</f>
        <v>01439803</v>
      </c>
      <c r="C119" t="s">
        <v>911</v>
      </c>
      <c r="D119" t="s">
        <v>912</v>
      </c>
      <c r="E119" t="s">
        <v>913</v>
      </c>
      <c r="G119" t="s">
        <v>911</v>
      </c>
      <c r="H119" t="s">
        <v>579</v>
      </c>
      <c r="J119" t="s">
        <v>914</v>
      </c>
      <c r="L119" t="s">
        <v>150</v>
      </c>
      <c r="M119" t="s">
        <v>113</v>
      </c>
      <c r="R119" t="s">
        <v>915</v>
      </c>
      <c r="W119" t="s">
        <v>913</v>
      </c>
      <c r="X119" t="s">
        <v>916</v>
      </c>
      <c r="Y119" t="s">
        <v>116</v>
      </c>
      <c r="Z119" t="s">
        <v>117</v>
      </c>
      <c r="AA119" t="str">
        <f>"14203-1154"</f>
        <v>14203-1154</v>
      </c>
      <c r="AB119" t="s">
        <v>118</v>
      </c>
      <c r="AC119" t="s">
        <v>119</v>
      </c>
      <c r="AD119" t="s">
        <v>113</v>
      </c>
      <c r="AE119" t="s">
        <v>120</v>
      </c>
      <c r="AG119" t="s">
        <v>121</v>
      </c>
    </row>
    <row r="120" spans="1:33" x14ac:dyDescent="0.25">
      <c r="A120" t="str">
        <f>"1427017490"</f>
        <v>1427017490</v>
      </c>
      <c r="B120" t="str">
        <f>"01433747"</f>
        <v>01433747</v>
      </c>
      <c r="C120" t="s">
        <v>917</v>
      </c>
      <c r="D120" t="s">
        <v>918</v>
      </c>
      <c r="E120" t="s">
        <v>919</v>
      </c>
      <c r="L120" t="s">
        <v>142</v>
      </c>
      <c r="M120" t="s">
        <v>113</v>
      </c>
      <c r="R120" t="s">
        <v>917</v>
      </c>
      <c r="W120" t="s">
        <v>920</v>
      </c>
      <c r="X120" t="s">
        <v>921</v>
      </c>
      <c r="Y120" t="s">
        <v>922</v>
      </c>
      <c r="Z120" t="s">
        <v>117</v>
      </c>
      <c r="AA120" t="str">
        <f>"14895-1020"</f>
        <v>14895-1020</v>
      </c>
      <c r="AB120" t="s">
        <v>118</v>
      </c>
      <c r="AC120" t="s">
        <v>119</v>
      </c>
      <c r="AD120" t="s">
        <v>113</v>
      </c>
      <c r="AE120" t="s">
        <v>120</v>
      </c>
      <c r="AG120" t="s">
        <v>121</v>
      </c>
    </row>
    <row r="121" spans="1:33" x14ac:dyDescent="0.25">
      <c r="A121" t="str">
        <f>"1427017946"</f>
        <v>1427017946</v>
      </c>
      <c r="C121" t="s">
        <v>923</v>
      </c>
      <c r="G121" t="s">
        <v>924</v>
      </c>
      <c r="H121" t="s">
        <v>925</v>
      </c>
      <c r="I121">
        <v>440</v>
      </c>
      <c r="J121" t="s">
        <v>926</v>
      </c>
      <c r="K121" t="s">
        <v>303</v>
      </c>
      <c r="L121" t="s">
        <v>229</v>
      </c>
      <c r="M121" t="s">
        <v>113</v>
      </c>
      <c r="R121" t="s">
        <v>923</v>
      </c>
      <c r="S121" t="s">
        <v>927</v>
      </c>
      <c r="T121" t="s">
        <v>377</v>
      </c>
      <c r="U121" t="s">
        <v>117</v>
      </c>
      <c r="V121" t="str">
        <f>"142171698"</f>
        <v>142171698</v>
      </c>
      <c r="AC121" t="s">
        <v>119</v>
      </c>
      <c r="AD121" t="s">
        <v>113</v>
      </c>
      <c r="AE121" t="s">
        <v>306</v>
      </c>
      <c r="AG121" t="s">
        <v>121</v>
      </c>
    </row>
    <row r="122" spans="1:33" x14ac:dyDescent="0.25">
      <c r="A122" t="str">
        <f>"1427022623"</f>
        <v>1427022623</v>
      </c>
      <c r="B122" t="str">
        <f>"01970272"</f>
        <v>01970272</v>
      </c>
      <c r="C122" t="s">
        <v>928</v>
      </c>
      <c r="D122" t="s">
        <v>929</v>
      </c>
      <c r="E122" t="s">
        <v>930</v>
      </c>
      <c r="G122" t="s">
        <v>928</v>
      </c>
      <c r="H122" t="s">
        <v>566</v>
      </c>
      <c r="J122" t="s">
        <v>931</v>
      </c>
      <c r="L122" t="s">
        <v>150</v>
      </c>
      <c r="M122" t="s">
        <v>113</v>
      </c>
      <c r="R122" t="s">
        <v>932</v>
      </c>
      <c r="W122" t="s">
        <v>930</v>
      </c>
      <c r="X122" t="s">
        <v>933</v>
      </c>
      <c r="Y122" t="s">
        <v>116</v>
      </c>
      <c r="Z122" t="s">
        <v>117</v>
      </c>
      <c r="AA122" t="str">
        <f>"14222-2006"</f>
        <v>14222-2006</v>
      </c>
      <c r="AB122" t="s">
        <v>118</v>
      </c>
      <c r="AC122" t="s">
        <v>119</v>
      </c>
      <c r="AD122" t="s">
        <v>113</v>
      </c>
      <c r="AE122" t="s">
        <v>120</v>
      </c>
      <c r="AG122" t="s">
        <v>121</v>
      </c>
    </row>
    <row r="123" spans="1:33" x14ac:dyDescent="0.25">
      <c r="A123" t="str">
        <f>"1598787657"</f>
        <v>1598787657</v>
      </c>
      <c r="B123" t="str">
        <f>"02183879"</f>
        <v>02183879</v>
      </c>
      <c r="C123" t="s">
        <v>934</v>
      </c>
      <c r="D123" t="s">
        <v>935</v>
      </c>
      <c r="E123" t="s">
        <v>936</v>
      </c>
      <c r="G123" t="s">
        <v>934</v>
      </c>
      <c r="H123" t="s">
        <v>937</v>
      </c>
      <c r="J123" t="s">
        <v>938</v>
      </c>
      <c r="L123" t="s">
        <v>142</v>
      </c>
      <c r="M123" t="s">
        <v>113</v>
      </c>
      <c r="R123" t="s">
        <v>939</v>
      </c>
      <c r="W123" t="s">
        <v>936</v>
      </c>
      <c r="X123" t="s">
        <v>136</v>
      </c>
      <c r="Y123" t="s">
        <v>116</v>
      </c>
      <c r="Z123" t="s">
        <v>117</v>
      </c>
      <c r="AA123" t="str">
        <f>"14209-1120"</f>
        <v>14209-1120</v>
      </c>
      <c r="AB123" t="s">
        <v>118</v>
      </c>
      <c r="AC123" t="s">
        <v>119</v>
      </c>
      <c r="AD123" t="s">
        <v>113</v>
      </c>
      <c r="AE123" t="s">
        <v>120</v>
      </c>
      <c r="AG123" t="s">
        <v>121</v>
      </c>
    </row>
    <row r="124" spans="1:33" x14ac:dyDescent="0.25">
      <c r="A124" t="str">
        <f>"1598790255"</f>
        <v>1598790255</v>
      </c>
      <c r="B124" t="str">
        <f>"02563922"</f>
        <v>02563922</v>
      </c>
      <c r="C124" t="s">
        <v>940</v>
      </c>
      <c r="D124" t="s">
        <v>941</v>
      </c>
      <c r="E124" t="s">
        <v>942</v>
      </c>
      <c r="G124" t="s">
        <v>943</v>
      </c>
      <c r="H124" t="s">
        <v>944</v>
      </c>
      <c r="J124" t="s">
        <v>945</v>
      </c>
      <c r="L124" t="s">
        <v>112</v>
      </c>
      <c r="M124" t="s">
        <v>199</v>
      </c>
      <c r="R124" t="s">
        <v>946</v>
      </c>
      <c r="W124" t="s">
        <v>947</v>
      </c>
      <c r="X124" t="s">
        <v>948</v>
      </c>
      <c r="Y124" t="s">
        <v>116</v>
      </c>
      <c r="Z124" t="s">
        <v>117</v>
      </c>
      <c r="AA124" t="str">
        <f>"14202-1309"</f>
        <v>14202-1309</v>
      </c>
      <c r="AB124" t="s">
        <v>118</v>
      </c>
      <c r="AC124" t="s">
        <v>119</v>
      </c>
      <c r="AD124" t="s">
        <v>113</v>
      </c>
      <c r="AE124" t="s">
        <v>120</v>
      </c>
      <c r="AG124" t="s">
        <v>121</v>
      </c>
    </row>
    <row r="125" spans="1:33" x14ac:dyDescent="0.25">
      <c r="A125" t="str">
        <f>"1598790818"</f>
        <v>1598790818</v>
      </c>
      <c r="B125" t="str">
        <f>"01885107"</f>
        <v>01885107</v>
      </c>
      <c r="C125" t="s">
        <v>949</v>
      </c>
      <c r="D125" t="s">
        <v>950</v>
      </c>
      <c r="E125" t="s">
        <v>951</v>
      </c>
      <c r="G125" t="s">
        <v>952</v>
      </c>
      <c r="H125" t="s">
        <v>953</v>
      </c>
      <c r="J125" t="s">
        <v>954</v>
      </c>
      <c r="L125" t="s">
        <v>142</v>
      </c>
      <c r="M125" t="s">
        <v>113</v>
      </c>
      <c r="R125" t="s">
        <v>955</v>
      </c>
      <c r="W125" t="s">
        <v>956</v>
      </c>
      <c r="X125" t="s">
        <v>957</v>
      </c>
      <c r="Y125" t="s">
        <v>958</v>
      </c>
      <c r="Z125" t="s">
        <v>117</v>
      </c>
      <c r="AA125" t="str">
        <f>"14226-1548"</f>
        <v>14226-1548</v>
      </c>
      <c r="AB125" t="s">
        <v>118</v>
      </c>
      <c r="AC125" t="s">
        <v>119</v>
      </c>
      <c r="AD125" t="s">
        <v>113</v>
      </c>
      <c r="AE125" t="s">
        <v>120</v>
      </c>
      <c r="AG125" t="s">
        <v>121</v>
      </c>
    </row>
    <row r="126" spans="1:33" x14ac:dyDescent="0.25">
      <c r="A126" t="str">
        <f>"1598853806"</f>
        <v>1598853806</v>
      </c>
      <c r="B126" t="str">
        <f>"02343011"</f>
        <v>02343011</v>
      </c>
      <c r="C126" t="s">
        <v>959</v>
      </c>
      <c r="D126" t="s">
        <v>960</v>
      </c>
      <c r="E126" t="s">
        <v>961</v>
      </c>
      <c r="G126" t="s">
        <v>962</v>
      </c>
      <c r="H126" t="s">
        <v>963</v>
      </c>
      <c r="J126" t="s">
        <v>964</v>
      </c>
      <c r="L126" t="s">
        <v>150</v>
      </c>
      <c r="M126" t="s">
        <v>199</v>
      </c>
      <c r="R126" t="s">
        <v>965</v>
      </c>
      <c r="W126" t="s">
        <v>961</v>
      </c>
      <c r="X126" t="s">
        <v>966</v>
      </c>
      <c r="Y126" t="s">
        <v>116</v>
      </c>
      <c r="Z126" t="s">
        <v>117</v>
      </c>
      <c r="AA126" t="str">
        <f>"14207-1816"</f>
        <v>14207-1816</v>
      </c>
      <c r="AB126" t="s">
        <v>118</v>
      </c>
      <c r="AC126" t="s">
        <v>119</v>
      </c>
      <c r="AD126" t="s">
        <v>113</v>
      </c>
      <c r="AE126" t="s">
        <v>120</v>
      </c>
      <c r="AG126" t="s">
        <v>121</v>
      </c>
    </row>
    <row r="127" spans="1:33" x14ac:dyDescent="0.25">
      <c r="A127" t="str">
        <f>"1598861221"</f>
        <v>1598861221</v>
      </c>
      <c r="C127" t="s">
        <v>967</v>
      </c>
      <c r="G127" t="s">
        <v>968</v>
      </c>
      <c r="H127" t="s">
        <v>969</v>
      </c>
      <c r="J127" t="s">
        <v>352</v>
      </c>
      <c r="K127" t="s">
        <v>303</v>
      </c>
      <c r="L127" t="s">
        <v>229</v>
      </c>
      <c r="M127" t="s">
        <v>113</v>
      </c>
      <c r="R127" t="s">
        <v>970</v>
      </c>
      <c r="S127" t="s">
        <v>409</v>
      </c>
      <c r="T127" t="s">
        <v>116</v>
      </c>
      <c r="U127" t="s">
        <v>117</v>
      </c>
      <c r="V127" t="str">
        <f>"142152814"</f>
        <v>142152814</v>
      </c>
      <c r="AC127" t="s">
        <v>119</v>
      </c>
      <c r="AD127" t="s">
        <v>113</v>
      </c>
      <c r="AE127" t="s">
        <v>306</v>
      </c>
      <c r="AG127" t="s">
        <v>121</v>
      </c>
    </row>
    <row r="128" spans="1:33" x14ac:dyDescent="0.25">
      <c r="A128" t="str">
        <f>"1609846948"</f>
        <v>1609846948</v>
      </c>
      <c r="B128" t="str">
        <f>"03002999"</f>
        <v>03002999</v>
      </c>
      <c r="C128" t="s">
        <v>25153</v>
      </c>
      <c r="D128" t="s">
        <v>25154</v>
      </c>
      <c r="E128" t="s">
        <v>25153</v>
      </c>
      <c r="L128" t="s">
        <v>2004</v>
      </c>
      <c r="M128" t="s">
        <v>199</v>
      </c>
      <c r="R128" t="s">
        <v>25153</v>
      </c>
      <c r="W128" t="s">
        <v>25153</v>
      </c>
      <c r="X128" t="s">
        <v>6460</v>
      </c>
      <c r="Y128" t="s">
        <v>541</v>
      </c>
      <c r="Z128" t="s">
        <v>117</v>
      </c>
      <c r="AA128" t="str">
        <f>"14048-2514"</f>
        <v>14048-2514</v>
      </c>
      <c r="AB128" t="s">
        <v>979</v>
      </c>
      <c r="AC128" t="s">
        <v>119</v>
      </c>
      <c r="AD128" t="s">
        <v>113</v>
      </c>
      <c r="AE128" t="s">
        <v>120</v>
      </c>
      <c r="AG128" t="s">
        <v>121</v>
      </c>
    </row>
    <row r="129" spans="1:33" x14ac:dyDescent="0.25">
      <c r="A129" t="str">
        <f>"1598883506"</f>
        <v>1598883506</v>
      </c>
      <c r="B129" t="str">
        <f>"01387508"</f>
        <v>01387508</v>
      </c>
      <c r="C129" t="s">
        <v>980</v>
      </c>
      <c r="D129" t="s">
        <v>981</v>
      </c>
      <c r="E129" t="s">
        <v>982</v>
      </c>
      <c r="G129" t="s">
        <v>330</v>
      </c>
      <c r="H129" t="s">
        <v>983</v>
      </c>
      <c r="J129" t="s">
        <v>332</v>
      </c>
      <c r="L129" t="s">
        <v>150</v>
      </c>
      <c r="M129" t="s">
        <v>199</v>
      </c>
      <c r="R129" t="s">
        <v>984</v>
      </c>
      <c r="W129" t="s">
        <v>982</v>
      </c>
      <c r="X129" t="s">
        <v>985</v>
      </c>
      <c r="Y129" t="s">
        <v>986</v>
      </c>
      <c r="Z129" t="s">
        <v>117</v>
      </c>
      <c r="AA129" t="str">
        <f>"14701-3824"</f>
        <v>14701-3824</v>
      </c>
      <c r="AB129" t="s">
        <v>118</v>
      </c>
      <c r="AC129" t="s">
        <v>119</v>
      </c>
      <c r="AD129" t="s">
        <v>113</v>
      </c>
      <c r="AE129" t="s">
        <v>120</v>
      </c>
      <c r="AG129" t="s">
        <v>121</v>
      </c>
    </row>
    <row r="130" spans="1:33" x14ac:dyDescent="0.25">
      <c r="A130" t="str">
        <f>"1518936004"</f>
        <v>1518936004</v>
      </c>
      <c r="B130" t="str">
        <f>"00746456"</f>
        <v>00746456</v>
      </c>
      <c r="C130" t="s">
        <v>987</v>
      </c>
      <c r="D130" t="s">
        <v>988</v>
      </c>
      <c r="E130" t="s">
        <v>989</v>
      </c>
      <c r="G130" t="s">
        <v>987</v>
      </c>
      <c r="H130" t="s">
        <v>579</v>
      </c>
      <c r="J130" t="s">
        <v>990</v>
      </c>
      <c r="L130" t="s">
        <v>142</v>
      </c>
      <c r="M130" t="s">
        <v>113</v>
      </c>
      <c r="R130" t="s">
        <v>991</v>
      </c>
      <c r="W130" t="s">
        <v>989</v>
      </c>
      <c r="X130" t="s">
        <v>992</v>
      </c>
      <c r="Y130" t="s">
        <v>663</v>
      </c>
      <c r="Z130" t="s">
        <v>117</v>
      </c>
      <c r="AA130" t="str">
        <f>"14094-3299"</f>
        <v>14094-3299</v>
      </c>
      <c r="AB130" t="s">
        <v>118</v>
      </c>
      <c r="AC130" t="s">
        <v>119</v>
      </c>
      <c r="AD130" t="s">
        <v>113</v>
      </c>
      <c r="AE130" t="s">
        <v>120</v>
      </c>
      <c r="AG130" t="s">
        <v>121</v>
      </c>
    </row>
    <row r="131" spans="1:33" x14ac:dyDescent="0.25">
      <c r="A131" t="str">
        <f>"1548239726"</f>
        <v>1548239726</v>
      </c>
      <c r="B131" t="str">
        <f>"01872288"</f>
        <v>01872288</v>
      </c>
      <c r="C131" t="s">
        <v>993</v>
      </c>
      <c r="D131" t="s">
        <v>994</v>
      </c>
      <c r="E131" t="s">
        <v>995</v>
      </c>
      <c r="G131" t="s">
        <v>996</v>
      </c>
      <c r="H131" t="s">
        <v>366</v>
      </c>
      <c r="L131" t="s">
        <v>142</v>
      </c>
      <c r="M131" t="s">
        <v>113</v>
      </c>
      <c r="R131" t="s">
        <v>996</v>
      </c>
      <c r="W131" t="s">
        <v>995</v>
      </c>
      <c r="X131" t="s">
        <v>997</v>
      </c>
      <c r="Y131" t="s">
        <v>153</v>
      </c>
      <c r="Z131" t="s">
        <v>117</v>
      </c>
      <c r="AA131" t="str">
        <f>"14301-1841"</f>
        <v>14301-1841</v>
      </c>
      <c r="AB131" t="s">
        <v>118</v>
      </c>
      <c r="AC131" t="s">
        <v>119</v>
      </c>
      <c r="AD131" t="s">
        <v>113</v>
      </c>
      <c r="AE131" t="s">
        <v>120</v>
      </c>
      <c r="AG131" t="s">
        <v>121</v>
      </c>
    </row>
    <row r="132" spans="1:33" x14ac:dyDescent="0.25">
      <c r="A132" t="str">
        <f>"1548239817"</f>
        <v>1548239817</v>
      </c>
      <c r="B132" t="str">
        <f>"02656559"</f>
        <v>02656559</v>
      </c>
      <c r="C132" t="s">
        <v>998</v>
      </c>
      <c r="D132" t="s">
        <v>999</v>
      </c>
      <c r="E132" t="s">
        <v>1000</v>
      </c>
      <c r="G132" t="s">
        <v>859</v>
      </c>
      <c r="H132" t="s">
        <v>630</v>
      </c>
      <c r="J132" t="s">
        <v>861</v>
      </c>
      <c r="L132" t="s">
        <v>142</v>
      </c>
      <c r="M132" t="s">
        <v>113</v>
      </c>
      <c r="R132" t="s">
        <v>1001</v>
      </c>
      <c r="W132" t="s">
        <v>1002</v>
      </c>
      <c r="X132" t="s">
        <v>253</v>
      </c>
      <c r="Y132" t="s">
        <v>116</v>
      </c>
      <c r="Z132" t="s">
        <v>117</v>
      </c>
      <c r="AA132" t="str">
        <f>"14215-3021"</f>
        <v>14215-3021</v>
      </c>
      <c r="AB132" t="s">
        <v>118</v>
      </c>
      <c r="AC132" t="s">
        <v>119</v>
      </c>
      <c r="AD132" t="s">
        <v>113</v>
      </c>
      <c r="AE132" t="s">
        <v>120</v>
      </c>
      <c r="AG132" t="s">
        <v>121</v>
      </c>
    </row>
    <row r="133" spans="1:33" x14ac:dyDescent="0.25">
      <c r="A133" t="str">
        <f>"1548246788"</f>
        <v>1548246788</v>
      </c>
      <c r="B133" t="str">
        <f>"01658415"</f>
        <v>01658415</v>
      </c>
      <c r="C133" t="s">
        <v>1003</v>
      </c>
      <c r="D133" t="s">
        <v>1004</v>
      </c>
      <c r="E133" t="s">
        <v>1005</v>
      </c>
      <c r="G133" t="s">
        <v>1003</v>
      </c>
      <c r="H133" t="s">
        <v>1006</v>
      </c>
      <c r="J133" t="s">
        <v>1007</v>
      </c>
      <c r="L133" t="s">
        <v>142</v>
      </c>
      <c r="M133" t="s">
        <v>113</v>
      </c>
      <c r="R133" t="s">
        <v>1008</v>
      </c>
      <c r="W133" t="s">
        <v>1005</v>
      </c>
      <c r="X133" t="s">
        <v>1009</v>
      </c>
      <c r="Y133" t="s">
        <v>240</v>
      </c>
      <c r="Z133" t="s">
        <v>117</v>
      </c>
      <c r="AA133" t="str">
        <f>"14221-2917"</f>
        <v>14221-2917</v>
      </c>
      <c r="AB133" t="s">
        <v>118</v>
      </c>
      <c r="AC133" t="s">
        <v>119</v>
      </c>
      <c r="AD133" t="s">
        <v>113</v>
      </c>
      <c r="AE133" t="s">
        <v>120</v>
      </c>
      <c r="AG133" t="s">
        <v>121</v>
      </c>
    </row>
    <row r="134" spans="1:33" x14ac:dyDescent="0.25">
      <c r="A134" t="str">
        <f>"1548248834"</f>
        <v>1548248834</v>
      </c>
      <c r="B134" t="str">
        <f>"01504856"</f>
        <v>01504856</v>
      </c>
      <c r="C134" t="s">
        <v>1010</v>
      </c>
      <c r="D134" t="s">
        <v>1011</v>
      </c>
      <c r="E134" t="s">
        <v>1012</v>
      </c>
      <c r="G134" t="s">
        <v>1010</v>
      </c>
      <c r="H134" t="s">
        <v>1013</v>
      </c>
      <c r="J134" t="s">
        <v>1014</v>
      </c>
      <c r="L134" t="s">
        <v>142</v>
      </c>
      <c r="M134" t="s">
        <v>113</v>
      </c>
      <c r="R134" t="s">
        <v>1015</v>
      </c>
      <c r="W134" t="s">
        <v>1012</v>
      </c>
      <c r="X134" t="s">
        <v>1016</v>
      </c>
      <c r="Y134" t="s">
        <v>880</v>
      </c>
      <c r="Z134" t="s">
        <v>117</v>
      </c>
      <c r="AA134" t="str">
        <f>"13210-2342"</f>
        <v>13210-2342</v>
      </c>
      <c r="AB134" t="s">
        <v>118</v>
      </c>
      <c r="AC134" t="s">
        <v>119</v>
      </c>
      <c r="AD134" t="s">
        <v>113</v>
      </c>
      <c r="AE134" t="s">
        <v>120</v>
      </c>
      <c r="AG134" t="s">
        <v>121</v>
      </c>
    </row>
    <row r="135" spans="1:33" x14ac:dyDescent="0.25">
      <c r="A135" t="str">
        <f>"1548268410"</f>
        <v>1548268410</v>
      </c>
      <c r="B135" t="str">
        <f>"00570223"</f>
        <v>00570223</v>
      </c>
      <c r="C135" t="s">
        <v>1017</v>
      </c>
      <c r="D135" t="s">
        <v>1018</v>
      </c>
      <c r="E135" t="s">
        <v>1019</v>
      </c>
      <c r="G135" t="s">
        <v>1020</v>
      </c>
      <c r="H135" t="s">
        <v>1021</v>
      </c>
      <c r="J135" t="s">
        <v>1022</v>
      </c>
      <c r="L135" t="s">
        <v>112</v>
      </c>
      <c r="M135" t="s">
        <v>113</v>
      </c>
      <c r="R135" t="s">
        <v>1023</v>
      </c>
      <c r="W135" t="s">
        <v>1019</v>
      </c>
      <c r="X135" t="s">
        <v>1024</v>
      </c>
      <c r="Y135" t="s">
        <v>116</v>
      </c>
      <c r="Z135" t="s">
        <v>117</v>
      </c>
      <c r="AA135" t="str">
        <f>"14209-2412"</f>
        <v>14209-2412</v>
      </c>
      <c r="AB135" t="s">
        <v>118</v>
      </c>
      <c r="AC135" t="s">
        <v>119</v>
      </c>
      <c r="AD135" t="s">
        <v>113</v>
      </c>
      <c r="AE135" t="s">
        <v>120</v>
      </c>
      <c r="AG135" t="s">
        <v>121</v>
      </c>
    </row>
    <row r="136" spans="1:33" x14ac:dyDescent="0.25">
      <c r="A136" t="str">
        <f>"1548275910"</f>
        <v>1548275910</v>
      </c>
      <c r="B136" t="str">
        <f>"01025887"</f>
        <v>01025887</v>
      </c>
      <c r="C136" t="s">
        <v>1025</v>
      </c>
      <c r="D136" t="s">
        <v>1026</v>
      </c>
      <c r="E136" t="s">
        <v>1027</v>
      </c>
      <c r="G136" t="s">
        <v>1028</v>
      </c>
      <c r="H136" t="s">
        <v>1029</v>
      </c>
      <c r="L136" t="s">
        <v>150</v>
      </c>
      <c r="M136" t="s">
        <v>199</v>
      </c>
      <c r="R136" t="s">
        <v>1028</v>
      </c>
      <c r="W136" t="s">
        <v>1027</v>
      </c>
      <c r="X136" t="s">
        <v>176</v>
      </c>
      <c r="Y136" t="s">
        <v>116</v>
      </c>
      <c r="Z136" t="s">
        <v>117</v>
      </c>
      <c r="AA136" t="str">
        <f>"14203-1126"</f>
        <v>14203-1126</v>
      </c>
      <c r="AB136" t="s">
        <v>118</v>
      </c>
      <c r="AC136" t="s">
        <v>119</v>
      </c>
      <c r="AD136" t="s">
        <v>113</v>
      </c>
      <c r="AE136" t="s">
        <v>120</v>
      </c>
      <c r="AG136" t="s">
        <v>121</v>
      </c>
    </row>
    <row r="137" spans="1:33" x14ac:dyDescent="0.25">
      <c r="A137" t="str">
        <f>"1548278393"</f>
        <v>1548278393</v>
      </c>
      <c r="B137" t="str">
        <f>"02740861"</f>
        <v>02740861</v>
      </c>
      <c r="C137" t="s">
        <v>1030</v>
      </c>
      <c r="D137" t="s">
        <v>1031</v>
      </c>
      <c r="E137" t="s">
        <v>1032</v>
      </c>
      <c r="L137" t="s">
        <v>1033</v>
      </c>
      <c r="M137" t="s">
        <v>113</v>
      </c>
      <c r="R137" t="s">
        <v>1034</v>
      </c>
      <c r="W137" t="s">
        <v>1032</v>
      </c>
      <c r="X137" t="s">
        <v>1035</v>
      </c>
      <c r="Y137" t="s">
        <v>116</v>
      </c>
      <c r="Z137" t="s">
        <v>117</v>
      </c>
      <c r="AA137" t="str">
        <f>"14215"</f>
        <v>14215</v>
      </c>
      <c r="AB137" t="s">
        <v>118</v>
      </c>
      <c r="AC137" t="s">
        <v>119</v>
      </c>
      <c r="AD137" t="s">
        <v>113</v>
      </c>
      <c r="AE137" t="s">
        <v>120</v>
      </c>
      <c r="AG137" t="s">
        <v>121</v>
      </c>
    </row>
    <row r="138" spans="1:33" x14ac:dyDescent="0.25">
      <c r="A138" t="str">
        <f>"1548297328"</f>
        <v>1548297328</v>
      </c>
      <c r="B138" t="str">
        <f>"01804580"</f>
        <v>01804580</v>
      </c>
      <c r="C138" t="s">
        <v>1036</v>
      </c>
      <c r="D138" t="s">
        <v>1037</v>
      </c>
      <c r="E138" t="s">
        <v>1038</v>
      </c>
      <c r="G138" t="s">
        <v>1036</v>
      </c>
      <c r="H138" t="s">
        <v>1039</v>
      </c>
      <c r="J138" t="s">
        <v>1040</v>
      </c>
      <c r="L138" t="s">
        <v>150</v>
      </c>
      <c r="M138" t="s">
        <v>199</v>
      </c>
      <c r="R138" t="s">
        <v>1041</v>
      </c>
      <c r="W138" t="s">
        <v>1038</v>
      </c>
      <c r="X138" t="s">
        <v>1042</v>
      </c>
      <c r="Y138" t="s">
        <v>116</v>
      </c>
      <c r="Z138" t="s">
        <v>117</v>
      </c>
      <c r="AA138" t="str">
        <f>"14203-2297"</f>
        <v>14203-2297</v>
      </c>
      <c r="AB138" t="s">
        <v>118</v>
      </c>
      <c r="AC138" t="s">
        <v>119</v>
      </c>
      <c r="AD138" t="s">
        <v>113</v>
      </c>
      <c r="AE138" t="s">
        <v>120</v>
      </c>
      <c r="AG138" t="s">
        <v>121</v>
      </c>
    </row>
    <row r="139" spans="1:33" x14ac:dyDescent="0.25">
      <c r="A139" t="str">
        <f>"1548301211"</f>
        <v>1548301211</v>
      </c>
      <c r="C139" t="s">
        <v>1043</v>
      </c>
      <c r="G139" t="s">
        <v>1043</v>
      </c>
      <c r="H139" t="s">
        <v>1044</v>
      </c>
      <c r="J139" t="s">
        <v>1045</v>
      </c>
      <c r="K139" t="s">
        <v>303</v>
      </c>
      <c r="L139" t="s">
        <v>112</v>
      </c>
      <c r="M139" t="s">
        <v>113</v>
      </c>
      <c r="R139" t="s">
        <v>1046</v>
      </c>
      <c r="S139" t="s">
        <v>253</v>
      </c>
      <c r="T139" t="s">
        <v>116</v>
      </c>
      <c r="U139" t="s">
        <v>117</v>
      </c>
      <c r="V139" t="str">
        <f>"142153021"</f>
        <v>142153021</v>
      </c>
      <c r="AC139" t="s">
        <v>119</v>
      </c>
      <c r="AD139" t="s">
        <v>113</v>
      </c>
      <c r="AE139" t="s">
        <v>306</v>
      </c>
      <c r="AG139" t="s">
        <v>121</v>
      </c>
    </row>
    <row r="140" spans="1:33" x14ac:dyDescent="0.25">
      <c r="A140" t="str">
        <f>"1548301385"</f>
        <v>1548301385</v>
      </c>
      <c r="B140" t="str">
        <f>"02360850"</f>
        <v>02360850</v>
      </c>
      <c r="C140" t="s">
        <v>1047</v>
      </c>
      <c r="D140" t="s">
        <v>1048</v>
      </c>
      <c r="E140" t="s">
        <v>1049</v>
      </c>
      <c r="G140" t="s">
        <v>1047</v>
      </c>
      <c r="H140" t="s">
        <v>1050</v>
      </c>
      <c r="J140" t="s">
        <v>1051</v>
      </c>
      <c r="L140" t="s">
        <v>150</v>
      </c>
      <c r="M140" t="s">
        <v>113</v>
      </c>
      <c r="R140" t="s">
        <v>1052</v>
      </c>
      <c r="W140" t="s">
        <v>1053</v>
      </c>
      <c r="X140" t="s">
        <v>1054</v>
      </c>
      <c r="Y140" t="s">
        <v>816</v>
      </c>
      <c r="Z140" t="s">
        <v>117</v>
      </c>
      <c r="AA140" t="str">
        <f>"14120-1114"</f>
        <v>14120-1114</v>
      </c>
      <c r="AB140" t="s">
        <v>118</v>
      </c>
      <c r="AC140" t="s">
        <v>119</v>
      </c>
      <c r="AD140" t="s">
        <v>113</v>
      </c>
      <c r="AE140" t="s">
        <v>120</v>
      </c>
      <c r="AG140" t="s">
        <v>121</v>
      </c>
    </row>
    <row r="141" spans="1:33" x14ac:dyDescent="0.25">
      <c r="A141" t="str">
        <f>"1548308463"</f>
        <v>1548308463</v>
      </c>
      <c r="B141" t="str">
        <f>"03244671"</f>
        <v>03244671</v>
      </c>
      <c r="C141" t="s">
        <v>1055</v>
      </c>
      <c r="D141" t="s">
        <v>1056</v>
      </c>
      <c r="E141" t="s">
        <v>1057</v>
      </c>
      <c r="G141" t="s">
        <v>1055</v>
      </c>
      <c r="H141" t="s">
        <v>250</v>
      </c>
      <c r="J141" t="s">
        <v>1058</v>
      </c>
      <c r="L141" t="s">
        <v>142</v>
      </c>
      <c r="M141" t="s">
        <v>113</v>
      </c>
      <c r="R141" t="s">
        <v>1057</v>
      </c>
      <c r="W141" t="s">
        <v>1057</v>
      </c>
      <c r="X141" t="s">
        <v>1059</v>
      </c>
      <c r="Y141" t="s">
        <v>318</v>
      </c>
      <c r="Z141" t="s">
        <v>117</v>
      </c>
      <c r="AA141" t="str">
        <f>"14227-1919"</f>
        <v>14227-1919</v>
      </c>
      <c r="AB141" t="s">
        <v>118</v>
      </c>
      <c r="AC141" t="s">
        <v>119</v>
      </c>
      <c r="AD141" t="s">
        <v>113</v>
      </c>
      <c r="AE141" t="s">
        <v>120</v>
      </c>
      <c r="AG141" t="s">
        <v>121</v>
      </c>
    </row>
    <row r="142" spans="1:33" x14ac:dyDescent="0.25">
      <c r="A142" t="str">
        <f>"1548309362"</f>
        <v>1548309362</v>
      </c>
      <c r="B142" t="str">
        <f>"00967840"</f>
        <v>00967840</v>
      </c>
      <c r="C142" t="s">
        <v>1060</v>
      </c>
      <c r="D142" t="s">
        <v>1061</v>
      </c>
      <c r="E142" t="s">
        <v>1062</v>
      </c>
      <c r="G142" t="s">
        <v>1063</v>
      </c>
      <c r="H142" t="s">
        <v>1064</v>
      </c>
      <c r="L142" t="s">
        <v>150</v>
      </c>
      <c r="M142" t="s">
        <v>199</v>
      </c>
      <c r="R142" t="s">
        <v>1065</v>
      </c>
      <c r="W142" t="s">
        <v>1062</v>
      </c>
      <c r="X142" t="s">
        <v>1066</v>
      </c>
      <c r="Y142" t="s">
        <v>153</v>
      </c>
      <c r="Z142" t="s">
        <v>117</v>
      </c>
      <c r="AA142" t="str">
        <f>"14301-1924"</f>
        <v>14301-1924</v>
      </c>
      <c r="AB142" t="s">
        <v>118</v>
      </c>
      <c r="AC142" t="s">
        <v>119</v>
      </c>
      <c r="AD142" t="s">
        <v>113</v>
      </c>
      <c r="AE142" t="s">
        <v>120</v>
      </c>
      <c r="AG142" t="s">
        <v>121</v>
      </c>
    </row>
    <row r="143" spans="1:33" x14ac:dyDescent="0.25">
      <c r="A143" t="str">
        <f>"1548312572"</f>
        <v>1548312572</v>
      </c>
      <c r="B143" t="str">
        <f>"04012915"</f>
        <v>04012915</v>
      </c>
      <c r="C143" t="s">
        <v>1067</v>
      </c>
      <c r="D143" t="s">
        <v>1068</v>
      </c>
      <c r="E143" t="s">
        <v>1069</v>
      </c>
      <c r="G143" t="s">
        <v>1070</v>
      </c>
      <c r="H143" t="s">
        <v>1071</v>
      </c>
      <c r="J143" t="s">
        <v>1072</v>
      </c>
      <c r="L143" t="s">
        <v>229</v>
      </c>
      <c r="M143" t="s">
        <v>113</v>
      </c>
      <c r="R143" t="s">
        <v>1073</v>
      </c>
      <c r="W143" t="s">
        <v>1069</v>
      </c>
      <c r="X143" t="s">
        <v>626</v>
      </c>
      <c r="Y143" t="s">
        <v>116</v>
      </c>
      <c r="Z143" t="s">
        <v>117</v>
      </c>
      <c r="AA143" t="str">
        <f>"14210-2324"</f>
        <v>14210-2324</v>
      </c>
      <c r="AB143" t="s">
        <v>621</v>
      </c>
      <c r="AC143" t="s">
        <v>119</v>
      </c>
      <c r="AD143" t="s">
        <v>113</v>
      </c>
      <c r="AE143" t="s">
        <v>120</v>
      </c>
      <c r="AG143" t="s">
        <v>121</v>
      </c>
    </row>
    <row r="144" spans="1:33" x14ac:dyDescent="0.25">
      <c r="A144" t="str">
        <f>"1689708109"</f>
        <v>1689708109</v>
      </c>
      <c r="B144" t="str">
        <f>"03002408"</f>
        <v>03002408</v>
      </c>
      <c r="C144" t="s">
        <v>869</v>
      </c>
      <c r="D144" t="s">
        <v>11579</v>
      </c>
      <c r="E144" t="s">
        <v>6228</v>
      </c>
      <c r="H144" t="s">
        <v>3488</v>
      </c>
      <c r="L144" t="s">
        <v>11580</v>
      </c>
      <c r="M144" t="s">
        <v>199</v>
      </c>
      <c r="R144" t="s">
        <v>869</v>
      </c>
      <c r="W144" t="s">
        <v>11581</v>
      </c>
      <c r="X144" t="s">
        <v>176</v>
      </c>
      <c r="Y144" t="s">
        <v>116</v>
      </c>
      <c r="Z144" t="s">
        <v>117</v>
      </c>
      <c r="AA144" t="str">
        <f>"14203-1126"</f>
        <v>14203-1126</v>
      </c>
      <c r="AB144" t="s">
        <v>979</v>
      </c>
      <c r="AC144" t="s">
        <v>119</v>
      </c>
      <c r="AD144" t="s">
        <v>113</v>
      </c>
      <c r="AE144" t="s">
        <v>120</v>
      </c>
      <c r="AG144" t="s">
        <v>121</v>
      </c>
    </row>
    <row r="145" spans="1:33" x14ac:dyDescent="0.25">
      <c r="A145" t="str">
        <f>"1548334683"</f>
        <v>1548334683</v>
      </c>
      <c r="B145" t="str">
        <f>"02175708"</f>
        <v>02175708</v>
      </c>
      <c r="C145" t="s">
        <v>1081</v>
      </c>
      <c r="D145" t="s">
        <v>1082</v>
      </c>
      <c r="E145" t="s">
        <v>1083</v>
      </c>
      <c r="F145">
        <v>160794847</v>
      </c>
      <c r="G145" t="s">
        <v>1084</v>
      </c>
      <c r="H145" t="s">
        <v>1085</v>
      </c>
      <c r="I145">
        <v>359</v>
      </c>
      <c r="J145" t="s">
        <v>1086</v>
      </c>
      <c r="L145" t="s">
        <v>69</v>
      </c>
      <c r="M145" t="s">
        <v>199</v>
      </c>
      <c r="R145" t="s">
        <v>1081</v>
      </c>
      <c r="W145" t="s">
        <v>1083</v>
      </c>
      <c r="X145" t="s">
        <v>1087</v>
      </c>
      <c r="Y145" t="s">
        <v>816</v>
      </c>
      <c r="Z145" t="s">
        <v>117</v>
      </c>
      <c r="AA145" t="str">
        <f>"14120-4408"</f>
        <v>14120-4408</v>
      </c>
      <c r="AB145" t="s">
        <v>282</v>
      </c>
      <c r="AC145" t="s">
        <v>119</v>
      </c>
      <c r="AD145" t="s">
        <v>113</v>
      </c>
      <c r="AE145" t="s">
        <v>120</v>
      </c>
      <c r="AG145" t="s">
        <v>121</v>
      </c>
    </row>
    <row r="146" spans="1:33" x14ac:dyDescent="0.25">
      <c r="A146" t="str">
        <f>"1548341571"</f>
        <v>1548341571</v>
      </c>
      <c r="C146" t="s">
        <v>1088</v>
      </c>
      <c r="G146" t="s">
        <v>1089</v>
      </c>
      <c r="J146" t="s">
        <v>352</v>
      </c>
      <c r="K146" t="s">
        <v>303</v>
      </c>
      <c r="L146" t="s">
        <v>112</v>
      </c>
      <c r="M146" t="s">
        <v>113</v>
      </c>
      <c r="R146" t="s">
        <v>1090</v>
      </c>
      <c r="S146" t="s">
        <v>1091</v>
      </c>
      <c r="T146" t="s">
        <v>116</v>
      </c>
      <c r="U146" t="s">
        <v>117</v>
      </c>
      <c r="V146" t="str">
        <f>"142072341"</f>
        <v>142072341</v>
      </c>
      <c r="AC146" t="s">
        <v>119</v>
      </c>
      <c r="AD146" t="s">
        <v>113</v>
      </c>
      <c r="AE146" t="s">
        <v>306</v>
      </c>
      <c r="AG146" t="s">
        <v>121</v>
      </c>
    </row>
    <row r="147" spans="1:33" x14ac:dyDescent="0.25">
      <c r="A147" t="str">
        <f>"1548352438"</f>
        <v>1548352438</v>
      </c>
      <c r="B147" t="str">
        <f>"03783520"</f>
        <v>03783520</v>
      </c>
      <c r="C147" t="s">
        <v>1092</v>
      </c>
      <c r="D147" t="s">
        <v>1093</v>
      </c>
      <c r="E147" t="s">
        <v>1094</v>
      </c>
      <c r="G147" t="s">
        <v>1092</v>
      </c>
      <c r="H147" t="s">
        <v>1095</v>
      </c>
      <c r="J147" t="s">
        <v>1096</v>
      </c>
      <c r="L147" t="s">
        <v>112</v>
      </c>
      <c r="M147" t="s">
        <v>113</v>
      </c>
      <c r="R147" t="s">
        <v>1097</v>
      </c>
      <c r="W147" t="s">
        <v>1094</v>
      </c>
      <c r="X147" t="s">
        <v>1098</v>
      </c>
      <c r="Y147" t="s">
        <v>305</v>
      </c>
      <c r="Z147" t="s">
        <v>117</v>
      </c>
      <c r="AA147" t="str">
        <f>"14760-1513"</f>
        <v>14760-1513</v>
      </c>
      <c r="AB147" t="s">
        <v>118</v>
      </c>
      <c r="AC147" t="s">
        <v>119</v>
      </c>
      <c r="AD147" t="s">
        <v>113</v>
      </c>
      <c r="AE147" t="s">
        <v>120</v>
      </c>
      <c r="AG147" t="s">
        <v>121</v>
      </c>
    </row>
    <row r="148" spans="1:33" x14ac:dyDescent="0.25">
      <c r="A148" t="str">
        <f>"1548444896"</f>
        <v>1548444896</v>
      </c>
      <c r="B148" t="str">
        <f>"03923773"</f>
        <v>03923773</v>
      </c>
      <c r="C148" t="s">
        <v>1099</v>
      </c>
      <c r="D148" t="s">
        <v>1100</v>
      </c>
      <c r="E148" t="s">
        <v>1101</v>
      </c>
      <c r="G148" t="s">
        <v>1099</v>
      </c>
      <c r="H148" t="s">
        <v>1102</v>
      </c>
      <c r="J148" t="s">
        <v>1103</v>
      </c>
      <c r="L148" t="s">
        <v>142</v>
      </c>
      <c r="M148" t="s">
        <v>113</v>
      </c>
      <c r="R148" t="s">
        <v>1104</v>
      </c>
      <c r="W148" t="s">
        <v>1101</v>
      </c>
      <c r="X148" t="s">
        <v>216</v>
      </c>
      <c r="Y148" t="s">
        <v>116</v>
      </c>
      <c r="Z148" t="s">
        <v>117</v>
      </c>
      <c r="AA148" t="str">
        <f>"14222-2006"</f>
        <v>14222-2006</v>
      </c>
      <c r="AB148" t="s">
        <v>118</v>
      </c>
      <c r="AC148" t="s">
        <v>119</v>
      </c>
      <c r="AD148" t="s">
        <v>113</v>
      </c>
      <c r="AE148" t="s">
        <v>120</v>
      </c>
      <c r="AG148" t="s">
        <v>121</v>
      </c>
    </row>
    <row r="149" spans="1:33" x14ac:dyDescent="0.25">
      <c r="A149" t="str">
        <f>"1548532849"</f>
        <v>1548532849</v>
      </c>
      <c r="B149" t="str">
        <f>"03767911"</f>
        <v>03767911</v>
      </c>
      <c r="C149" t="s">
        <v>1105</v>
      </c>
      <c r="D149" t="s">
        <v>1106</v>
      </c>
      <c r="E149" t="s">
        <v>1107</v>
      </c>
      <c r="G149" t="s">
        <v>1108</v>
      </c>
      <c r="H149" t="s">
        <v>1109</v>
      </c>
      <c r="J149" t="s">
        <v>1110</v>
      </c>
      <c r="L149" t="s">
        <v>112</v>
      </c>
      <c r="M149" t="s">
        <v>113</v>
      </c>
      <c r="R149" t="s">
        <v>1111</v>
      </c>
      <c r="W149" t="s">
        <v>1107</v>
      </c>
      <c r="X149" t="s">
        <v>1112</v>
      </c>
      <c r="Y149" t="s">
        <v>958</v>
      </c>
      <c r="Z149" t="s">
        <v>117</v>
      </c>
      <c r="AA149" t="str">
        <f>"14226-4081"</f>
        <v>14226-4081</v>
      </c>
      <c r="AB149" t="s">
        <v>118</v>
      </c>
      <c r="AC149" t="s">
        <v>119</v>
      </c>
      <c r="AD149" t="s">
        <v>113</v>
      </c>
      <c r="AE149" t="s">
        <v>120</v>
      </c>
      <c r="AG149" t="s">
        <v>121</v>
      </c>
    </row>
    <row r="150" spans="1:33" x14ac:dyDescent="0.25">
      <c r="A150" t="str">
        <f>"1659701050"</f>
        <v>1659701050</v>
      </c>
      <c r="C150" t="s">
        <v>1113</v>
      </c>
      <c r="G150" t="s">
        <v>1114</v>
      </c>
      <c r="H150" t="s">
        <v>1115</v>
      </c>
      <c r="J150" t="s">
        <v>438</v>
      </c>
      <c r="K150" t="s">
        <v>303</v>
      </c>
      <c r="L150" t="s">
        <v>112</v>
      </c>
      <c r="M150" t="s">
        <v>113</v>
      </c>
      <c r="R150" t="s">
        <v>1116</v>
      </c>
      <c r="S150" t="s">
        <v>1117</v>
      </c>
      <c r="T150" t="s">
        <v>318</v>
      </c>
      <c r="U150" t="s">
        <v>117</v>
      </c>
      <c r="V150" t="str">
        <f>"142254965"</f>
        <v>142254965</v>
      </c>
      <c r="AC150" t="s">
        <v>119</v>
      </c>
      <c r="AD150" t="s">
        <v>113</v>
      </c>
      <c r="AE150" t="s">
        <v>306</v>
      </c>
      <c r="AG150" t="s">
        <v>121</v>
      </c>
    </row>
    <row r="151" spans="1:33" x14ac:dyDescent="0.25">
      <c r="A151" t="str">
        <f>"1659702520"</f>
        <v>1659702520</v>
      </c>
      <c r="C151" t="s">
        <v>1118</v>
      </c>
      <c r="G151" t="s">
        <v>1119</v>
      </c>
      <c r="H151" t="s">
        <v>1120</v>
      </c>
      <c r="J151" t="s">
        <v>1121</v>
      </c>
      <c r="K151" t="s">
        <v>303</v>
      </c>
      <c r="L151" t="s">
        <v>112</v>
      </c>
      <c r="M151" t="s">
        <v>113</v>
      </c>
      <c r="R151" t="s">
        <v>1122</v>
      </c>
      <c r="S151" t="s">
        <v>1123</v>
      </c>
      <c r="T151" t="s">
        <v>116</v>
      </c>
      <c r="U151" t="s">
        <v>117</v>
      </c>
      <c r="V151" t="str">
        <f>"142162337"</f>
        <v>142162337</v>
      </c>
      <c r="AC151" t="s">
        <v>119</v>
      </c>
      <c r="AD151" t="s">
        <v>113</v>
      </c>
      <c r="AE151" t="s">
        <v>306</v>
      </c>
      <c r="AG151" t="s">
        <v>121</v>
      </c>
    </row>
    <row r="152" spans="1:33" x14ac:dyDescent="0.25">
      <c r="A152" t="str">
        <f>"1760660872"</f>
        <v>1760660872</v>
      </c>
      <c r="B152" t="str">
        <f>"04202888"</f>
        <v>04202888</v>
      </c>
      <c r="C152" t="s">
        <v>1124</v>
      </c>
      <c r="D152" t="s">
        <v>1125</v>
      </c>
      <c r="E152" t="s">
        <v>1126</v>
      </c>
      <c r="G152" t="s">
        <v>1127</v>
      </c>
      <c r="J152" t="s">
        <v>352</v>
      </c>
      <c r="L152" t="s">
        <v>112</v>
      </c>
      <c r="M152" t="s">
        <v>113</v>
      </c>
      <c r="R152" t="s">
        <v>1128</v>
      </c>
      <c r="W152" t="s">
        <v>1126</v>
      </c>
      <c r="X152" t="s">
        <v>1129</v>
      </c>
      <c r="Y152" t="s">
        <v>116</v>
      </c>
      <c r="Z152" t="s">
        <v>117</v>
      </c>
      <c r="AA152" t="str">
        <f>"14207-2341"</f>
        <v>14207-2341</v>
      </c>
      <c r="AB152" t="s">
        <v>621</v>
      </c>
      <c r="AC152" t="s">
        <v>119</v>
      </c>
      <c r="AD152" t="s">
        <v>113</v>
      </c>
      <c r="AE152" t="s">
        <v>120</v>
      </c>
      <c r="AG152" t="s">
        <v>121</v>
      </c>
    </row>
    <row r="153" spans="1:33" x14ac:dyDescent="0.25">
      <c r="A153" t="str">
        <f>"1306119078"</f>
        <v>1306119078</v>
      </c>
      <c r="B153" t="str">
        <f>"01243512"</f>
        <v>01243512</v>
      </c>
      <c r="C153" t="s">
        <v>13158</v>
      </c>
      <c r="D153" t="s">
        <v>13159</v>
      </c>
      <c r="E153" t="s">
        <v>13160</v>
      </c>
      <c r="G153" t="s">
        <v>13161</v>
      </c>
      <c r="H153" t="s">
        <v>2773</v>
      </c>
      <c r="J153" t="s">
        <v>13162</v>
      </c>
      <c r="L153" t="s">
        <v>280</v>
      </c>
      <c r="M153" t="s">
        <v>199</v>
      </c>
      <c r="R153" t="s">
        <v>13158</v>
      </c>
      <c r="W153" t="s">
        <v>13160</v>
      </c>
      <c r="X153" t="s">
        <v>5236</v>
      </c>
      <c r="Y153" t="s">
        <v>318</v>
      </c>
      <c r="Z153" t="s">
        <v>117</v>
      </c>
      <c r="AA153" t="str">
        <f>"14227-1528"</f>
        <v>14227-1528</v>
      </c>
      <c r="AB153" t="s">
        <v>282</v>
      </c>
      <c r="AC153" t="s">
        <v>119</v>
      </c>
      <c r="AD153" t="s">
        <v>113</v>
      </c>
      <c r="AE153" t="s">
        <v>120</v>
      </c>
      <c r="AG153" t="s">
        <v>121</v>
      </c>
    </row>
    <row r="154" spans="1:33" x14ac:dyDescent="0.25">
      <c r="A154" t="str">
        <f>"1760747521"</f>
        <v>1760747521</v>
      </c>
      <c r="B154" t="str">
        <f>"03760230"</f>
        <v>03760230</v>
      </c>
      <c r="C154" t="s">
        <v>1137</v>
      </c>
      <c r="D154" t="s">
        <v>1138</v>
      </c>
      <c r="E154" t="s">
        <v>1139</v>
      </c>
      <c r="G154" t="s">
        <v>1140</v>
      </c>
      <c r="H154" t="s">
        <v>1141</v>
      </c>
      <c r="J154" t="s">
        <v>1142</v>
      </c>
      <c r="L154" t="s">
        <v>1143</v>
      </c>
      <c r="M154" t="s">
        <v>199</v>
      </c>
      <c r="R154" t="s">
        <v>1144</v>
      </c>
      <c r="W154" t="s">
        <v>1139</v>
      </c>
      <c r="X154" t="s">
        <v>1145</v>
      </c>
      <c r="Y154" t="s">
        <v>541</v>
      </c>
      <c r="Z154" t="s">
        <v>117</v>
      </c>
      <c r="AA154" t="str">
        <f>"14048-2137"</f>
        <v>14048-2137</v>
      </c>
      <c r="AB154" t="s">
        <v>1146</v>
      </c>
      <c r="AC154" t="s">
        <v>119</v>
      </c>
      <c r="AD154" t="s">
        <v>113</v>
      </c>
      <c r="AE154" t="s">
        <v>120</v>
      </c>
      <c r="AG154" t="s">
        <v>121</v>
      </c>
    </row>
    <row r="155" spans="1:33" x14ac:dyDescent="0.25">
      <c r="A155" t="str">
        <f>"1760765150"</f>
        <v>1760765150</v>
      </c>
      <c r="C155" t="s">
        <v>1147</v>
      </c>
      <c r="G155" t="s">
        <v>1148</v>
      </c>
      <c r="H155" t="s">
        <v>471</v>
      </c>
      <c r="J155" t="s">
        <v>1149</v>
      </c>
      <c r="K155" t="s">
        <v>303</v>
      </c>
      <c r="L155" t="s">
        <v>112</v>
      </c>
      <c r="M155" t="s">
        <v>113</v>
      </c>
      <c r="R155" t="s">
        <v>1150</v>
      </c>
      <c r="S155" t="s">
        <v>1151</v>
      </c>
      <c r="T155" t="s">
        <v>318</v>
      </c>
      <c r="U155" t="s">
        <v>117</v>
      </c>
      <c r="V155" t="str">
        <f>"142251944"</f>
        <v>142251944</v>
      </c>
      <c r="AC155" t="s">
        <v>119</v>
      </c>
      <c r="AD155" t="s">
        <v>113</v>
      </c>
      <c r="AE155" t="s">
        <v>306</v>
      </c>
      <c r="AG155" t="s">
        <v>121</v>
      </c>
    </row>
    <row r="156" spans="1:33" x14ac:dyDescent="0.25">
      <c r="A156" t="str">
        <f>"1760883540"</f>
        <v>1760883540</v>
      </c>
      <c r="C156" t="s">
        <v>1152</v>
      </c>
      <c r="G156" t="s">
        <v>1153</v>
      </c>
      <c r="H156" t="s">
        <v>590</v>
      </c>
      <c r="J156" t="s">
        <v>1154</v>
      </c>
      <c r="K156" t="s">
        <v>303</v>
      </c>
      <c r="L156" t="s">
        <v>229</v>
      </c>
      <c r="M156" t="s">
        <v>113</v>
      </c>
      <c r="R156" t="s">
        <v>1155</v>
      </c>
      <c r="S156" t="s">
        <v>651</v>
      </c>
      <c r="T156" t="s">
        <v>116</v>
      </c>
      <c r="U156" t="s">
        <v>117</v>
      </c>
      <c r="V156" t="str">
        <f>"142091912"</f>
        <v>142091912</v>
      </c>
      <c r="AC156" t="s">
        <v>119</v>
      </c>
      <c r="AD156" t="s">
        <v>113</v>
      </c>
      <c r="AE156" t="s">
        <v>306</v>
      </c>
      <c r="AG156" t="s">
        <v>121</v>
      </c>
    </row>
    <row r="157" spans="1:33" x14ac:dyDescent="0.25">
      <c r="A157" t="str">
        <f>"1770500597"</f>
        <v>1770500597</v>
      </c>
      <c r="C157" t="s">
        <v>1156</v>
      </c>
      <c r="G157" t="s">
        <v>1156</v>
      </c>
      <c r="H157" t="s">
        <v>1157</v>
      </c>
      <c r="J157" t="s">
        <v>1158</v>
      </c>
      <c r="K157" t="s">
        <v>303</v>
      </c>
      <c r="L157" t="s">
        <v>112</v>
      </c>
      <c r="M157" t="s">
        <v>113</v>
      </c>
      <c r="R157" t="s">
        <v>1159</v>
      </c>
      <c r="S157" t="s">
        <v>176</v>
      </c>
      <c r="T157" t="s">
        <v>116</v>
      </c>
      <c r="U157" t="s">
        <v>117</v>
      </c>
      <c r="V157" t="str">
        <f>"142031126"</f>
        <v>142031126</v>
      </c>
      <c r="AC157" t="s">
        <v>119</v>
      </c>
      <c r="AD157" t="s">
        <v>113</v>
      </c>
      <c r="AE157" t="s">
        <v>306</v>
      </c>
      <c r="AG157" t="s">
        <v>121</v>
      </c>
    </row>
    <row r="158" spans="1:33" x14ac:dyDescent="0.25">
      <c r="A158" t="str">
        <f>"1770540007"</f>
        <v>1770540007</v>
      </c>
      <c r="B158" t="str">
        <f>"02342872"</f>
        <v>02342872</v>
      </c>
      <c r="C158" t="s">
        <v>1160</v>
      </c>
      <c r="D158" t="s">
        <v>1161</v>
      </c>
      <c r="E158" t="s">
        <v>1162</v>
      </c>
      <c r="G158" t="s">
        <v>1163</v>
      </c>
      <c r="H158" t="s">
        <v>1164</v>
      </c>
      <c r="J158" t="s">
        <v>1165</v>
      </c>
      <c r="L158" t="s">
        <v>229</v>
      </c>
      <c r="M158" t="s">
        <v>113</v>
      </c>
      <c r="R158" t="s">
        <v>1162</v>
      </c>
      <c r="W158" t="s">
        <v>1166</v>
      </c>
      <c r="X158" t="s">
        <v>1167</v>
      </c>
      <c r="Y158" t="s">
        <v>1168</v>
      </c>
      <c r="Z158" t="s">
        <v>117</v>
      </c>
      <c r="AA158" t="str">
        <f>"14004-9715"</f>
        <v>14004-9715</v>
      </c>
      <c r="AB158" t="s">
        <v>118</v>
      </c>
      <c r="AC158" t="s">
        <v>119</v>
      </c>
      <c r="AD158" t="s">
        <v>113</v>
      </c>
      <c r="AE158" t="s">
        <v>120</v>
      </c>
      <c r="AG158" t="s">
        <v>121</v>
      </c>
    </row>
    <row r="159" spans="1:33" x14ac:dyDescent="0.25">
      <c r="A159" t="str">
        <f>"1770553141"</f>
        <v>1770553141</v>
      </c>
      <c r="B159" t="str">
        <f>"01247667"</f>
        <v>01247667</v>
      </c>
      <c r="C159" t="s">
        <v>1169</v>
      </c>
      <c r="D159" t="s">
        <v>1170</v>
      </c>
      <c r="E159" t="s">
        <v>1171</v>
      </c>
      <c r="G159" t="s">
        <v>1172</v>
      </c>
      <c r="H159" t="s">
        <v>1173</v>
      </c>
      <c r="J159" t="s">
        <v>1174</v>
      </c>
      <c r="L159" t="s">
        <v>142</v>
      </c>
      <c r="M159" t="s">
        <v>113</v>
      </c>
      <c r="R159" t="s">
        <v>1175</v>
      </c>
      <c r="W159" t="s">
        <v>1171</v>
      </c>
      <c r="X159" t="s">
        <v>1176</v>
      </c>
      <c r="Y159" t="s">
        <v>116</v>
      </c>
      <c r="Z159" t="s">
        <v>117</v>
      </c>
      <c r="AA159" t="str">
        <f>"14209-1194"</f>
        <v>14209-1194</v>
      </c>
      <c r="AB159" t="s">
        <v>118</v>
      </c>
      <c r="AC159" t="s">
        <v>119</v>
      </c>
      <c r="AD159" t="s">
        <v>113</v>
      </c>
      <c r="AE159" t="s">
        <v>120</v>
      </c>
      <c r="AG159" t="s">
        <v>121</v>
      </c>
    </row>
    <row r="160" spans="1:33" x14ac:dyDescent="0.25">
      <c r="A160" t="str">
        <f>"1770553638"</f>
        <v>1770553638</v>
      </c>
      <c r="B160" t="str">
        <f>"01581479"</f>
        <v>01581479</v>
      </c>
      <c r="C160" t="s">
        <v>1177</v>
      </c>
      <c r="D160" t="s">
        <v>1178</v>
      </c>
      <c r="E160" t="s">
        <v>1179</v>
      </c>
      <c r="G160" t="s">
        <v>1177</v>
      </c>
      <c r="H160" t="s">
        <v>1180</v>
      </c>
      <c r="J160" t="s">
        <v>1181</v>
      </c>
      <c r="L160" t="s">
        <v>142</v>
      </c>
      <c r="M160" t="s">
        <v>113</v>
      </c>
      <c r="R160" t="s">
        <v>1182</v>
      </c>
      <c r="W160" t="s">
        <v>1179</v>
      </c>
      <c r="X160" t="s">
        <v>253</v>
      </c>
      <c r="Y160" t="s">
        <v>116</v>
      </c>
      <c r="Z160" t="s">
        <v>117</v>
      </c>
      <c r="AA160" t="str">
        <f>"14215-3021"</f>
        <v>14215-3021</v>
      </c>
      <c r="AB160" t="s">
        <v>118</v>
      </c>
      <c r="AC160" t="s">
        <v>119</v>
      </c>
      <c r="AD160" t="s">
        <v>113</v>
      </c>
      <c r="AE160" t="s">
        <v>120</v>
      </c>
      <c r="AG160" t="s">
        <v>121</v>
      </c>
    </row>
    <row r="161" spans="1:33" x14ac:dyDescent="0.25">
      <c r="A161" t="str">
        <f>"1770571358"</f>
        <v>1770571358</v>
      </c>
      <c r="B161" t="str">
        <f>"01065714"</f>
        <v>01065714</v>
      </c>
      <c r="C161" t="s">
        <v>1183</v>
      </c>
      <c r="D161" t="s">
        <v>1184</v>
      </c>
      <c r="E161" t="s">
        <v>1185</v>
      </c>
      <c r="G161" t="s">
        <v>1183</v>
      </c>
      <c r="H161" t="s">
        <v>205</v>
      </c>
      <c r="J161" t="s">
        <v>1186</v>
      </c>
      <c r="L161" t="s">
        <v>142</v>
      </c>
      <c r="M161" t="s">
        <v>113</v>
      </c>
      <c r="R161" t="s">
        <v>1187</v>
      </c>
      <c r="W161" t="s">
        <v>1185</v>
      </c>
      <c r="X161" t="s">
        <v>115</v>
      </c>
      <c r="Y161" t="s">
        <v>116</v>
      </c>
      <c r="Z161" t="s">
        <v>117</v>
      </c>
      <c r="AA161" t="str">
        <f>"14209-2087"</f>
        <v>14209-2087</v>
      </c>
      <c r="AB161" t="s">
        <v>118</v>
      </c>
      <c r="AC161" t="s">
        <v>119</v>
      </c>
      <c r="AD161" t="s">
        <v>113</v>
      </c>
      <c r="AE161" t="s">
        <v>120</v>
      </c>
      <c r="AG161" t="s">
        <v>121</v>
      </c>
    </row>
    <row r="162" spans="1:33" x14ac:dyDescent="0.25">
      <c r="A162" t="str">
        <f>"1770574808"</f>
        <v>1770574808</v>
      </c>
      <c r="B162" t="str">
        <f>"01654526"</f>
        <v>01654526</v>
      </c>
      <c r="C162" t="s">
        <v>1188</v>
      </c>
      <c r="D162" t="s">
        <v>1189</v>
      </c>
      <c r="E162" t="s">
        <v>1190</v>
      </c>
      <c r="G162" t="s">
        <v>1188</v>
      </c>
      <c r="H162" t="s">
        <v>707</v>
      </c>
      <c r="J162" t="s">
        <v>1191</v>
      </c>
      <c r="L162" t="s">
        <v>142</v>
      </c>
      <c r="M162" t="s">
        <v>113</v>
      </c>
      <c r="R162" t="s">
        <v>1192</v>
      </c>
      <c r="W162" t="s">
        <v>1190</v>
      </c>
      <c r="X162" t="s">
        <v>709</v>
      </c>
      <c r="Y162" t="s">
        <v>116</v>
      </c>
      <c r="Z162" t="s">
        <v>117</v>
      </c>
      <c r="AA162" t="str">
        <f>"14263-0001"</f>
        <v>14263-0001</v>
      </c>
      <c r="AB162" t="s">
        <v>118</v>
      </c>
      <c r="AC162" t="s">
        <v>119</v>
      </c>
      <c r="AD162" t="s">
        <v>113</v>
      </c>
      <c r="AE162" t="s">
        <v>120</v>
      </c>
      <c r="AG162" t="s">
        <v>121</v>
      </c>
    </row>
    <row r="163" spans="1:33" x14ac:dyDescent="0.25">
      <c r="A163" t="str">
        <f>"1770577330"</f>
        <v>1770577330</v>
      </c>
      <c r="B163" t="str">
        <f>"02591862"</f>
        <v>02591862</v>
      </c>
      <c r="C163" t="s">
        <v>1193</v>
      </c>
      <c r="D163" t="s">
        <v>1194</v>
      </c>
      <c r="E163" t="s">
        <v>1195</v>
      </c>
      <c r="G163" t="s">
        <v>1193</v>
      </c>
      <c r="H163" t="s">
        <v>1196</v>
      </c>
      <c r="J163" t="s">
        <v>1197</v>
      </c>
      <c r="L163" t="s">
        <v>112</v>
      </c>
      <c r="M163" t="s">
        <v>113</v>
      </c>
      <c r="R163" t="s">
        <v>1198</v>
      </c>
      <c r="W163" t="s">
        <v>1195</v>
      </c>
      <c r="X163" t="s">
        <v>1199</v>
      </c>
      <c r="Y163" t="s">
        <v>232</v>
      </c>
      <c r="Z163" t="s">
        <v>117</v>
      </c>
      <c r="AA163" t="str">
        <f>"10029-6501"</f>
        <v>10029-6501</v>
      </c>
      <c r="AB163" t="s">
        <v>118</v>
      </c>
      <c r="AC163" t="s">
        <v>119</v>
      </c>
      <c r="AD163" t="s">
        <v>113</v>
      </c>
      <c r="AE163" t="s">
        <v>120</v>
      </c>
      <c r="AG163" t="s">
        <v>121</v>
      </c>
    </row>
    <row r="164" spans="1:33" x14ac:dyDescent="0.25">
      <c r="A164" t="str">
        <f>"1770581993"</f>
        <v>1770581993</v>
      </c>
      <c r="B164" t="str">
        <f>"02147771"</f>
        <v>02147771</v>
      </c>
      <c r="C164" t="s">
        <v>1200</v>
      </c>
      <c r="D164" t="s">
        <v>1201</v>
      </c>
      <c r="E164" t="s">
        <v>1202</v>
      </c>
      <c r="G164" t="s">
        <v>1203</v>
      </c>
      <c r="H164" t="s">
        <v>1204</v>
      </c>
      <c r="J164" t="s">
        <v>1205</v>
      </c>
      <c r="L164" t="s">
        <v>150</v>
      </c>
      <c r="M164" t="s">
        <v>113</v>
      </c>
      <c r="R164" t="s">
        <v>1206</v>
      </c>
      <c r="W164" t="s">
        <v>1202</v>
      </c>
      <c r="X164" t="s">
        <v>1207</v>
      </c>
      <c r="Y164" t="s">
        <v>153</v>
      </c>
      <c r="Z164" t="s">
        <v>117</v>
      </c>
      <c r="AA164" t="str">
        <f>"14304-5705"</f>
        <v>14304-5705</v>
      </c>
      <c r="AB164" t="s">
        <v>118</v>
      </c>
      <c r="AC164" t="s">
        <v>119</v>
      </c>
      <c r="AD164" t="s">
        <v>113</v>
      </c>
      <c r="AE164" t="s">
        <v>120</v>
      </c>
      <c r="AG164" t="s">
        <v>121</v>
      </c>
    </row>
    <row r="165" spans="1:33" x14ac:dyDescent="0.25">
      <c r="A165" t="str">
        <f>"1770586372"</f>
        <v>1770586372</v>
      </c>
      <c r="B165" t="str">
        <f>"01182425"</f>
        <v>01182425</v>
      </c>
      <c r="C165" t="s">
        <v>1208</v>
      </c>
      <c r="D165" t="s">
        <v>1209</v>
      </c>
      <c r="E165" t="s">
        <v>1210</v>
      </c>
      <c r="G165" t="s">
        <v>330</v>
      </c>
      <c r="H165" t="s">
        <v>1211</v>
      </c>
      <c r="J165" t="s">
        <v>332</v>
      </c>
      <c r="L165" t="s">
        <v>142</v>
      </c>
      <c r="M165" t="s">
        <v>113</v>
      </c>
      <c r="R165" t="s">
        <v>1212</v>
      </c>
      <c r="W165" t="s">
        <v>1210</v>
      </c>
      <c r="X165" t="s">
        <v>253</v>
      </c>
      <c r="Y165" t="s">
        <v>116</v>
      </c>
      <c r="Z165" t="s">
        <v>117</v>
      </c>
      <c r="AA165" t="str">
        <f>"14215-3021"</f>
        <v>14215-3021</v>
      </c>
      <c r="AB165" t="s">
        <v>118</v>
      </c>
      <c r="AC165" t="s">
        <v>119</v>
      </c>
      <c r="AD165" t="s">
        <v>113</v>
      </c>
      <c r="AE165" t="s">
        <v>120</v>
      </c>
      <c r="AG165" t="s">
        <v>121</v>
      </c>
    </row>
    <row r="166" spans="1:33" x14ac:dyDescent="0.25">
      <c r="A166" t="str">
        <f>"1770636599"</f>
        <v>1770636599</v>
      </c>
      <c r="B166" t="str">
        <f>"04031325"</f>
        <v>04031325</v>
      </c>
      <c r="C166" t="s">
        <v>1213</v>
      </c>
      <c r="D166" t="s">
        <v>1214</v>
      </c>
      <c r="E166" t="s">
        <v>1215</v>
      </c>
      <c r="G166" t="s">
        <v>1216</v>
      </c>
      <c r="H166" t="s">
        <v>437</v>
      </c>
      <c r="J166" t="s">
        <v>438</v>
      </c>
      <c r="L166" t="s">
        <v>112</v>
      </c>
      <c r="M166" t="s">
        <v>113</v>
      </c>
      <c r="R166" t="s">
        <v>1217</v>
      </c>
      <c r="W166" t="s">
        <v>1215</v>
      </c>
      <c r="X166" t="s">
        <v>1218</v>
      </c>
      <c r="Y166" t="s">
        <v>318</v>
      </c>
      <c r="Z166" t="s">
        <v>117</v>
      </c>
      <c r="AA166" t="str">
        <f>"14225-4985"</f>
        <v>14225-4985</v>
      </c>
      <c r="AB166" t="s">
        <v>621</v>
      </c>
      <c r="AC166" t="s">
        <v>119</v>
      </c>
      <c r="AD166" t="s">
        <v>113</v>
      </c>
      <c r="AE166" t="s">
        <v>120</v>
      </c>
      <c r="AG166" t="s">
        <v>121</v>
      </c>
    </row>
    <row r="167" spans="1:33" x14ac:dyDescent="0.25">
      <c r="A167" t="str">
        <f>"1770644411"</f>
        <v>1770644411</v>
      </c>
      <c r="C167" t="s">
        <v>1219</v>
      </c>
      <c r="G167" t="s">
        <v>1220</v>
      </c>
      <c r="H167" t="s">
        <v>590</v>
      </c>
      <c r="J167" t="s">
        <v>1221</v>
      </c>
      <c r="K167" t="s">
        <v>303</v>
      </c>
      <c r="L167" t="s">
        <v>229</v>
      </c>
      <c r="M167" t="s">
        <v>113</v>
      </c>
      <c r="R167" t="s">
        <v>1222</v>
      </c>
      <c r="S167" t="s">
        <v>1223</v>
      </c>
      <c r="T167" t="s">
        <v>116</v>
      </c>
      <c r="U167" t="s">
        <v>117</v>
      </c>
      <c r="V167" t="str">
        <f>"142091912"</f>
        <v>142091912</v>
      </c>
      <c r="AC167" t="s">
        <v>119</v>
      </c>
      <c r="AD167" t="s">
        <v>113</v>
      </c>
      <c r="AE167" t="s">
        <v>306</v>
      </c>
      <c r="AG167" t="s">
        <v>121</v>
      </c>
    </row>
    <row r="168" spans="1:33" x14ac:dyDescent="0.25">
      <c r="A168" t="str">
        <f>"1770644528"</f>
        <v>1770644528</v>
      </c>
      <c r="B168" t="str">
        <f>"01242942"</f>
        <v>01242942</v>
      </c>
      <c r="C168" t="s">
        <v>1224</v>
      </c>
      <c r="D168" t="s">
        <v>1225</v>
      </c>
      <c r="E168" t="s">
        <v>1226</v>
      </c>
      <c r="G168" t="s">
        <v>1224</v>
      </c>
      <c r="H168" t="s">
        <v>1227</v>
      </c>
      <c r="J168" t="s">
        <v>1228</v>
      </c>
      <c r="L168" t="s">
        <v>112</v>
      </c>
      <c r="M168" t="s">
        <v>113</v>
      </c>
      <c r="R168" t="s">
        <v>1229</v>
      </c>
      <c r="W168" t="s">
        <v>1226</v>
      </c>
      <c r="X168" t="s">
        <v>689</v>
      </c>
      <c r="Y168" t="s">
        <v>116</v>
      </c>
      <c r="Z168" t="s">
        <v>117</v>
      </c>
      <c r="AA168" t="str">
        <f>"14221-3706"</f>
        <v>14221-3706</v>
      </c>
      <c r="AB168" t="s">
        <v>118</v>
      </c>
      <c r="AC168" t="s">
        <v>119</v>
      </c>
      <c r="AD168" t="s">
        <v>113</v>
      </c>
      <c r="AE168" t="s">
        <v>120</v>
      </c>
      <c r="AG168" t="s">
        <v>121</v>
      </c>
    </row>
    <row r="169" spans="1:33" x14ac:dyDescent="0.25">
      <c r="A169" t="str">
        <f>"1770645012"</f>
        <v>1770645012</v>
      </c>
      <c r="B169" t="str">
        <f>"01971897"</f>
        <v>01971897</v>
      </c>
      <c r="C169" t="s">
        <v>1230</v>
      </c>
      <c r="D169" t="s">
        <v>1231</v>
      </c>
      <c r="E169" t="s">
        <v>1232</v>
      </c>
      <c r="G169" t="s">
        <v>1230</v>
      </c>
      <c r="H169" t="s">
        <v>1233</v>
      </c>
      <c r="J169" t="s">
        <v>1234</v>
      </c>
      <c r="L169" t="s">
        <v>142</v>
      </c>
      <c r="M169" t="s">
        <v>113</v>
      </c>
      <c r="R169" t="s">
        <v>1235</v>
      </c>
      <c r="W169" t="s">
        <v>1232</v>
      </c>
      <c r="X169" t="s">
        <v>784</v>
      </c>
      <c r="Y169" t="s">
        <v>116</v>
      </c>
      <c r="Z169" t="s">
        <v>117</v>
      </c>
      <c r="AA169" t="str">
        <f>"14209-1194"</f>
        <v>14209-1194</v>
      </c>
      <c r="AB169" t="s">
        <v>118</v>
      </c>
      <c r="AC169" t="s">
        <v>119</v>
      </c>
      <c r="AD169" t="s">
        <v>113</v>
      </c>
      <c r="AE169" t="s">
        <v>120</v>
      </c>
      <c r="AG169" t="s">
        <v>121</v>
      </c>
    </row>
    <row r="170" spans="1:33" x14ac:dyDescent="0.25">
      <c r="A170" t="str">
        <f>"1770648222"</f>
        <v>1770648222</v>
      </c>
      <c r="B170" t="str">
        <f>"04031307"</f>
        <v>04031307</v>
      </c>
      <c r="C170" t="s">
        <v>1236</v>
      </c>
      <c r="D170" t="s">
        <v>1237</v>
      </c>
      <c r="E170" t="s">
        <v>1238</v>
      </c>
      <c r="G170" t="s">
        <v>1239</v>
      </c>
      <c r="H170" t="s">
        <v>437</v>
      </c>
      <c r="J170" t="s">
        <v>438</v>
      </c>
      <c r="L170" t="s">
        <v>112</v>
      </c>
      <c r="M170" t="s">
        <v>113</v>
      </c>
      <c r="R170" t="s">
        <v>1240</v>
      </c>
      <c r="W170" t="s">
        <v>1238</v>
      </c>
      <c r="X170" t="s">
        <v>1218</v>
      </c>
      <c r="Y170" t="s">
        <v>318</v>
      </c>
      <c r="Z170" t="s">
        <v>117</v>
      </c>
      <c r="AA170" t="str">
        <f>"14225-4985"</f>
        <v>14225-4985</v>
      </c>
      <c r="AB170" t="s">
        <v>621</v>
      </c>
      <c r="AC170" t="s">
        <v>119</v>
      </c>
      <c r="AD170" t="s">
        <v>113</v>
      </c>
      <c r="AE170" t="s">
        <v>120</v>
      </c>
      <c r="AG170" t="s">
        <v>121</v>
      </c>
    </row>
    <row r="171" spans="1:33" x14ac:dyDescent="0.25">
      <c r="A171" t="str">
        <f>"1770661787"</f>
        <v>1770661787</v>
      </c>
      <c r="B171" t="str">
        <f>"01016751"</f>
        <v>01016751</v>
      </c>
      <c r="C171" t="s">
        <v>1241</v>
      </c>
      <c r="D171" t="s">
        <v>1242</v>
      </c>
      <c r="E171" t="s">
        <v>1243</v>
      </c>
      <c r="F171">
        <v>161089007</v>
      </c>
      <c r="G171" t="s">
        <v>1244</v>
      </c>
      <c r="H171" t="s">
        <v>1245</v>
      </c>
      <c r="J171" t="s">
        <v>1246</v>
      </c>
      <c r="L171" t="s">
        <v>69</v>
      </c>
      <c r="M171" t="s">
        <v>113</v>
      </c>
      <c r="R171" t="s">
        <v>1241</v>
      </c>
      <c r="W171" t="s">
        <v>1243</v>
      </c>
      <c r="X171" t="s">
        <v>1247</v>
      </c>
      <c r="Y171" t="s">
        <v>1248</v>
      </c>
      <c r="Z171" t="s">
        <v>117</v>
      </c>
      <c r="AA171" t="str">
        <f>"14870-9018"</f>
        <v>14870-9018</v>
      </c>
      <c r="AB171" t="s">
        <v>282</v>
      </c>
      <c r="AC171" t="s">
        <v>119</v>
      </c>
      <c r="AD171" t="s">
        <v>113</v>
      </c>
      <c r="AE171" t="s">
        <v>120</v>
      </c>
      <c r="AG171" t="s">
        <v>121</v>
      </c>
    </row>
    <row r="172" spans="1:33" x14ac:dyDescent="0.25">
      <c r="A172" t="str">
        <f>"1417939943"</f>
        <v>1417939943</v>
      </c>
      <c r="B172" t="str">
        <f>"01274304"</f>
        <v>01274304</v>
      </c>
      <c r="C172" t="s">
        <v>1249</v>
      </c>
      <c r="D172" t="s">
        <v>1250</v>
      </c>
      <c r="E172" t="s">
        <v>1251</v>
      </c>
      <c r="G172" t="s">
        <v>1252</v>
      </c>
      <c r="H172" t="s">
        <v>1253</v>
      </c>
      <c r="J172" t="s">
        <v>1254</v>
      </c>
      <c r="L172" t="s">
        <v>142</v>
      </c>
      <c r="M172" t="s">
        <v>113</v>
      </c>
      <c r="R172" t="s">
        <v>1255</v>
      </c>
      <c r="W172" t="s">
        <v>1251</v>
      </c>
      <c r="X172" t="s">
        <v>1256</v>
      </c>
      <c r="Y172" t="s">
        <v>1257</v>
      </c>
      <c r="Z172" t="s">
        <v>117</v>
      </c>
      <c r="AA172" t="str">
        <f>"14141-1443"</f>
        <v>14141-1443</v>
      </c>
      <c r="AB172" t="s">
        <v>118</v>
      </c>
      <c r="AC172" t="s">
        <v>119</v>
      </c>
      <c r="AD172" t="s">
        <v>113</v>
      </c>
      <c r="AE172" t="s">
        <v>120</v>
      </c>
      <c r="AG172" t="s">
        <v>121</v>
      </c>
    </row>
    <row r="173" spans="1:33" x14ac:dyDescent="0.25">
      <c r="A173" t="str">
        <f>"1417950072"</f>
        <v>1417950072</v>
      </c>
      <c r="B173" t="str">
        <f>"01383408"</f>
        <v>01383408</v>
      </c>
      <c r="C173" t="s">
        <v>1258</v>
      </c>
      <c r="D173" t="s">
        <v>1259</v>
      </c>
      <c r="E173" t="s">
        <v>1260</v>
      </c>
      <c r="G173" t="s">
        <v>1258</v>
      </c>
      <c r="H173" t="s">
        <v>1261</v>
      </c>
      <c r="L173" t="s">
        <v>229</v>
      </c>
      <c r="M173" t="s">
        <v>113</v>
      </c>
      <c r="R173" t="s">
        <v>1258</v>
      </c>
      <c r="W173" t="s">
        <v>1260</v>
      </c>
      <c r="X173" t="s">
        <v>1262</v>
      </c>
      <c r="Y173" t="s">
        <v>663</v>
      </c>
      <c r="Z173" t="s">
        <v>117</v>
      </c>
      <c r="AA173" t="str">
        <f>"14094-3626"</f>
        <v>14094-3626</v>
      </c>
      <c r="AB173" t="s">
        <v>1263</v>
      </c>
      <c r="AC173" t="s">
        <v>119</v>
      </c>
      <c r="AD173" t="s">
        <v>113</v>
      </c>
      <c r="AE173" t="s">
        <v>120</v>
      </c>
      <c r="AG173" t="s">
        <v>121</v>
      </c>
    </row>
    <row r="174" spans="1:33" x14ac:dyDescent="0.25">
      <c r="A174" t="str">
        <f>"1457603136"</f>
        <v>1457603136</v>
      </c>
      <c r="C174" t="s">
        <v>1264</v>
      </c>
      <c r="G174" t="s">
        <v>1265</v>
      </c>
      <c r="J174" t="s">
        <v>1266</v>
      </c>
      <c r="K174" t="s">
        <v>303</v>
      </c>
      <c r="L174" t="s">
        <v>229</v>
      </c>
      <c r="M174" t="s">
        <v>113</v>
      </c>
      <c r="R174" t="s">
        <v>1264</v>
      </c>
      <c r="S174" t="s">
        <v>1267</v>
      </c>
      <c r="T174" t="s">
        <v>986</v>
      </c>
      <c r="U174" t="s">
        <v>117</v>
      </c>
      <c r="V174" t="str">
        <f>"147015709"</f>
        <v>147015709</v>
      </c>
      <c r="AC174" t="s">
        <v>119</v>
      </c>
      <c r="AD174" t="s">
        <v>113</v>
      </c>
      <c r="AE174" t="s">
        <v>306</v>
      </c>
      <c r="AG174" t="s">
        <v>121</v>
      </c>
    </row>
    <row r="175" spans="1:33" x14ac:dyDescent="0.25">
      <c r="A175" t="str">
        <f>"1457616435"</f>
        <v>1457616435</v>
      </c>
      <c r="B175" t="str">
        <f>"03564523"</f>
        <v>03564523</v>
      </c>
      <c r="C175" t="s">
        <v>1268</v>
      </c>
      <c r="D175" t="s">
        <v>1269</v>
      </c>
      <c r="E175" t="s">
        <v>1270</v>
      </c>
      <c r="G175" t="s">
        <v>1271</v>
      </c>
      <c r="H175" t="s">
        <v>1272</v>
      </c>
      <c r="J175" t="s">
        <v>1273</v>
      </c>
      <c r="L175" t="s">
        <v>142</v>
      </c>
      <c r="M175" t="s">
        <v>113</v>
      </c>
      <c r="R175" t="s">
        <v>1274</v>
      </c>
      <c r="W175" t="s">
        <v>1270</v>
      </c>
      <c r="X175" t="s">
        <v>1275</v>
      </c>
      <c r="Y175" t="s">
        <v>116</v>
      </c>
      <c r="Z175" t="s">
        <v>117</v>
      </c>
      <c r="AA175" t="str">
        <f>"14214-8001"</f>
        <v>14214-8001</v>
      </c>
      <c r="AB175" t="s">
        <v>118</v>
      </c>
      <c r="AC175" t="s">
        <v>119</v>
      </c>
      <c r="AD175" t="s">
        <v>113</v>
      </c>
      <c r="AE175" t="s">
        <v>120</v>
      </c>
      <c r="AG175" t="s">
        <v>121</v>
      </c>
    </row>
    <row r="176" spans="1:33" x14ac:dyDescent="0.25">
      <c r="A176" t="str">
        <f>"1457624058"</f>
        <v>1457624058</v>
      </c>
      <c r="B176" t="str">
        <f>"03607641"</f>
        <v>03607641</v>
      </c>
      <c r="C176" t="s">
        <v>1276</v>
      </c>
      <c r="D176" t="s">
        <v>1277</v>
      </c>
      <c r="E176" t="s">
        <v>1278</v>
      </c>
      <c r="G176" t="s">
        <v>1279</v>
      </c>
      <c r="J176" t="s">
        <v>1280</v>
      </c>
      <c r="L176" t="s">
        <v>142</v>
      </c>
      <c r="M176" t="s">
        <v>113</v>
      </c>
      <c r="R176" t="s">
        <v>1281</v>
      </c>
      <c r="W176" t="s">
        <v>1278</v>
      </c>
      <c r="X176" t="s">
        <v>1282</v>
      </c>
      <c r="Y176" t="s">
        <v>240</v>
      </c>
      <c r="Z176" t="s">
        <v>117</v>
      </c>
      <c r="AA176" t="str">
        <f>"14221-7051"</f>
        <v>14221-7051</v>
      </c>
      <c r="AB176" t="s">
        <v>118</v>
      </c>
      <c r="AC176" t="s">
        <v>119</v>
      </c>
      <c r="AD176" t="s">
        <v>113</v>
      </c>
      <c r="AE176" t="s">
        <v>120</v>
      </c>
      <c r="AG176" t="s">
        <v>121</v>
      </c>
    </row>
    <row r="177" spans="1:33" x14ac:dyDescent="0.25">
      <c r="A177" t="str">
        <f>"1457647406"</f>
        <v>1457647406</v>
      </c>
      <c r="C177" t="s">
        <v>1283</v>
      </c>
      <c r="G177" t="s">
        <v>1284</v>
      </c>
      <c r="H177" t="s">
        <v>351</v>
      </c>
      <c r="K177" t="s">
        <v>303</v>
      </c>
      <c r="L177" t="s">
        <v>229</v>
      </c>
      <c r="M177" t="s">
        <v>113</v>
      </c>
      <c r="R177" t="s">
        <v>1285</v>
      </c>
      <c r="S177" t="s">
        <v>354</v>
      </c>
      <c r="T177" t="s">
        <v>116</v>
      </c>
      <c r="U177" t="s">
        <v>117</v>
      </c>
      <c r="V177" t="str">
        <f>"142152814"</f>
        <v>142152814</v>
      </c>
      <c r="AC177" t="s">
        <v>119</v>
      </c>
      <c r="AD177" t="s">
        <v>113</v>
      </c>
      <c r="AE177" t="s">
        <v>306</v>
      </c>
      <c r="AG177" t="s">
        <v>121</v>
      </c>
    </row>
    <row r="178" spans="1:33" x14ac:dyDescent="0.25">
      <c r="A178" t="str">
        <f>"1457680969"</f>
        <v>1457680969</v>
      </c>
      <c r="C178" t="s">
        <v>1286</v>
      </c>
      <c r="G178" t="s">
        <v>1287</v>
      </c>
      <c r="H178" t="s">
        <v>1288</v>
      </c>
      <c r="J178" t="s">
        <v>1289</v>
      </c>
      <c r="K178" t="s">
        <v>303</v>
      </c>
      <c r="L178" t="s">
        <v>229</v>
      </c>
      <c r="M178" t="s">
        <v>113</v>
      </c>
      <c r="R178" t="s">
        <v>1286</v>
      </c>
      <c r="S178" t="s">
        <v>1290</v>
      </c>
      <c r="T178" t="s">
        <v>116</v>
      </c>
      <c r="U178" t="s">
        <v>117</v>
      </c>
      <c r="V178" t="str">
        <f>"142023968"</f>
        <v>142023968</v>
      </c>
      <c r="AC178" t="s">
        <v>119</v>
      </c>
      <c r="AD178" t="s">
        <v>113</v>
      </c>
      <c r="AE178" t="s">
        <v>306</v>
      </c>
      <c r="AG178" t="s">
        <v>121</v>
      </c>
    </row>
    <row r="179" spans="1:33" x14ac:dyDescent="0.25">
      <c r="A179" t="str">
        <f>"1457792954"</f>
        <v>1457792954</v>
      </c>
      <c r="B179" t="str">
        <f>"03642028"</f>
        <v>03642028</v>
      </c>
      <c r="C179" t="s">
        <v>1291</v>
      </c>
      <c r="D179" t="s">
        <v>1292</v>
      </c>
      <c r="E179" t="s">
        <v>1293</v>
      </c>
      <c r="G179" t="s">
        <v>1294</v>
      </c>
      <c r="H179" t="s">
        <v>1006</v>
      </c>
      <c r="J179" t="s">
        <v>1295</v>
      </c>
      <c r="L179" t="s">
        <v>112</v>
      </c>
      <c r="M179" t="s">
        <v>113</v>
      </c>
      <c r="R179" t="s">
        <v>1296</v>
      </c>
      <c r="W179" t="s">
        <v>1293</v>
      </c>
      <c r="X179" t="s">
        <v>1297</v>
      </c>
      <c r="Y179" t="s">
        <v>240</v>
      </c>
      <c r="Z179" t="s">
        <v>117</v>
      </c>
      <c r="AA179" t="str">
        <f>"14221-2917"</f>
        <v>14221-2917</v>
      </c>
      <c r="AB179" t="s">
        <v>118</v>
      </c>
      <c r="AC179" t="s">
        <v>119</v>
      </c>
      <c r="AD179" t="s">
        <v>113</v>
      </c>
      <c r="AE179" t="s">
        <v>120</v>
      </c>
      <c r="AG179" t="s">
        <v>121</v>
      </c>
    </row>
    <row r="180" spans="1:33" x14ac:dyDescent="0.25">
      <c r="A180" t="str">
        <f>"1427026327"</f>
        <v>1427026327</v>
      </c>
      <c r="B180" t="str">
        <f>"02685918"</f>
        <v>02685918</v>
      </c>
      <c r="C180" t="s">
        <v>1298</v>
      </c>
      <c r="D180" t="s">
        <v>1299</v>
      </c>
      <c r="E180" t="s">
        <v>1300</v>
      </c>
      <c r="G180" t="s">
        <v>1298</v>
      </c>
      <c r="H180" t="s">
        <v>1301</v>
      </c>
      <c r="J180" t="s">
        <v>1302</v>
      </c>
      <c r="L180" t="s">
        <v>142</v>
      </c>
      <c r="M180" t="s">
        <v>113</v>
      </c>
      <c r="R180" t="s">
        <v>1303</v>
      </c>
      <c r="W180" t="s">
        <v>1300</v>
      </c>
      <c r="X180" t="s">
        <v>1304</v>
      </c>
      <c r="Y180" t="s">
        <v>116</v>
      </c>
      <c r="Z180" t="s">
        <v>117</v>
      </c>
      <c r="AA180" t="str">
        <f>"14220-2039"</f>
        <v>14220-2039</v>
      </c>
      <c r="AB180" t="s">
        <v>118</v>
      </c>
      <c r="AC180" t="s">
        <v>119</v>
      </c>
      <c r="AD180" t="s">
        <v>113</v>
      </c>
      <c r="AE180" t="s">
        <v>120</v>
      </c>
      <c r="AG180" t="s">
        <v>121</v>
      </c>
    </row>
    <row r="181" spans="1:33" x14ac:dyDescent="0.25">
      <c r="A181" t="str">
        <f>"1427030600"</f>
        <v>1427030600</v>
      </c>
      <c r="B181" t="str">
        <f>"01488031"</f>
        <v>01488031</v>
      </c>
      <c r="C181" t="s">
        <v>1305</v>
      </c>
      <c r="D181" t="s">
        <v>1306</v>
      </c>
      <c r="E181" t="s">
        <v>1307</v>
      </c>
      <c r="G181" t="s">
        <v>1305</v>
      </c>
      <c r="H181" t="s">
        <v>1308</v>
      </c>
      <c r="J181" t="s">
        <v>1309</v>
      </c>
      <c r="L181" t="s">
        <v>142</v>
      </c>
      <c r="M181" t="s">
        <v>113</v>
      </c>
      <c r="R181" t="s">
        <v>1310</v>
      </c>
      <c r="W181" t="s">
        <v>1307</v>
      </c>
      <c r="X181" t="s">
        <v>1311</v>
      </c>
      <c r="Y181" t="s">
        <v>1312</v>
      </c>
      <c r="Z181" t="s">
        <v>117</v>
      </c>
      <c r="AA181" t="str">
        <f>"14226-4567"</f>
        <v>14226-4567</v>
      </c>
      <c r="AB181" t="s">
        <v>118</v>
      </c>
      <c r="AC181" t="s">
        <v>119</v>
      </c>
      <c r="AD181" t="s">
        <v>113</v>
      </c>
      <c r="AE181" t="s">
        <v>120</v>
      </c>
      <c r="AG181" t="s">
        <v>121</v>
      </c>
    </row>
    <row r="182" spans="1:33" x14ac:dyDescent="0.25">
      <c r="A182" t="str">
        <f>"1427033158"</f>
        <v>1427033158</v>
      </c>
      <c r="B182" t="str">
        <f>"02667476"</f>
        <v>02667476</v>
      </c>
      <c r="C182" t="s">
        <v>1313</v>
      </c>
      <c r="D182" t="s">
        <v>1314</v>
      </c>
      <c r="E182" t="s">
        <v>1315</v>
      </c>
      <c r="G182" t="s">
        <v>1313</v>
      </c>
      <c r="H182" t="s">
        <v>227</v>
      </c>
      <c r="J182" t="s">
        <v>1316</v>
      </c>
      <c r="L182" t="s">
        <v>142</v>
      </c>
      <c r="M182" t="s">
        <v>113</v>
      </c>
      <c r="R182" t="s">
        <v>1317</v>
      </c>
      <c r="W182" t="s">
        <v>1315</v>
      </c>
      <c r="X182" t="s">
        <v>1318</v>
      </c>
      <c r="Y182" t="s">
        <v>1319</v>
      </c>
      <c r="Z182" t="s">
        <v>117</v>
      </c>
      <c r="AA182" t="str">
        <f>"11373-1329"</f>
        <v>11373-1329</v>
      </c>
      <c r="AB182" t="s">
        <v>118</v>
      </c>
      <c r="AC182" t="s">
        <v>119</v>
      </c>
      <c r="AD182" t="s">
        <v>113</v>
      </c>
      <c r="AE182" t="s">
        <v>120</v>
      </c>
      <c r="AG182" t="s">
        <v>121</v>
      </c>
    </row>
    <row r="183" spans="1:33" x14ac:dyDescent="0.25">
      <c r="A183" t="str">
        <f>"1427040294"</f>
        <v>1427040294</v>
      </c>
      <c r="B183" t="str">
        <f>"00673547"</f>
        <v>00673547</v>
      </c>
      <c r="C183" t="s">
        <v>1320</v>
      </c>
      <c r="D183" t="s">
        <v>1321</v>
      </c>
      <c r="E183" t="s">
        <v>1322</v>
      </c>
      <c r="G183" t="s">
        <v>1323</v>
      </c>
      <c r="H183" t="s">
        <v>1324</v>
      </c>
      <c r="J183" t="s">
        <v>1325</v>
      </c>
      <c r="L183" t="s">
        <v>142</v>
      </c>
      <c r="M183" t="s">
        <v>113</v>
      </c>
      <c r="R183" t="s">
        <v>1326</v>
      </c>
      <c r="W183" t="s">
        <v>1322</v>
      </c>
      <c r="X183" t="s">
        <v>1327</v>
      </c>
      <c r="Y183" t="s">
        <v>116</v>
      </c>
      <c r="Z183" t="s">
        <v>117</v>
      </c>
      <c r="AA183" t="str">
        <f>"14223-1558"</f>
        <v>14223-1558</v>
      </c>
      <c r="AB183" t="s">
        <v>118</v>
      </c>
      <c r="AC183" t="s">
        <v>119</v>
      </c>
      <c r="AD183" t="s">
        <v>113</v>
      </c>
      <c r="AE183" t="s">
        <v>120</v>
      </c>
      <c r="AG183" t="s">
        <v>121</v>
      </c>
    </row>
    <row r="184" spans="1:33" x14ac:dyDescent="0.25">
      <c r="A184" t="str">
        <f>"1427042647"</f>
        <v>1427042647</v>
      </c>
      <c r="B184" t="str">
        <f>"00845643"</f>
        <v>00845643</v>
      </c>
      <c r="C184" t="s">
        <v>1328</v>
      </c>
      <c r="D184" t="s">
        <v>1329</v>
      </c>
      <c r="E184" t="s">
        <v>1330</v>
      </c>
      <c r="G184" t="s">
        <v>1328</v>
      </c>
      <c r="H184" t="s">
        <v>1331</v>
      </c>
      <c r="J184" t="s">
        <v>1332</v>
      </c>
      <c r="L184" t="s">
        <v>112</v>
      </c>
      <c r="M184" t="s">
        <v>113</v>
      </c>
      <c r="R184" t="s">
        <v>1333</v>
      </c>
      <c r="W184" t="s">
        <v>1330</v>
      </c>
      <c r="X184" t="s">
        <v>1334</v>
      </c>
      <c r="Y184" t="s">
        <v>1335</v>
      </c>
      <c r="Z184" t="s">
        <v>117</v>
      </c>
      <c r="AA184" t="str">
        <f>"14224-1979"</f>
        <v>14224-1979</v>
      </c>
      <c r="AB184" t="s">
        <v>118</v>
      </c>
      <c r="AC184" t="s">
        <v>119</v>
      </c>
      <c r="AD184" t="s">
        <v>113</v>
      </c>
      <c r="AE184" t="s">
        <v>120</v>
      </c>
      <c r="AG184" t="s">
        <v>121</v>
      </c>
    </row>
    <row r="185" spans="1:33" x14ac:dyDescent="0.25">
      <c r="A185" t="str">
        <f>"1427045665"</f>
        <v>1427045665</v>
      </c>
      <c r="B185" t="str">
        <f>"02952945"</f>
        <v>02952945</v>
      </c>
      <c r="C185" t="s">
        <v>1336</v>
      </c>
      <c r="D185" t="s">
        <v>1337</v>
      </c>
      <c r="E185" t="s">
        <v>1338</v>
      </c>
      <c r="G185" t="s">
        <v>330</v>
      </c>
      <c r="H185" t="s">
        <v>366</v>
      </c>
      <c r="J185" t="s">
        <v>332</v>
      </c>
      <c r="L185" t="s">
        <v>150</v>
      </c>
      <c r="M185" t="s">
        <v>113</v>
      </c>
      <c r="R185" t="s">
        <v>1339</v>
      </c>
      <c r="W185" t="s">
        <v>1340</v>
      </c>
      <c r="X185" t="s">
        <v>1098</v>
      </c>
      <c r="Y185" t="s">
        <v>305</v>
      </c>
      <c r="Z185" t="s">
        <v>117</v>
      </c>
      <c r="AA185" t="str">
        <f>"14760-1513"</f>
        <v>14760-1513</v>
      </c>
      <c r="AB185" t="s">
        <v>118</v>
      </c>
      <c r="AC185" t="s">
        <v>119</v>
      </c>
      <c r="AD185" t="s">
        <v>113</v>
      </c>
      <c r="AE185" t="s">
        <v>120</v>
      </c>
      <c r="AG185" t="s">
        <v>121</v>
      </c>
    </row>
    <row r="186" spans="1:33" x14ac:dyDescent="0.25">
      <c r="A186" t="str">
        <f>"1427054824"</f>
        <v>1427054824</v>
      </c>
      <c r="B186" t="str">
        <f>"01719364"</f>
        <v>01719364</v>
      </c>
      <c r="C186" t="s">
        <v>1341</v>
      </c>
      <c r="D186" t="s">
        <v>1342</v>
      </c>
      <c r="E186" t="s">
        <v>1343</v>
      </c>
      <c r="G186" t="s">
        <v>1341</v>
      </c>
      <c r="H186" t="s">
        <v>1344</v>
      </c>
      <c r="J186" t="s">
        <v>1345</v>
      </c>
      <c r="L186" t="s">
        <v>142</v>
      </c>
      <c r="M186" t="s">
        <v>113</v>
      </c>
      <c r="R186" t="s">
        <v>1346</v>
      </c>
      <c r="W186" t="s">
        <v>1343</v>
      </c>
      <c r="X186" t="s">
        <v>216</v>
      </c>
      <c r="Y186" t="s">
        <v>116</v>
      </c>
      <c r="Z186" t="s">
        <v>117</v>
      </c>
      <c r="AA186" t="str">
        <f>"14222-2006"</f>
        <v>14222-2006</v>
      </c>
      <c r="AB186" t="s">
        <v>118</v>
      </c>
      <c r="AC186" t="s">
        <v>119</v>
      </c>
      <c r="AD186" t="s">
        <v>113</v>
      </c>
      <c r="AE186" t="s">
        <v>120</v>
      </c>
      <c r="AG186" t="s">
        <v>121</v>
      </c>
    </row>
    <row r="187" spans="1:33" x14ac:dyDescent="0.25">
      <c r="A187" t="str">
        <f>"1427083245"</f>
        <v>1427083245</v>
      </c>
      <c r="B187" t="str">
        <f>"03637583"</f>
        <v>03637583</v>
      </c>
      <c r="C187" t="s">
        <v>1347</v>
      </c>
      <c r="D187" t="s">
        <v>1348</v>
      </c>
      <c r="E187" t="s">
        <v>1349</v>
      </c>
      <c r="H187" t="s">
        <v>1350</v>
      </c>
      <c r="L187" t="s">
        <v>142</v>
      </c>
      <c r="M187" t="s">
        <v>113</v>
      </c>
      <c r="R187" t="s">
        <v>1351</v>
      </c>
      <c r="W187" t="s">
        <v>1352</v>
      </c>
      <c r="X187" t="s">
        <v>1353</v>
      </c>
      <c r="Y187" t="s">
        <v>663</v>
      </c>
      <c r="Z187" t="s">
        <v>117</v>
      </c>
      <c r="AA187" t="str">
        <f>"14094-3201"</f>
        <v>14094-3201</v>
      </c>
      <c r="AB187" t="s">
        <v>118</v>
      </c>
      <c r="AC187" t="s">
        <v>119</v>
      </c>
      <c r="AD187" t="s">
        <v>113</v>
      </c>
      <c r="AE187" t="s">
        <v>120</v>
      </c>
      <c r="AG187" t="s">
        <v>121</v>
      </c>
    </row>
    <row r="188" spans="1:33" x14ac:dyDescent="0.25">
      <c r="A188" t="str">
        <f>"1427090596"</f>
        <v>1427090596</v>
      </c>
      <c r="B188" t="str">
        <f>"00659150"</f>
        <v>00659150</v>
      </c>
      <c r="C188" t="s">
        <v>1354</v>
      </c>
      <c r="D188" t="s">
        <v>1355</v>
      </c>
      <c r="E188" t="s">
        <v>1356</v>
      </c>
      <c r="G188" t="s">
        <v>1354</v>
      </c>
      <c r="H188" t="s">
        <v>1357</v>
      </c>
      <c r="J188" t="s">
        <v>1358</v>
      </c>
      <c r="L188" t="s">
        <v>142</v>
      </c>
      <c r="M188" t="s">
        <v>113</v>
      </c>
      <c r="R188" t="s">
        <v>1359</v>
      </c>
      <c r="W188" t="s">
        <v>1360</v>
      </c>
      <c r="X188" t="s">
        <v>1361</v>
      </c>
      <c r="Y188" t="s">
        <v>318</v>
      </c>
      <c r="Z188" t="s">
        <v>117</v>
      </c>
      <c r="AA188" t="str">
        <f>"14225-2500"</f>
        <v>14225-2500</v>
      </c>
      <c r="AB188" t="s">
        <v>118</v>
      </c>
      <c r="AC188" t="s">
        <v>119</v>
      </c>
      <c r="AD188" t="s">
        <v>113</v>
      </c>
      <c r="AE188" t="s">
        <v>120</v>
      </c>
      <c r="AG188" t="s">
        <v>121</v>
      </c>
    </row>
    <row r="189" spans="1:33" x14ac:dyDescent="0.25">
      <c r="A189" t="str">
        <f>"1427154954"</f>
        <v>1427154954</v>
      </c>
      <c r="B189" t="str">
        <f>"02134765"</f>
        <v>02134765</v>
      </c>
      <c r="C189" t="s">
        <v>1362</v>
      </c>
      <c r="D189" t="s">
        <v>1363</v>
      </c>
      <c r="E189" t="s">
        <v>1364</v>
      </c>
      <c r="G189" t="s">
        <v>1365</v>
      </c>
      <c r="H189" t="s">
        <v>1366</v>
      </c>
      <c r="L189" t="s">
        <v>142</v>
      </c>
      <c r="M189" t="s">
        <v>113</v>
      </c>
      <c r="R189" t="s">
        <v>1365</v>
      </c>
      <c r="W189" t="s">
        <v>1367</v>
      </c>
      <c r="X189" t="s">
        <v>1368</v>
      </c>
      <c r="Y189" t="s">
        <v>305</v>
      </c>
      <c r="Z189" t="s">
        <v>117</v>
      </c>
      <c r="AA189" t="str">
        <f>"14760-1500"</f>
        <v>14760-1500</v>
      </c>
      <c r="AB189" t="s">
        <v>118</v>
      </c>
      <c r="AC189" t="s">
        <v>119</v>
      </c>
      <c r="AD189" t="s">
        <v>113</v>
      </c>
      <c r="AE189" t="s">
        <v>120</v>
      </c>
      <c r="AG189" t="s">
        <v>121</v>
      </c>
    </row>
    <row r="190" spans="1:33" x14ac:dyDescent="0.25">
      <c r="A190" t="str">
        <f>"1427158757"</f>
        <v>1427158757</v>
      </c>
      <c r="B190" t="str">
        <f>"01842488"</f>
        <v>01842488</v>
      </c>
      <c r="C190" t="s">
        <v>1369</v>
      </c>
      <c r="D190" t="s">
        <v>1370</v>
      </c>
      <c r="E190" t="s">
        <v>1371</v>
      </c>
      <c r="G190" t="s">
        <v>1369</v>
      </c>
      <c r="H190" t="s">
        <v>1372</v>
      </c>
      <c r="J190" t="s">
        <v>1373</v>
      </c>
      <c r="L190" t="s">
        <v>112</v>
      </c>
      <c r="M190" t="s">
        <v>113</v>
      </c>
      <c r="R190" t="s">
        <v>1371</v>
      </c>
      <c r="W190" t="s">
        <v>1374</v>
      </c>
      <c r="X190" t="s">
        <v>253</v>
      </c>
      <c r="Y190" t="s">
        <v>116</v>
      </c>
      <c r="Z190" t="s">
        <v>117</v>
      </c>
      <c r="AA190" t="str">
        <f>"14215-3021"</f>
        <v>14215-3021</v>
      </c>
      <c r="AB190" t="s">
        <v>118</v>
      </c>
      <c r="AC190" t="s">
        <v>119</v>
      </c>
      <c r="AD190" t="s">
        <v>113</v>
      </c>
      <c r="AE190" t="s">
        <v>120</v>
      </c>
      <c r="AG190" t="s">
        <v>121</v>
      </c>
    </row>
    <row r="191" spans="1:33" x14ac:dyDescent="0.25">
      <c r="A191" t="str">
        <f>"1427159896"</f>
        <v>1427159896</v>
      </c>
      <c r="B191" t="str">
        <f>"02375693"</f>
        <v>02375693</v>
      </c>
      <c r="C191" t="s">
        <v>1375</v>
      </c>
      <c r="D191" t="s">
        <v>1376</v>
      </c>
      <c r="E191" t="s">
        <v>1377</v>
      </c>
      <c r="G191" t="s">
        <v>1378</v>
      </c>
      <c r="H191" t="s">
        <v>1379</v>
      </c>
      <c r="L191" t="s">
        <v>150</v>
      </c>
      <c r="M191" t="s">
        <v>113</v>
      </c>
      <c r="R191" t="s">
        <v>1378</v>
      </c>
      <c r="W191" t="s">
        <v>1377</v>
      </c>
      <c r="X191" t="s">
        <v>1380</v>
      </c>
      <c r="Y191" t="s">
        <v>1381</v>
      </c>
      <c r="Z191" t="s">
        <v>117</v>
      </c>
      <c r="AA191" t="str">
        <f>"14063-1004"</f>
        <v>14063-1004</v>
      </c>
      <c r="AB191" t="s">
        <v>118</v>
      </c>
      <c r="AC191" t="s">
        <v>119</v>
      </c>
      <c r="AD191" t="s">
        <v>113</v>
      </c>
      <c r="AE191" t="s">
        <v>120</v>
      </c>
      <c r="AG191" t="s">
        <v>121</v>
      </c>
    </row>
    <row r="192" spans="1:33" x14ac:dyDescent="0.25">
      <c r="A192" t="str">
        <f>"1427163310"</f>
        <v>1427163310</v>
      </c>
      <c r="B192" t="str">
        <f>"02878935"</f>
        <v>02878935</v>
      </c>
      <c r="C192" t="s">
        <v>1382</v>
      </c>
      <c r="D192" t="s">
        <v>1383</v>
      </c>
      <c r="E192" t="s">
        <v>1384</v>
      </c>
      <c r="G192" t="s">
        <v>1385</v>
      </c>
      <c r="H192" t="s">
        <v>1386</v>
      </c>
      <c r="J192" t="s">
        <v>1387</v>
      </c>
      <c r="L192" t="s">
        <v>142</v>
      </c>
      <c r="M192" t="s">
        <v>113</v>
      </c>
      <c r="R192" t="s">
        <v>1388</v>
      </c>
      <c r="W192" t="s">
        <v>1384</v>
      </c>
      <c r="X192" t="s">
        <v>1389</v>
      </c>
      <c r="Y192" t="s">
        <v>305</v>
      </c>
      <c r="Z192" t="s">
        <v>117</v>
      </c>
      <c r="AA192" t="str">
        <f>"14760-1825"</f>
        <v>14760-1825</v>
      </c>
      <c r="AB192" t="s">
        <v>118</v>
      </c>
      <c r="AC192" t="s">
        <v>119</v>
      </c>
      <c r="AD192" t="s">
        <v>113</v>
      </c>
      <c r="AE192" t="s">
        <v>120</v>
      </c>
      <c r="AG192" t="s">
        <v>121</v>
      </c>
    </row>
    <row r="193" spans="1:33" x14ac:dyDescent="0.25">
      <c r="A193" t="str">
        <f>"1548220775"</f>
        <v>1548220775</v>
      </c>
      <c r="B193" t="str">
        <f>"01638595"</f>
        <v>01638595</v>
      </c>
      <c r="C193" t="s">
        <v>1390</v>
      </c>
      <c r="D193" t="s">
        <v>1391</v>
      </c>
      <c r="E193" t="s">
        <v>1392</v>
      </c>
      <c r="G193" t="s">
        <v>1393</v>
      </c>
      <c r="H193" t="s">
        <v>1394</v>
      </c>
      <c r="J193" t="s">
        <v>1395</v>
      </c>
      <c r="L193" t="s">
        <v>150</v>
      </c>
      <c r="M193" t="s">
        <v>113</v>
      </c>
      <c r="R193" t="s">
        <v>1396</v>
      </c>
      <c r="W193" t="s">
        <v>1392</v>
      </c>
      <c r="X193" t="s">
        <v>1397</v>
      </c>
      <c r="Y193" t="s">
        <v>1398</v>
      </c>
      <c r="Z193" t="s">
        <v>117</v>
      </c>
      <c r="AA193" t="str">
        <f>"14125-1014"</f>
        <v>14125-1014</v>
      </c>
      <c r="AB193" t="s">
        <v>118</v>
      </c>
      <c r="AC193" t="s">
        <v>119</v>
      </c>
      <c r="AD193" t="s">
        <v>113</v>
      </c>
      <c r="AE193" t="s">
        <v>120</v>
      </c>
      <c r="AG193" t="s">
        <v>121</v>
      </c>
    </row>
    <row r="194" spans="1:33" x14ac:dyDescent="0.25">
      <c r="A194" t="str">
        <f>"1548223076"</f>
        <v>1548223076</v>
      </c>
      <c r="B194" t="str">
        <f>"02429270"</f>
        <v>02429270</v>
      </c>
      <c r="C194" t="s">
        <v>1399</v>
      </c>
      <c r="D194" t="s">
        <v>1400</v>
      </c>
      <c r="E194" t="s">
        <v>1401</v>
      </c>
      <c r="G194" t="s">
        <v>1402</v>
      </c>
      <c r="H194" t="s">
        <v>579</v>
      </c>
      <c r="J194" t="s">
        <v>1403</v>
      </c>
      <c r="L194" t="s">
        <v>112</v>
      </c>
      <c r="M194" t="s">
        <v>113</v>
      </c>
      <c r="R194" t="s">
        <v>1404</v>
      </c>
      <c r="W194" t="s">
        <v>1401</v>
      </c>
      <c r="X194" t="s">
        <v>1405</v>
      </c>
      <c r="Y194" t="s">
        <v>816</v>
      </c>
      <c r="Z194" t="s">
        <v>117</v>
      </c>
      <c r="AA194" t="str">
        <f>"14120"</f>
        <v>14120</v>
      </c>
      <c r="AB194" t="s">
        <v>118</v>
      </c>
      <c r="AC194" t="s">
        <v>119</v>
      </c>
      <c r="AD194" t="s">
        <v>113</v>
      </c>
      <c r="AE194" t="s">
        <v>120</v>
      </c>
      <c r="AG194" t="s">
        <v>121</v>
      </c>
    </row>
    <row r="195" spans="1:33" x14ac:dyDescent="0.25">
      <c r="A195" t="str">
        <f>"1699875229"</f>
        <v>1699875229</v>
      </c>
      <c r="B195" t="str">
        <f>"01878257"</f>
        <v>01878257</v>
      </c>
      <c r="C195" t="s">
        <v>1406</v>
      </c>
      <c r="D195" t="s">
        <v>1407</v>
      </c>
      <c r="E195" t="s">
        <v>1408</v>
      </c>
      <c r="G195" t="s">
        <v>1406</v>
      </c>
      <c r="H195" t="s">
        <v>1006</v>
      </c>
      <c r="J195" t="s">
        <v>1409</v>
      </c>
      <c r="L195" t="s">
        <v>142</v>
      </c>
      <c r="M195" t="s">
        <v>113</v>
      </c>
      <c r="R195" t="s">
        <v>1410</v>
      </c>
      <c r="W195" t="s">
        <v>1408</v>
      </c>
      <c r="X195" t="s">
        <v>1411</v>
      </c>
      <c r="Y195" t="s">
        <v>116</v>
      </c>
      <c r="Z195" t="s">
        <v>117</v>
      </c>
      <c r="AA195" t="str">
        <f>"14209-1120"</f>
        <v>14209-1120</v>
      </c>
      <c r="AB195" t="s">
        <v>118</v>
      </c>
      <c r="AC195" t="s">
        <v>119</v>
      </c>
      <c r="AD195" t="s">
        <v>113</v>
      </c>
      <c r="AE195" t="s">
        <v>120</v>
      </c>
      <c r="AG195" t="s">
        <v>121</v>
      </c>
    </row>
    <row r="196" spans="1:33" x14ac:dyDescent="0.25">
      <c r="A196" t="str">
        <f>"1699895706"</f>
        <v>1699895706</v>
      </c>
      <c r="B196" t="str">
        <f>"00999188"</f>
        <v>00999188</v>
      </c>
      <c r="C196" t="s">
        <v>1412</v>
      </c>
      <c r="D196" t="s">
        <v>1413</v>
      </c>
      <c r="E196" t="s">
        <v>1414</v>
      </c>
      <c r="G196" t="s">
        <v>1412</v>
      </c>
      <c r="H196" t="s">
        <v>1415</v>
      </c>
      <c r="J196" t="s">
        <v>1416</v>
      </c>
      <c r="L196" t="s">
        <v>112</v>
      </c>
      <c r="M196" t="s">
        <v>113</v>
      </c>
      <c r="R196" t="s">
        <v>1417</v>
      </c>
      <c r="W196" t="s">
        <v>1414</v>
      </c>
      <c r="X196" t="s">
        <v>216</v>
      </c>
      <c r="Y196" t="s">
        <v>116</v>
      </c>
      <c r="Z196" t="s">
        <v>117</v>
      </c>
      <c r="AA196" t="str">
        <f>"14222-2006"</f>
        <v>14222-2006</v>
      </c>
      <c r="AB196" t="s">
        <v>634</v>
      </c>
      <c r="AC196" t="s">
        <v>119</v>
      </c>
      <c r="AD196" t="s">
        <v>113</v>
      </c>
      <c r="AE196" t="s">
        <v>120</v>
      </c>
      <c r="AG196" t="s">
        <v>121</v>
      </c>
    </row>
    <row r="197" spans="1:33" x14ac:dyDescent="0.25">
      <c r="A197" t="str">
        <f>"1699896001"</f>
        <v>1699896001</v>
      </c>
      <c r="B197" t="str">
        <f>"02217063"</f>
        <v>02217063</v>
      </c>
      <c r="C197" t="s">
        <v>1418</v>
      </c>
      <c r="D197" t="s">
        <v>1419</v>
      </c>
      <c r="E197" t="s">
        <v>1420</v>
      </c>
      <c r="G197" t="s">
        <v>1421</v>
      </c>
      <c r="H197" t="s">
        <v>205</v>
      </c>
      <c r="J197" t="s">
        <v>1422</v>
      </c>
      <c r="L197" t="s">
        <v>112</v>
      </c>
      <c r="M197" t="s">
        <v>113</v>
      </c>
      <c r="R197" t="s">
        <v>1423</v>
      </c>
      <c r="W197" t="s">
        <v>1420</v>
      </c>
      <c r="X197" t="s">
        <v>1282</v>
      </c>
      <c r="Y197" t="s">
        <v>240</v>
      </c>
      <c r="Z197" t="s">
        <v>117</v>
      </c>
      <c r="AA197" t="str">
        <f>"14221-7051"</f>
        <v>14221-7051</v>
      </c>
      <c r="AB197" t="s">
        <v>118</v>
      </c>
      <c r="AC197" t="s">
        <v>119</v>
      </c>
      <c r="AD197" t="s">
        <v>113</v>
      </c>
      <c r="AE197" t="s">
        <v>120</v>
      </c>
      <c r="AG197" t="s">
        <v>121</v>
      </c>
    </row>
    <row r="198" spans="1:33" x14ac:dyDescent="0.25">
      <c r="A198" t="str">
        <f>"1699922807"</f>
        <v>1699922807</v>
      </c>
      <c r="B198" t="str">
        <f>"03243670"</f>
        <v>03243670</v>
      </c>
      <c r="C198" t="s">
        <v>1424</v>
      </c>
      <c r="D198" t="s">
        <v>1425</v>
      </c>
      <c r="E198" t="s">
        <v>1426</v>
      </c>
      <c r="G198" t="s">
        <v>1427</v>
      </c>
      <c r="J198" t="s">
        <v>1428</v>
      </c>
      <c r="L198" t="s">
        <v>142</v>
      </c>
      <c r="M198" t="s">
        <v>113</v>
      </c>
      <c r="R198" t="s">
        <v>1426</v>
      </c>
      <c r="W198" t="s">
        <v>1426</v>
      </c>
      <c r="X198" t="s">
        <v>216</v>
      </c>
      <c r="Y198" t="s">
        <v>116</v>
      </c>
      <c r="Z198" t="s">
        <v>117</v>
      </c>
      <c r="AA198" t="str">
        <f>"14222-2006"</f>
        <v>14222-2006</v>
      </c>
      <c r="AB198" t="s">
        <v>118</v>
      </c>
      <c r="AC198" t="s">
        <v>119</v>
      </c>
      <c r="AD198" t="s">
        <v>113</v>
      </c>
      <c r="AE198" t="s">
        <v>120</v>
      </c>
      <c r="AG198" t="s">
        <v>121</v>
      </c>
    </row>
    <row r="199" spans="1:33" x14ac:dyDescent="0.25">
      <c r="A199" t="str">
        <f>"1699924886"</f>
        <v>1699924886</v>
      </c>
      <c r="C199" t="s">
        <v>1429</v>
      </c>
      <c r="G199" t="s">
        <v>1430</v>
      </c>
      <c r="H199" t="s">
        <v>590</v>
      </c>
      <c r="J199" t="s">
        <v>1431</v>
      </c>
      <c r="K199" t="s">
        <v>303</v>
      </c>
      <c r="L199" t="s">
        <v>229</v>
      </c>
      <c r="M199" t="s">
        <v>113</v>
      </c>
      <c r="R199" t="s">
        <v>1432</v>
      </c>
      <c r="S199" t="s">
        <v>1433</v>
      </c>
      <c r="T199" t="s">
        <v>129</v>
      </c>
      <c r="U199" t="s">
        <v>117</v>
      </c>
      <c r="V199" t="str">
        <f>"142242635"</f>
        <v>142242635</v>
      </c>
      <c r="AC199" t="s">
        <v>119</v>
      </c>
      <c r="AD199" t="s">
        <v>113</v>
      </c>
      <c r="AE199" t="s">
        <v>306</v>
      </c>
      <c r="AG199" t="s">
        <v>121</v>
      </c>
    </row>
    <row r="200" spans="1:33" x14ac:dyDescent="0.25">
      <c r="A200" t="str">
        <f>"1699966242"</f>
        <v>1699966242</v>
      </c>
      <c r="B200" t="str">
        <f>"02905888"</f>
        <v>02905888</v>
      </c>
      <c r="C200" t="s">
        <v>1434</v>
      </c>
      <c r="D200" t="s">
        <v>1435</v>
      </c>
      <c r="E200" t="s">
        <v>1436</v>
      </c>
      <c r="G200" t="s">
        <v>1434</v>
      </c>
      <c r="H200" t="s">
        <v>295</v>
      </c>
      <c r="J200" t="s">
        <v>1437</v>
      </c>
      <c r="L200" t="s">
        <v>142</v>
      </c>
      <c r="M200" t="s">
        <v>113</v>
      </c>
      <c r="R200" t="s">
        <v>1438</v>
      </c>
      <c r="W200" t="s">
        <v>1436</v>
      </c>
      <c r="X200" t="s">
        <v>298</v>
      </c>
      <c r="Y200" t="s">
        <v>240</v>
      </c>
      <c r="Z200" t="s">
        <v>117</v>
      </c>
      <c r="AA200" t="str">
        <f>"14221-8024"</f>
        <v>14221-8024</v>
      </c>
      <c r="AB200" t="s">
        <v>118</v>
      </c>
      <c r="AC200" t="s">
        <v>119</v>
      </c>
      <c r="AD200" t="s">
        <v>113</v>
      </c>
      <c r="AE200" t="s">
        <v>120</v>
      </c>
      <c r="AG200" t="s">
        <v>121</v>
      </c>
    </row>
    <row r="201" spans="1:33" x14ac:dyDescent="0.25">
      <c r="A201" t="str">
        <f>"1699971945"</f>
        <v>1699971945</v>
      </c>
      <c r="C201" t="s">
        <v>1439</v>
      </c>
      <c r="G201" t="s">
        <v>1439</v>
      </c>
      <c r="H201" t="s">
        <v>1440</v>
      </c>
      <c r="J201" t="s">
        <v>1441</v>
      </c>
      <c r="K201" t="s">
        <v>303</v>
      </c>
      <c r="L201" t="s">
        <v>229</v>
      </c>
      <c r="M201" t="s">
        <v>113</v>
      </c>
      <c r="R201" t="s">
        <v>1442</v>
      </c>
      <c r="S201" t="s">
        <v>1443</v>
      </c>
      <c r="T201" t="s">
        <v>1444</v>
      </c>
      <c r="U201" t="s">
        <v>1445</v>
      </c>
      <c r="V201" t="str">
        <f>"328062002"</f>
        <v>328062002</v>
      </c>
      <c r="AC201" t="s">
        <v>119</v>
      </c>
      <c r="AD201" t="s">
        <v>113</v>
      </c>
      <c r="AE201" t="s">
        <v>306</v>
      </c>
      <c r="AG201" t="s">
        <v>121</v>
      </c>
    </row>
    <row r="202" spans="1:33" x14ac:dyDescent="0.25">
      <c r="A202" t="str">
        <f>"1700012655"</f>
        <v>1700012655</v>
      </c>
      <c r="B202" t="str">
        <f>"03362118"</f>
        <v>03362118</v>
      </c>
      <c r="C202" t="s">
        <v>1446</v>
      </c>
      <c r="D202" t="s">
        <v>1447</v>
      </c>
      <c r="E202" t="s">
        <v>1448</v>
      </c>
      <c r="G202" t="s">
        <v>1446</v>
      </c>
      <c r="H202" t="s">
        <v>1449</v>
      </c>
      <c r="J202" t="s">
        <v>1450</v>
      </c>
      <c r="L202" t="s">
        <v>112</v>
      </c>
      <c r="M202" t="s">
        <v>113</v>
      </c>
      <c r="R202" t="s">
        <v>1451</v>
      </c>
      <c r="W202" t="s">
        <v>1452</v>
      </c>
      <c r="X202" t="s">
        <v>216</v>
      </c>
      <c r="Y202" t="s">
        <v>116</v>
      </c>
      <c r="Z202" t="s">
        <v>117</v>
      </c>
      <c r="AA202" t="str">
        <f>"14222-2006"</f>
        <v>14222-2006</v>
      </c>
      <c r="AB202" t="s">
        <v>634</v>
      </c>
      <c r="AC202" t="s">
        <v>119</v>
      </c>
      <c r="AD202" t="s">
        <v>113</v>
      </c>
      <c r="AE202" t="s">
        <v>120</v>
      </c>
      <c r="AG202" t="s">
        <v>121</v>
      </c>
    </row>
    <row r="203" spans="1:33" x14ac:dyDescent="0.25">
      <c r="A203" t="str">
        <f>"1891068532"</f>
        <v>1891068532</v>
      </c>
      <c r="B203" t="str">
        <f>"01615021"</f>
        <v>01615021</v>
      </c>
      <c r="C203" t="s">
        <v>3625</v>
      </c>
      <c r="D203" t="s">
        <v>3626</v>
      </c>
      <c r="E203" t="s">
        <v>3627</v>
      </c>
      <c r="G203" t="s">
        <v>3628</v>
      </c>
      <c r="H203" t="s">
        <v>3629</v>
      </c>
      <c r="J203" t="s">
        <v>3630</v>
      </c>
      <c r="L203" t="s">
        <v>280</v>
      </c>
      <c r="M203" t="s">
        <v>199</v>
      </c>
      <c r="R203" t="s">
        <v>3625</v>
      </c>
      <c r="W203" t="s">
        <v>3627</v>
      </c>
      <c r="X203" t="s">
        <v>3631</v>
      </c>
      <c r="Y203" t="s">
        <v>153</v>
      </c>
      <c r="Z203" t="s">
        <v>117</v>
      </c>
      <c r="AA203" t="str">
        <f>"14304-4560"</f>
        <v>14304-4560</v>
      </c>
      <c r="AB203" t="s">
        <v>282</v>
      </c>
      <c r="AC203" t="s">
        <v>119</v>
      </c>
      <c r="AD203" t="s">
        <v>113</v>
      </c>
      <c r="AE203" t="s">
        <v>120</v>
      </c>
      <c r="AG203" t="s">
        <v>121</v>
      </c>
    </row>
    <row r="204" spans="1:33" x14ac:dyDescent="0.25">
      <c r="A204" t="str">
        <f>"1609997378"</f>
        <v>1609997378</v>
      </c>
      <c r="B204" t="str">
        <f>"01953488"</f>
        <v>01953488</v>
      </c>
      <c r="C204" t="s">
        <v>1461</v>
      </c>
      <c r="D204" t="s">
        <v>1462</v>
      </c>
      <c r="E204" t="s">
        <v>1463</v>
      </c>
      <c r="G204" t="s">
        <v>1461</v>
      </c>
      <c r="H204" t="s">
        <v>1464</v>
      </c>
      <c r="J204" t="s">
        <v>1465</v>
      </c>
      <c r="L204" t="s">
        <v>112</v>
      </c>
      <c r="M204" t="s">
        <v>113</v>
      </c>
      <c r="R204" t="s">
        <v>1466</v>
      </c>
      <c r="W204" t="s">
        <v>1463</v>
      </c>
      <c r="X204" t="s">
        <v>216</v>
      </c>
      <c r="Y204" t="s">
        <v>116</v>
      </c>
      <c r="Z204" t="s">
        <v>117</v>
      </c>
      <c r="AA204" t="str">
        <f>"14222-2006"</f>
        <v>14222-2006</v>
      </c>
      <c r="AB204" t="s">
        <v>634</v>
      </c>
      <c r="AC204" t="s">
        <v>119</v>
      </c>
      <c r="AD204" t="s">
        <v>113</v>
      </c>
      <c r="AE204" t="s">
        <v>120</v>
      </c>
      <c r="AG204" t="s">
        <v>121</v>
      </c>
    </row>
    <row r="205" spans="1:33" x14ac:dyDescent="0.25">
      <c r="A205" t="str">
        <f>"1013280759"</f>
        <v>1013280759</v>
      </c>
      <c r="B205" t="str">
        <f>"01148136"</f>
        <v>01148136</v>
      </c>
      <c r="C205" t="s">
        <v>8852</v>
      </c>
      <c r="D205" t="s">
        <v>8853</v>
      </c>
      <c r="E205" t="s">
        <v>8854</v>
      </c>
      <c r="G205" t="s">
        <v>8855</v>
      </c>
      <c r="H205" t="s">
        <v>2773</v>
      </c>
      <c r="J205" t="s">
        <v>8856</v>
      </c>
      <c r="L205" t="s">
        <v>280</v>
      </c>
      <c r="M205" t="s">
        <v>199</v>
      </c>
      <c r="R205" t="s">
        <v>8852</v>
      </c>
      <c r="W205" t="s">
        <v>8854</v>
      </c>
      <c r="X205" t="s">
        <v>3648</v>
      </c>
      <c r="Y205" t="s">
        <v>3649</v>
      </c>
      <c r="Z205" t="s">
        <v>117</v>
      </c>
      <c r="AA205" t="str">
        <f>"14072-1251"</f>
        <v>14072-1251</v>
      </c>
      <c r="AB205" t="s">
        <v>282</v>
      </c>
      <c r="AC205" t="s">
        <v>119</v>
      </c>
      <c r="AD205" t="s">
        <v>113</v>
      </c>
      <c r="AE205" t="s">
        <v>120</v>
      </c>
      <c r="AG205" t="s">
        <v>121</v>
      </c>
    </row>
    <row r="206" spans="1:33" x14ac:dyDescent="0.25">
      <c r="A206" t="str">
        <f>"1619035193"</f>
        <v>1619035193</v>
      </c>
      <c r="B206" t="str">
        <f>"02504570"</f>
        <v>02504570</v>
      </c>
      <c r="C206" t="s">
        <v>1474</v>
      </c>
      <c r="D206" t="s">
        <v>1475</v>
      </c>
      <c r="E206" t="s">
        <v>1476</v>
      </c>
      <c r="G206" t="s">
        <v>1477</v>
      </c>
      <c r="H206" t="s">
        <v>1478</v>
      </c>
      <c r="J206" t="s">
        <v>1479</v>
      </c>
      <c r="L206" t="s">
        <v>142</v>
      </c>
      <c r="M206" t="s">
        <v>113</v>
      </c>
      <c r="R206" t="s">
        <v>1480</v>
      </c>
      <c r="W206" t="s">
        <v>1476</v>
      </c>
      <c r="X206" t="s">
        <v>838</v>
      </c>
      <c r="Y206" t="s">
        <v>240</v>
      </c>
      <c r="Z206" t="s">
        <v>117</v>
      </c>
      <c r="AA206" t="str">
        <f>"14221-3647"</f>
        <v>14221-3647</v>
      </c>
      <c r="AB206" t="s">
        <v>118</v>
      </c>
      <c r="AC206" t="s">
        <v>119</v>
      </c>
      <c r="AD206" t="s">
        <v>113</v>
      </c>
      <c r="AE206" t="s">
        <v>120</v>
      </c>
      <c r="AG206" t="s">
        <v>121</v>
      </c>
    </row>
    <row r="207" spans="1:33" x14ac:dyDescent="0.25">
      <c r="A207" t="str">
        <f>"1619050051"</f>
        <v>1619050051</v>
      </c>
      <c r="B207" t="str">
        <f>"02581982"</f>
        <v>02581982</v>
      </c>
      <c r="C207" t="s">
        <v>1481</v>
      </c>
      <c r="D207" t="s">
        <v>1482</v>
      </c>
      <c r="E207" t="s">
        <v>1483</v>
      </c>
      <c r="G207" t="s">
        <v>1481</v>
      </c>
      <c r="H207" t="s">
        <v>213</v>
      </c>
      <c r="J207" t="s">
        <v>1484</v>
      </c>
      <c r="L207" t="s">
        <v>142</v>
      </c>
      <c r="M207" t="s">
        <v>113</v>
      </c>
      <c r="R207" t="s">
        <v>1483</v>
      </c>
      <c r="W207" t="s">
        <v>1483</v>
      </c>
      <c r="X207" t="s">
        <v>216</v>
      </c>
      <c r="Y207" t="s">
        <v>116</v>
      </c>
      <c r="Z207" t="s">
        <v>117</v>
      </c>
      <c r="AA207" t="str">
        <f>"14222-2006"</f>
        <v>14222-2006</v>
      </c>
      <c r="AB207" t="s">
        <v>118</v>
      </c>
      <c r="AC207" t="s">
        <v>119</v>
      </c>
      <c r="AD207" t="s">
        <v>113</v>
      </c>
      <c r="AE207" t="s">
        <v>120</v>
      </c>
      <c r="AG207" t="s">
        <v>121</v>
      </c>
    </row>
    <row r="208" spans="1:33" x14ac:dyDescent="0.25">
      <c r="A208" t="str">
        <f>"1619058567"</f>
        <v>1619058567</v>
      </c>
      <c r="B208" t="str">
        <f>"01969539"</f>
        <v>01969539</v>
      </c>
      <c r="C208" t="s">
        <v>1485</v>
      </c>
      <c r="D208" t="s">
        <v>1486</v>
      </c>
      <c r="E208" t="s">
        <v>1487</v>
      </c>
      <c r="G208" t="s">
        <v>1488</v>
      </c>
      <c r="H208" t="s">
        <v>213</v>
      </c>
      <c r="J208" t="s">
        <v>1489</v>
      </c>
      <c r="L208" t="s">
        <v>728</v>
      </c>
      <c r="M208" t="s">
        <v>113</v>
      </c>
      <c r="R208" t="s">
        <v>1487</v>
      </c>
      <c r="W208" t="s">
        <v>1487</v>
      </c>
      <c r="X208" t="s">
        <v>216</v>
      </c>
      <c r="Y208" t="s">
        <v>116</v>
      </c>
      <c r="Z208" t="s">
        <v>117</v>
      </c>
      <c r="AA208" t="str">
        <f>"14222-2006"</f>
        <v>14222-2006</v>
      </c>
      <c r="AB208" t="s">
        <v>118</v>
      </c>
      <c r="AC208" t="s">
        <v>119</v>
      </c>
      <c r="AD208" t="s">
        <v>113</v>
      </c>
      <c r="AE208" t="s">
        <v>120</v>
      </c>
      <c r="AG208" t="s">
        <v>121</v>
      </c>
    </row>
    <row r="209" spans="1:33" x14ac:dyDescent="0.25">
      <c r="A209" t="str">
        <f>"1619058989"</f>
        <v>1619058989</v>
      </c>
      <c r="B209" t="str">
        <f>"03362049"</f>
        <v>03362049</v>
      </c>
      <c r="C209" t="s">
        <v>1490</v>
      </c>
      <c r="D209" t="s">
        <v>1491</v>
      </c>
      <c r="E209" t="s">
        <v>1492</v>
      </c>
      <c r="G209" t="s">
        <v>1490</v>
      </c>
      <c r="H209" t="s">
        <v>1493</v>
      </c>
      <c r="J209" t="s">
        <v>1494</v>
      </c>
      <c r="L209" t="s">
        <v>112</v>
      </c>
      <c r="M209" t="s">
        <v>113</v>
      </c>
      <c r="R209" t="s">
        <v>1495</v>
      </c>
      <c r="W209" t="s">
        <v>1496</v>
      </c>
      <c r="X209" t="s">
        <v>1497</v>
      </c>
      <c r="Y209" t="s">
        <v>129</v>
      </c>
      <c r="Z209" t="s">
        <v>117</v>
      </c>
      <c r="AA209" t="str">
        <f>"14224-3400"</f>
        <v>14224-3400</v>
      </c>
      <c r="AB209" t="s">
        <v>118</v>
      </c>
      <c r="AC209" t="s">
        <v>119</v>
      </c>
      <c r="AD209" t="s">
        <v>113</v>
      </c>
      <c r="AE209" t="s">
        <v>120</v>
      </c>
      <c r="AG209" t="s">
        <v>121</v>
      </c>
    </row>
    <row r="210" spans="1:33" x14ac:dyDescent="0.25">
      <c r="A210" t="str">
        <f>"1659782092"</f>
        <v>1659782092</v>
      </c>
      <c r="C210" t="s">
        <v>1498</v>
      </c>
      <c r="G210" t="s">
        <v>1498</v>
      </c>
      <c r="H210" t="s">
        <v>590</v>
      </c>
      <c r="J210" t="s">
        <v>1499</v>
      </c>
      <c r="K210" t="s">
        <v>303</v>
      </c>
      <c r="L210" t="s">
        <v>112</v>
      </c>
      <c r="M210" t="s">
        <v>113</v>
      </c>
      <c r="R210" t="s">
        <v>1500</v>
      </c>
      <c r="S210" t="s">
        <v>846</v>
      </c>
      <c r="T210" t="s">
        <v>847</v>
      </c>
      <c r="U210" t="s">
        <v>117</v>
      </c>
      <c r="V210" t="str">
        <f>"145691326"</f>
        <v>145691326</v>
      </c>
      <c r="AC210" t="s">
        <v>119</v>
      </c>
      <c r="AD210" t="s">
        <v>113</v>
      </c>
      <c r="AE210" t="s">
        <v>306</v>
      </c>
      <c r="AG210" t="s">
        <v>121</v>
      </c>
    </row>
    <row r="211" spans="1:33" x14ac:dyDescent="0.25">
      <c r="A211" t="str">
        <f>"1659796548"</f>
        <v>1659796548</v>
      </c>
      <c r="C211" t="s">
        <v>1501</v>
      </c>
      <c r="G211" t="s">
        <v>1502</v>
      </c>
      <c r="H211" t="s">
        <v>351</v>
      </c>
      <c r="J211" t="s">
        <v>352</v>
      </c>
      <c r="K211" t="s">
        <v>303</v>
      </c>
      <c r="L211" t="s">
        <v>112</v>
      </c>
      <c r="M211" t="s">
        <v>113</v>
      </c>
      <c r="R211" t="s">
        <v>1503</v>
      </c>
      <c r="S211" t="s">
        <v>354</v>
      </c>
      <c r="T211" t="s">
        <v>116</v>
      </c>
      <c r="U211" t="s">
        <v>117</v>
      </c>
      <c r="V211" t="str">
        <f>"142152814"</f>
        <v>142152814</v>
      </c>
      <c r="AC211" t="s">
        <v>119</v>
      </c>
      <c r="AD211" t="s">
        <v>113</v>
      </c>
      <c r="AE211" t="s">
        <v>306</v>
      </c>
      <c r="AG211" t="s">
        <v>121</v>
      </c>
    </row>
    <row r="212" spans="1:33" x14ac:dyDescent="0.25">
      <c r="A212" t="str">
        <f>"1699107011"</f>
        <v>1699107011</v>
      </c>
      <c r="B212" t="str">
        <f>"03726029"</f>
        <v>03726029</v>
      </c>
      <c r="C212" t="s">
        <v>1504</v>
      </c>
      <c r="D212" t="s">
        <v>1505</v>
      </c>
      <c r="E212" t="s">
        <v>1506</v>
      </c>
      <c r="H212" t="s">
        <v>1507</v>
      </c>
      <c r="L212" t="s">
        <v>112</v>
      </c>
      <c r="M212" t="s">
        <v>199</v>
      </c>
      <c r="R212" t="s">
        <v>1508</v>
      </c>
      <c r="W212" t="s">
        <v>1506</v>
      </c>
      <c r="X212" t="s">
        <v>1509</v>
      </c>
      <c r="Y212" t="s">
        <v>153</v>
      </c>
      <c r="Z212" t="s">
        <v>117</v>
      </c>
      <c r="AA212" t="str">
        <f>"14301-1136"</f>
        <v>14301-1136</v>
      </c>
      <c r="AB212" t="s">
        <v>118</v>
      </c>
      <c r="AC212" t="s">
        <v>119</v>
      </c>
      <c r="AD212" t="s">
        <v>113</v>
      </c>
      <c r="AE212" t="s">
        <v>120</v>
      </c>
      <c r="AG212" t="s">
        <v>121</v>
      </c>
    </row>
    <row r="213" spans="1:33" x14ac:dyDescent="0.25">
      <c r="A213" t="str">
        <f>"1699700534"</f>
        <v>1699700534</v>
      </c>
      <c r="B213" t="str">
        <f>"02341422"</f>
        <v>02341422</v>
      </c>
      <c r="C213" t="s">
        <v>1510</v>
      </c>
      <c r="D213" t="s">
        <v>1511</v>
      </c>
      <c r="E213" t="s">
        <v>1512</v>
      </c>
      <c r="G213" t="s">
        <v>1510</v>
      </c>
      <c r="H213" t="s">
        <v>1513</v>
      </c>
      <c r="J213" t="s">
        <v>1514</v>
      </c>
      <c r="L213" t="s">
        <v>142</v>
      </c>
      <c r="M213" t="s">
        <v>113</v>
      </c>
      <c r="R213" t="s">
        <v>1515</v>
      </c>
      <c r="W213" t="s">
        <v>1512</v>
      </c>
      <c r="X213" t="s">
        <v>1304</v>
      </c>
      <c r="Y213" t="s">
        <v>116</v>
      </c>
      <c r="Z213" t="s">
        <v>117</v>
      </c>
      <c r="AA213" t="str">
        <f>"14220-2039"</f>
        <v>14220-2039</v>
      </c>
      <c r="AB213" t="s">
        <v>118</v>
      </c>
      <c r="AC213" t="s">
        <v>119</v>
      </c>
      <c r="AD213" t="s">
        <v>113</v>
      </c>
      <c r="AE213" t="s">
        <v>120</v>
      </c>
      <c r="AG213" t="s">
        <v>121</v>
      </c>
    </row>
    <row r="214" spans="1:33" x14ac:dyDescent="0.25">
      <c r="A214" t="str">
        <f>"1639209596"</f>
        <v>1639209596</v>
      </c>
      <c r="B214" t="str">
        <f>"03002393"</f>
        <v>03002393</v>
      </c>
      <c r="C214" t="s">
        <v>869</v>
      </c>
      <c r="D214" t="s">
        <v>11579</v>
      </c>
      <c r="E214" t="s">
        <v>6228</v>
      </c>
      <c r="G214" t="s">
        <v>12180</v>
      </c>
      <c r="H214" t="s">
        <v>9572</v>
      </c>
      <c r="J214" t="s">
        <v>861</v>
      </c>
      <c r="L214" t="s">
        <v>11580</v>
      </c>
      <c r="M214" t="s">
        <v>199</v>
      </c>
      <c r="R214" t="s">
        <v>869</v>
      </c>
      <c r="W214" t="s">
        <v>11581</v>
      </c>
      <c r="X214" t="s">
        <v>176</v>
      </c>
      <c r="Y214" t="s">
        <v>116</v>
      </c>
      <c r="Z214" t="s">
        <v>117</v>
      </c>
      <c r="AA214" t="str">
        <f>"14203-1126"</f>
        <v>14203-1126</v>
      </c>
      <c r="AB214" t="s">
        <v>979</v>
      </c>
      <c r="AC214" t="s">
        <v>119</v>
      </c>
      <c r="AD214" t="s">
        <v>113</v>
      </c>
      <c r="AE214" t="s">
        <v>120</v>
      </c>
      <c r="AG214" t="s">
        <v>121</v>
      </c>
    </row>
    <row r="215" spans="1:33" x14ac:dyDescent="0.25">
      <c r="A215" t="str">
        <f>"1699731141"</f>
        <v>1699731141</v>
      </c>
      <c r="B215" t="str">
        <f>"01521219"</f>
        <v>01521219</v>
      </c>
      <c r="C215" t="s">
        <v>1522</v>
      </c>
      <c r="D215" t="s">
        <v>1523</v>
      </c>
      <c r="E215" t="s">
        <v>1524</v>
      </c>
      <c r="G215" t="s">
        <v>1522</v>
      </c>
      <c r="H215" t="s">
        <v>1525</v>
      </c>
      <c r="J215" t="s">
        <v>1526</v>
      </c>
      <c r="L215" t="s">
        <v>142</v>
      </c>
      <c r="M215" t="s">
        <v>113</v>
      </c>
      <c r="R215" t="s">
        <v>1527</v>
      </c>
      <c r="W215" t="s">
        <v>1524</v>
      </c>
      <c r="X215" t="s">
        <v>1528</v>
      </c>
      <c r="Y215" t="s">
        <v>116</v>
      </c>
      <c r="Z215" t="s">
        <v>117</v>
      </c>
      <c r="AA215" t="str">
        <f>"14214-2692"</f>
        <v>14214-2692</v>
      </c>
      <c r="AB215" t="s">
        <v>118</v>
      </c>
      <c r="AC215" t="s">
        <v>119</v>
      </c>
      <c r="AD215" t="s">
        <v>113</v>
      </c>
      <c r="AE215" t="s">
        <v>120</v>
      </c>
      <c r="AG215" t="s">
        <v>121</v>
      </c>
    </row>
    <row r="216" spans="1:33" x14ac:dyDescent="0.25">
      <c r="A216" t="str">
        <f>"1932270626"</f>
        <v>1932270626</v>
      </c>
      <c r="C216" t="s">
        <v>1529</v>
      </c>
      <c r="G216" t="s">
        <v>1530</v>
      </c>
      <c r="J216" t="s">
        <v>1531</v>
      </c>
      <c r="K216" t="s">
        <v>303</v>
      </c>
      <c r="L216" t="s">
        <v>229</v>
      </c>
      <c r="M216" t="s">
        <v>113</v>
      </c>
      <c r="R216" t="s">
        <v>1532</v>
      </c>
      <c r="S216" t="s">
        <v>1533</v>
      </c>
      <c r="T216" t="s">
        <v>1534</v>
      </c>
      <c r="U216" t="s">
        <v>1535</v>
      </c>
      <c r="V216" t="str">
        <f>"169158161"</f>
        <v>169158161</v>
      </c>
      <c r="AC216" t="s">
        <v>119</v>
      </c>
      <c r="AD216" t="s">
        <v>113</v>
      </c>
      <c r="AE216" t="s">
        <v>306</v>
      </c>
      <c r="AG216" t="s">
        <v>121</v>
      </c>
    </row>
    <row r="217" spans="1:33" x14ac:dyDescent="0.25">
      <c r="A217" t="str">
        <f>"1932280203"</f>
        <v>1932280203</v>
      </c>
      <c r="C217" t="s">
        <v>1536</v>
      </c>
      <c r="G217" t="s">
        <v>1537</v>
      </c>
      <c r="H217" t="s">
        <v>1538</v>
      </c>
      <c r="K217" t="s">
        <v>303</v>
      </c>
      <c r="L217" t="s">
        <v>229</v>
      </c>
      <c r="M217" t="s">
        <v>113</v>
      </c>
      <c r="R217" t="s">
        <v>1539</v>
      </c>
      <c r="S217" t="s">
        <v>409</v>
      </c>
      <c r="T217" t="s">
        <v>116</v>
      </c>
      <c r="U217" t="s">
        <v>117</v>
      </c>
      <c r="V217" t="str">
        <f>"142152814"</f>
        <v>142152814</v>
      </c>
      <c r="AC217" t="s">
        <v>119</v>
      </c>
      <c r="AD217" t="s">
        <v>113</v>
      </c>
      <c r="AE217" t="s">
        <v>306</v>
      </c>
      <c r="AG217" t="s">
        <v>121</v>
      </c>
    </row>
    <row r="218" spans="1:33" x14ac:dyDescent="0.25">
      <c r="A218" t="str">
        <f>"1467725101"</f>
        <v>1467725101</v>
      </c>
      <c r="B218" t="str">
        <f>"02084839"</f>
        <v>02084839</v>
      </c>
      <c r="C218" t="s">
        <v>2769</v>
      </c>
      <c r="D218" t="s">
        <v>2770</v>
      </c>
      <c r="E218" t="s">
        <v>2771</v>
      </c>
      <c r="G218" t="s">
        <v>2772</v>
      </c>
      <c r="H218" t="s">
        <v>2773</v>
      </c>
      <c r="J218" t="s">
        <v>2774</v>
      </c>
      <c r="L218" t="s">
        <v>280</v>
      </c>
      <c r="M218" t="s">
        <v>199</v>
      </c>
      <c r="R218" t="s">
        <v>2769</v>
      </c>
      <c r="W218" t="s">
        <v>2771</v>
      </c>
      <c r="X218" t="s">
        <v>2775</v>
      </c>
      <c r="Y218" t="s">
        <v>958</v>
      </c>
      <c r="Z218" t="s">
        <v>117</v>
      </c>
      <c r="AA218" t="str">
        <f>"14226-2129"</f>
        <v>14226-2129</v>
      </c>
      <c r="AB218" t="s">
        <v>282</v>
      </c>
      <c r="AC218" t="s">
        <v>119</v>
      </c>
      <c r="AD218" t="s">
        <v>113</v>
      </c>
      <c r="AE218" t="s">
        <v>120</v>
      </c>
      <c r="AG218" t="s">
        <v>121</v>
      </c>
    </row>
    <row r="219" spans="1:33" x14ac:dyDescent="0.25">
      <c r="A219" t="str">
        <f>"1285907980"</f>
        <v>1285907980</v>
      </c>
      <c r="B219" t="str">
        <f>"00870677"</f>
        <v>00870677</v>
      </c>
      <c r="C219" t="s">
        <v>17070</v>
      </c>
      <c r="D219" t="s">
        <v>17071</v>
      </c>
      <c r="E219" t="s">
        <v>17072</v>
      </c>
      <c r="G219" t="s">
        <v>17073</v>
      </c>
      <c r="H219" t="s">
        <v>2773</v>
      </c>
      <c r="J219" t="s">
        <v>17074</v>
      </c>
      <c r="L219" t="s">
        <v>280</v>
      </c>
      <c r="M219" t="s">
        <v>199</v>
      </c>
      <c r="R219" t="s">
        <v>17070</v>
      </c>
      <c r="W219" t="s">
        <v>17072</v>
      </c>
      <c r="X219" t="s">
        <v>17075</v>
      </c>
      <c r="Y219" t="s">
        <v>17076</v>
      </c>
      <c r="Z219" t="s">
        <v>117</v>
      </c>
      <c r="AA219" t="str">
        <f>"13088-4604"</f>
        <v>13088-4604</v>
      </c>
      <c r="AB219" t="s">
        <v>282</v>
      </c>
      <c r="AC219" t="s">
        <v>119</v>
      </c>
      <c r="AD219" t="s">
        <v>113</v>
      </c>
      <c r="AE219" t="s">
        <v>120</v>
      </c>
      <c r="AG219" t="s">
        <v>121</v>
      </c>
    </row>
    <row r="220" spans="1:33" x14ac:dyDescent="0.25">
      <c r="A220" t="str">
        <f>"1205109949"</f>
        <v>1205109949</v>
      </c>
      <c r="B220" t="str">
        <f>"00872028"</f>
        <v>00872028</v>
      </c>
      <c r="C220" t="s">
        <v>11349</v>
      </c>
      <c r="D220" t="s">
        <v>11350</v>
      </c>
      <c r="E220" t="s">
        <v>11351</v>
      </c>
      <c r="G220" t="s">
        <v>11352</v>
      </c>
      <c r="H220" t="s">
        <v>2773</v>
      </c>
      <c r="J220" t="s">
        <v>11353</v>
      </c>
      <c r="L220" t="s">
        <v>280</v>
      </c>
      <c r="M220" t="s">
        <v>199</v>
      </c>
      <c r="R220" t="s">
        <v>11349</v>
      </c>
      <c r="W220" t="s">
        <v>11351</v>
      </c>
      <c r="X220" t="s">
        <v>3634</v>
      </c>
      <c r="Y220" t="s">
        <v>2946</v>
      </c>
      <c r="Z220" t="s">
        <v>117</v>
      </c>
      <c r="AA220" t="str">
        <f>"14075-7419"</f>
        <v>14075-7419</v>
      </c>
      <c r="AB220" t="s">
        <v>282</v>
      </c>
      <c r="AC220" t="s">
        <v>119</v>
      </c>
      <c r="AD220" t="s">
        <v>113</v>
      </c>
      <c r="AE220" t="s">
        <v>120</v>
      </c>
      <c r="AG220" t="s">
        <v>121</v>
      </c>
    </row>
    <row r="221" spans="1:33" x14ac:dyDescent="0.25">
      <c r="A221" t="str">
        <f>"1619004439"</f>
        <v>1619004439</v>
      </c>
      <c r="B221" t="str">
        <f>"00705362"</f>
        <v>00705362</v>
      </c>
      <c r="C221" t="s">
        <v>1467</v>
      </c>
      <c r="D221" t="s">
        <v>1468</v>
      </c>
      <c r="E221" t="s">
        <v>1469</v>
      </c>
      <c r="G221" t="s">
        <v>1470</v>
      </c>
      <c r="H221" t="s">
        <v>1471</v>
      </c>
      <c r="J221" t="s">
        <v>1472</v>
      </c>
      <c r="L221" t="s">
        <v>19</v>
      </c>
      <c r="M221" t="s">
        <v>199</v>
      </c>
      <c r="R221" t="s">
        <v>1467</v>
      </c>
      <c r="W221" t="s">
        <v>1469</v>
      </c>
      <c r="X221" t="s">
        <v>1473</v>
      </c>
      <c r="Y221" t="s">
        <v>1248</v>
      </c>
      <c r="Z221" t="s">
        <v>117</v>
      </c>
      <c r="AA221" t="str">
        <f>"14870-9208"</f>
        <v>14870-9208</v>
      </c>
      <c r="AB221" t="s">
        <v>282</v>
      </c>
      <c r="AC221" t="s">
        <v>119</v>
      </c>
      <c r="AD221" t="s">
        <v>113</v>
      </c>
      <c r="AE221" t="s">
        <v>120</v>
      </c>
      <c r="AG221" t="s">
        <v>121</v>
      </c>
    </row>
    <row r="222" spans="1:33" x14ac:dyDescent="0.25">
      <c r="A222" t="str">
        <f>"1518094333"</f>
        <v>1518094333</v>
      </c>
      <c r="B222" t="str">
        <f>"00764163"</f>
        <v>00764163</v>
      </c>
      <c r="C222" t="s">
        <v>7077</v>
      </c>
      <c r="D222" t="s">
        <v>7078</v>
      </c>
      <c r="E222" t="s">
        <v>7079</v>
      </c>
      <c r="G222" t="s">
        <v>7080</v>
      </c>
      <c r="H222" t="s">
        <v>1471</v>
      </c>
      <c r="J222" t="s">
        <v>7081</v>
      </c>
      <c r="L222" t="s">
        <v>19</v>
      </c>
      <c r="M222" t="s">
        <v>199</v>
      </c>
      <c r="R222" t="s">
        <v>7077</v>
      </c>
      <c r="W222" t="s">
        <v>7079</v>
      </c>
      <c r="X222" t="s">
        <v>7082</v>
      </c>
      <c r="Y222" t="s">
        <v>326</v>
      </c>
      <c r="Z222" t="s">
        <v>117</v>
      </c>
      <c r="AA222" t="str">
        <f>"14127-3126"</f>
        <v>14127-3126</v>
      </c>
      <c r="AB222" t="s">
        <v>282</v>
      </c>
      <c r="AC222" t="s">
        <v>119</v>
      </c>
      <c r="AD222" t="s">
        <v>113</v>
      </c>
      <c r="AE222" t="s">
        <v>120</v>
      </c>
      <c r="AG222" t="s">
        <v>121</v>
      </c>
    </row>
    <row r="223" spans="1:33" x14ac:dyDescent="0.25">
      <c r="B223" t="str">
        <f>"02005136"</f>
        <v>02005136</v>
      </c>
      <c r="C223" t="s">
        <v>1580</v>
      </c>
      <c r="D223" t="s">
        <v>1581</v>
      </c>
      <c r="E223" t="s">
        <v>1582</v>
      </c>
      <c r="F223">
        <v>161146128</v>
      </c>
      <c r="L223" t="s">
        <v>67</v>
      </c>
      <c r="M223" t="s">
        <v>113</v>
      </c>
      <c r="W223" t="s">
        <v>1583</v>
      </c>
      <c r="X223" t="s">
        <v>1584</v>
      </c>
      <c r="Y223" t="s">
        <v>240</v>
      </c>
      <c r="Z223" t="s">
        <v>117</v>
      </c>
      <c r="AA223" t="str">
        <f>"14231-9033"</f>
        <v>14231-9033</v>
      </c>
      <c r="AB223" t="s">
        <v>291</v>
      </c>
      <c r="AC223" t="s">
        <v>119</v>
      </c>
      <c r="AD223" t="s">
        <v>113</v>
      </c>
      <c r="AE223" t="s">
        <v>120</v>
      </c>
      <c r="AG223" t="s">
        <v>121</v>
      </c>
    </row>
    <row r="224" spans="1:33" x14ac:dyDescent="0.25">
      <c r="A224" t="str">
        <f>"1508993320"</f>
        <v>1508993320</v>
      </c>
      <c r="B224" t="str">
        <f>"01058777"</f>
        <v>01058777</v>
      </c>
      <c r="C224" t="s">
        <v>14230</v>
      </c>
      <c r="D224" t="s">
        <v>14231</v>
      </c>
      <c r="E224" t="s">
        <v>14232</v>
      </c>
      <c r="G224" t="s">
        <v>14233</v>
      </c>
      <c r="H224" t="s">
        <v>1471</v>
      </c>
      <c r="J224" t="s">
        <v>14234</v>
      </c>
      <c r="L224" t="s">
        <v>19</v>
      </c>
      <c r="M224" t="s">
        <v>199</v>
      </c>
      <c r="R224" t="s">
        <v>14230</v>
      </c>
      <c r="W224" t="s">
        <v>14232</v>
      </c>
      <c r="X224" t="s">
        <v>14235</v>
      </c>
      <c r="Y224" t="s">
        <v>14236</v>
      </c>
      <c r="Z224" t="s">
        <v>117</v>
      </c>
      <c r="AA224" t="str">
        <f>"14057-1205"</f>
        <v>14057-1205</v>
      </c>
      <c r="AB224" t="s">
        <v>282</v>
      </c>
      <c r="AC224" t="s">
        <v>119</v>
      </c>
      <c r="AD224" t="s">
        <v>113</v>
      </c>
      <c r="AE224" t="s">
        <v>120</v>
      </c>
      <c r="AG224" t="s">
        <v>121</v>
      </c>
    </row>
    <row r="225" spans="1:33" x14ac:dyDescent="0.25">
      <c r="A225" t="str">
        <f>"1144357963"</f>
        <v>1144357963</v>
      </c>
      <c r="B225" t="str">
        <f>"01660902"</f>
        <v>01660902</v>
      </c>
      <c r="C225" t="s">
        <v>21522</v>
      </c>
      <c r="D225" t="s">
        <v>21523</v>
      </c>
      <c r="E225" t="s">
        <v>21524</v>
      </c>
      <c r="G225" t="s">
        <v>21525</v>
      </c>
      <c r="H225" t="s">
        <v>21526</v>
      </c>
      <c r="J225" t="s">
        <v>21527</v>
      </c>
      <c r="L225" t="s">
        <v>19</v>
      </c>
      <c r="M225" t="s">
        <v>199</v>
      </c>
      <c r="R225" t="s">
        <v>21528</v>
      </c>
      <c r="W225" t="s">
        <v>21524</v>
      </c>
      <c r="X225" t="s">
        <v>21529</v>
      </c>
      <c r="Y225" t="s">
        <v>1767</v>
      </c>
      <c r="Z225" t="s">
        <v>117</v>
      </c>
      <c r="AA225" t="str">
        <f>"14779-1424"</f>
        <v>14779-1424</v>
      </c>
      <c r="AB225" t="s">
        <v>282</v>
      </c>
      <c r="AC225" t="s">
        <v>119</v>
      </c>
      <c r="AD225" t="s">
        <v>113</v>
      </c>
      <c r="AE225" t="s">
        <v>120</v>
      </c>
      <c r="AG225" t="s">
        <v>121</v>
      </c>
    </row>
    <row r="226" spans="1:33" x14ac:dyDescent="0.25">
      <c r="A226" t="str">
        <f>"1881721611"</f>
        <v>1881721611</v>
      </c>
      <c r="B226" t="str">
        <f>"02901531"</f>
        <v>02901531</v>
      </c>
      <c r="C226" t="s">
        <v>20811</v>
      </c>
      <c r="D226" t="s">
        <v>20812</v>
      </c>
      <c r="E226" t="s">
        <v>20813</v>
      </c>
      <c r="G226" t="s">
        <v>20814</v>
      </c>
      <c r="H226" t="s">
        <v>1471</v>
      </c>
      <c r="J226" t="s">
        <v>20815</v>
      </c>
      <c r="L226" t="s">
        <v>19</v>
      </c>
      <c r="M226" t="s">
        <v>199</v>
      </c>
      <c r="R226" t="s">
        <v>20811</v>
      </c>
      <c r="W226" t="s">
        <v>20813</v>
      </c>
      <c r="X226" t="s">
        <v>20816</v>
      </c>
      <c r="Y226" t="s">
        <v>4866</v>
      </c>
      <c r="Z226" t="s">
        <v>117</v>
      </c>
      <c r="AA226" t="str">
        <f>"14706-1138"</f>
        <v>14706-1138</v>
      </c>
      <c r="AB226" t="s">
        <v>282</v>
      </c>
      <c r="AC226" t="s">
        <v>119</v>
      </c>
      <c r="AD226" t="s">
        <v>113</v>
      </c>
      <c r="AE226" t="s">
        <v>120</v>
      </c>
      <c r="AG226" t="s">
        <v>121</v>
      </c>
    </row>
    <row r="227" spans="1:33" x14ac:dyDescent="0.25">
      <c r="A227" t="str">
        <f>"1063549889"</f>
        <v>1063549889</v>
      </c>
      <c r="B227" t="str">
        <f>"01058759"</f>
        <v>01058759</v>
      </c>
      <c r="C227" t="s">
        <v>24519</v>
      </c>
      <c r="D227" t="s">
        <v>24520</v>
      </c>
      <c r="E227" t="s">
        <v>24521</v>
      </c>
      <c r="G227" t="s">
        <v>24522</v>
      </c>
      <c r="H227" t="s">
        <v>24523</v>
      </c>
      <c r="J227" t="s">
        <v>24524</v>
      </c>
      <c r="L227" t="s">
        <v>19</v>
      </c>
      <c r="M227" t="s">
        <v>199</v>
      </c>
      <c r="R227" t="s">
        <v>24525</v>
      </c>
      <c r="W227" t="s">
        <v>24521</v>
      </c>
      <c r="X227" t="s">
        <v>24526</v>
      </c>
      <c r="Y227" t="s">
        <v>541</v>
      </c>
      <c r="Z227" t="s">
        <v>117</v>
      </c>
      <c r="AA227" t="str">
        <f>"14048-1479"</f>
        <v>14048-1479</v>
      </c>
      <c r="AB227" t="s">
        <v>282</v>
      </c>
      <c r="AC227" t="s">
        <v>119</v>
      </c>
      <c r="AD227" t="s">
        <v>113</v>
      </c>
      <c r="AE227" t="s">
        <v>120</v>
      </c>
      <c r="AG227" t="s">
        <v>121</v>
      </c>
    </row>
    <row r="228" spans="1:33" x14ac:dyDescent="0.25">
      <c r="A228" t="str">
        <f>"1417084237"</f>
        <v>1417084237</v>
      </c>
      <c r="B228" t="str">
        <f>"01514718"</f>
        <v>01514718</v>
      </c>
      <c r="C228" t="s">
        <v>16017</v>
      </c>
      <c r="D228" t="s">
        <v>16018</v>
      </c>
      <c r="E228" t="s">
        <v>16019</v>
      </c>
      <c r="G228" t="s">
        <v>16020</v>
      </c>
      <c r="H228" t="s">
        <v>1471</v>
      </c>
      <c r="J228" t="s">
        <v>16021</v>
      </c>
      <c r="L228" t="s">
        <v>19</v>
      </c>
      <c r="M228" t="s">
        <v>199</v>
      </c>
      <c r="R228" t="s">
        <v>16017</v>
      </c>
      <c r="W228" t="s">
        <v>16019</v>
      </c>
      <c r="X228" t="s">
        <v>16022</v>
      </c>
      <c r="Y228" t="s">
        <v>16023</v>
      </c>
      <c r="Z228" t="s">
        <v>117</v>
      </c>
      <c r="AA228" t="str">
        <f>"14067-9212"</f>
        <v>14067-9212</v>
      </c>
      <c r="AB228" t="s">
        <v>282</v>
      </c>
      <c r="AC228" t="s">
        <v>119</v>
      </c>
      <c r="AD228" t="s">
        <v>113</v>
      </c>
      <c r="AE228" t="s">
        <v>120</v>
      </c>
      <c r="AG228" t="s">
        <v>121</v>
      </c>
    </row>
    <row r="229" spans="1:33" x14ac:dyDescent="0.25">
      <c r="A229" t="str">
        <f>"1528195344"</f>
        <v>1528195344</v>
      </c>
      <c r="B229" t="str">
        <f>"00901359"</f>
        <v>00901359</v>
      </c>
      <c r="C229" t="s">
        <v>16031</v>
      </c>
      <c r="D229" t="s">
        <v>16032</v>
      </c>
      <c r="E229" t="s">
        <v>16033</v>
      </c>
      <c r="G229" t="s">
        <v>16034</v>
      </c>
      <c r="H229" t="s">
        <v>1471</v>
      </c>
      <c r="J229" t="s">
        <v>16035</v>
      </c>
      <c r="L229" t="s">
        <v>19</v>
      </c>
      <c r="M229" t="s">
        <v>199</v>
      </c>
      <c r="R229" t="s">
        <v>16031</v>
      </c>
      <c r="W229" t="s">
        <v>16036</v>
      </c>
      <c r="X229" t="s">
        <v>16037</v>
      </c>
      <c r="Y229" t="s">
        <v>387</v>
      </c>
      <c r="Z229" t="s">
        <v>117</v>
      </c>
      <c r="AA229" t="str">
        <f>"14787-1113"</f>
        <v>14787-1113</v>
      </c>
      <c r="AB229" t="s">
        <v>282</v>
      </c>
      <c r="AC229" t="s">
        <v>119</v>
      </c>
      <c r="AD229" t="s">
        <v>113</v>
      </c>
      <c r="AE229" t="s">
        <v>120</v>
      </c>
      <c r="AG229" t="s">
        <v>121</v>
      </c>
    </row>
    <row r="230" spans="1:33" x14ac:dyDescent="0.25">
      <c r="B230" t="str">
        <f>"03105460"</f>
        <v>03105460</v>
      </c>
      <c r="C230" t="s">
        <v>23932</v>
      </c>
      <c r="D230" t="s">
        <v>23933</v>
      </c>
      <c r="E230" t="s">
        <v>23932</v>
      </c>
      <c r="L230" t="s">
        <v>69</v>
      </c>
      <c r="M230" t="s">
        <v>113</v>
      </c>
      <c r="W230" t="s">
        <v>23932</v>
      </c>
      <c r="X230" t="s">
        <v>23920</v>
      </c>
      <c r="Y230" t="s">
        <v>318</v>
      </c>
      <c r="Z230" t="s">
        <v>117</v>
      </c>
      <c r="AA230" t="str">
        <f>"14225-4914"</f>
        <v>14225-4914</v>
      </c>
      <c r="AB230" t="s">
        <v>291</v>
      </c>
      <c r="AC230" t="s">
        <v>119</v>
      </c>
      <c r="AD230" t="s">
        <v>113</v>
      </c>
      <c r="AE230" t="s">
        <v>120</v>
      </c>
      <c r="AG230" t="s">
        <v>121</v>
      </c>
    </row>
    <row r="231" spans="1:33" x14ac:dyDescent="0.25">
      <c r="B231" t="str">
        <f>"02961237"</f>
        <v>02961237</v>
      </c>
      <c r="C231" t="s">
        <v>23918</v>
      </c>
      <c r="D231" t="s">
        <v>23919</v>
      </c>
      <c r="E231" t="s">
        <v>23918</v>
      </c>
      <c r="H231" t="s">
        <v>21213</v>
      </c>
      <c r="L231" t="s">
        <v>69</v>
      </c>
      <c r="M231" t="s">
        <v>113</v>
      </c>
      <c r="W231" t="s">
        <v>23918</v>
      </c>
      <c r="X231" t="s">
        <v>23920</v>
      </c>
      <c r="Y231" t="s">
        <v>318</v>
      </c>
      <c r="Z231" t="s">
        <v>117</v>
      </c>
      <c r="AA231" t="str">
        <f>"14225-4914"</f>
        <v>14225-4914</v>
      </c>
      <c r="AB231" t="s">
        <v>291</v>
      </c>
      <c r="AC231" t="s">
        <v>119</v>
      </c>
      <c r="AD231" t="s">
        <v>113</v>
      </c>
      <c r="AE231" t="s">
        <v>120</v>
      </c>
      <c r="AG231" t="s">
        <v>121</v>
      </c>
    </row>
    <row r="232" spans="1:33" x14ac:dyDescent="0.25">
      <c r="B232" t="str">
        <f>"02692455"</f>
        <v>02692455</v>
      </c>
      <c r="C232" t="s">
        <v>11663</v>
      </c>
      <c r="D232" t="s">
        <v>11664</v>
      </c>
      <c r="E232" t="s">
        <v>11663</v>
      </c>
      <c r="F232">
        <v>160757756</v>
      </c>
      <c r="H232" t="s">
        <v>1615</v>
      </c>
      <c r="L232" t="s">
        <v>69</v>
      </c>
      <c r="M232" t="s">
        <v>113</v>
      </c>
      <c r="W232" t="s">
        <v>11665</v>
      </c>
      <c r="X232" t="s">
        <v>11666</v>
      </c>
      <c r="Y232" t="s">
        <v>1593</v>
      </c>
      <c r="Z232" t="s">
        <v>117</v>
      </c>
      <c r="AA232" t="str">
        <f>"14068-1224"</f>
        <v>14068-1224</v>
      </c>
      <c r="AB232" t="s">
        <v>291</v>
      </c>
      <c r="AC232" t="s">
        <v>119</v>
      </c>
      <c r="AD232" t="s">
        <v>113</v>
      </c>
      <c r="AE232" t="s">
        <v>120</v>
      </c>
      <c r="AG232" t="s">
        <v>121</v>
      </c>
    </row>
    <row r="233" spans="1:33" x14ac:dyDescent="0.25">
      <c r="B233" t="str">
        <f>"03180334"</f>
        <v>03180334</v>
      </c>
      <c r="C233" t="s">
        <v>23941</v>
      </c>
      <c r="D233" t="s">
        <v>23942</v>
      </c>
      <c r="E233" t="s">
        <v>23941</v>
      </c>
      <c r="H233" t="s">
        <v>1615</v>
      </c>
      <c r="L233" t="s">
        <v>69</v>
      </c>
      <c r="M233" t="s">
        <v>113</v>
      </c>
      <c r="W233" t="s">
        <v>23941</v>
      </c>
      <c r="X233" t="s">
        <v>1592</v>
      </c>
      <c r="Y233" t="s">
        <v>1593</v>
      </c>
      <c r="Z233" t="s">
        <v>117</v>
      </c>
      <c r="AA233" t="str">
        <f>"14068-1224"</f>
        <v>14068-1224</v>
      </c>
      <c r="AB233" t="s">
        <v>291</v>
      </c>
      <c r="AC233" t="s">
        <v>119</v>
      </c>
      <c r="AD233" t="s">
        <v>113</v>
      </c>
      <c r="AE233" t="s">
        <v>120</v>
      </c>
      <c r="AG233" t="s">
        <v>121</v>
      </c>
    </row>
    <row r="234" spans="1:33" x14ac:dyDescent="0.25">
      <c r="B234" t="str">
        <f>"02593915"</f>
        <v>02593915</v>
      </c>
      <c r="C234" t="s">
        <v>18014</v>
      </c>
      <c r="D234" t="s">
        <v>18015</v>
      </c>
      <c r="E234" t="s">
        <v>18014</v>
      </c>
      <c r="H234" t="s">
        <v>1615</v>
      </c>
      <c r="L234" t="s">
        <v>69</v>
      </c>
      <c r="M234" t="s">
        <v>113</v>
      </c>
      <c r="W234" t="s">
        <v>18014</v>
      </c>
      <c r="X234" t="s">
        <v>18016</v>
      </c>
      <c r="Y234" t="s">
        <v>1593</v>
      </c>
      <c r="Z234" t="s">
        <v>117</v>
      </c>
      <c r="AA234" t="str">
        <f>"14068"</f>
        <v>14068</v>
      </c>
      <c r="AB234" t="s">
        <v>291</v>
      </c>
      <c r="AC234" t="s">
        <v>119</v>
      </c>
      <c r="AD234" t="s">
        <v>113</v>
      </c>
      <c r="AE234" t="s">
        <v>120</v>
      </c>
      <c r="AG234" t="s">
        <v>121</v>
      </c>
    </row>
    <row r="235" spans="1:33" x14ac:dyDescent="0.25">
      <c r="B235" t="str">
        <f>"01898728"</f>
        <v>01898728</v>
      </c>
      <c r="C235" t="s">
        <v>18528</v>
      </c>
      <c r="D235" t="s">
        <v>18529</v>
      </c>
      <c r="E235" t="s">
        <v>18528</v>
      </c>
      <c r="F235">
        <v>160757756</v>
      </c>
      <c r="H235" t="s">
        <v>1615</v>
      </c>
      <c r="L235" t="s">
        <v>69</v>
      </c>
      <c r="M235" t="s">
        <v>113</v>
      </c>
      <c r="W235" t="s">
        <v>18528</v>
      </c>
      <c r="X235" t="s">
        <v>18530</v>
      </c>
      <c r="Y235" t="s">
        <v>116</v>
      </c>
      <c r="Z235" t="s">
        <v>117</v>
      </c>
      <c r="AA235" t="str">
        <f>"14225-2523"</f>
        <v>14225-2523</v>
      </c>
      <c r="AB235" t="s">
        <v>291</v>
      </c>
      <c r="AC235" t="s">
        <v>119</v>
      </c>
      <c r="AD235" t="s">
        <v>113</v>
      </c>
      <c r="AE235" t="s">
        <v>120</v>
      </c>
      <c r="AG235" t="s">
        <v>121</v>
      </c>
    </row>
    <row r="236" spans="1:33" x14ac:dyDescent="0.25">
      <c r="B236" t="str">
        <f>"02173279"</f>
        <v>02173279</v>
      </c>
      <c r="C236" t="s">
        <v>15505</v>
      </c>
      <c r="D236" t="s">
        <v>15506</v>
      </c>
      <c r="E236" t="s">
        <v>15505</v>
      </c>
      <c r="H236" t="s">
        <v>1615</v>
      </c>
      <c r="L236" t="s">
        <v>69</v>
      </c>
      <c r="M236" t="s">
        <v>113</v>
      </c>
      <c r="W236" t="s">
        <v>15505</v>
      </c>
      <c r="X236" t="s">
        <v>15507</v>
      </c>
      <c r="Y236" t="s">
        <v>116</v>
      </c>
      <c r="Z236" t="s">
        <v>117</v>
      </c>
      <c r="AA236" t="str">
        <f>"14225-2523"</f>
        <v>14225-2523</v>
      </c>
      <c r="AB236" t="s">
        <v>291</v>
      </c>
      <c r="AC236" t="s">
        <v>119</v>
      </c>
      <c r="AD236" t="s">
        <v>113</v>
      </c>
      <c r="AE236" t="s">
        <v>120</v>
      </c>
      <c r="AG236" t="s">
        <v>121</v>
      </c>
    </row>
    <row r="237" spans="1:33" x14ac:dyDescent="0.25">
      <c r="B237" t="str">
        <f>"02591660"</f>
        <v>02591660</v>
      </c>
      <c r="C237" t="s">
        <v>18003</v>
      </c>
      <c r="D237" t="s">
        <v>18004</v>
      </c>
      <c r="E237" t="s">
        <v>18003</v>
      </c>
      <c r="H237" t="s">
        <v>1615</v>
      </c>
      <c r="L237" t="s">
        <v>69</v>
      </c>
      <c r="M237" t="s">
        <v>113</v>
      </c>
      <c r="W237" t="s">
        <v>18003</v>
      </c>
      <c r="X237" t="s">
        <v>1592</v>
      </c>
      <c r="Y237" t="s">
        <v>1593</v>
      </c>
      <c r="Z237" t="s">
        <v>117</v>
      </c>
      <c r="AA237" t="str">
        <f>"14068-1224"</f>
        <v>14068-1224</v>
      </c>
      <c r="AB237" t="s">
        <v>291</v>
      </c>
      <c r="AC237" t="s">
        <v>119</v>
      </c>
      <c r="AD237" t="s">
        <v>113</v>
      </c>
      <c r="AE237" t="s">
        <v>120</v>
      </c>
      <c r="AG237" t="s">
        <v>121</v>
      </c>
    </row>
    <row r="238" spans="1:33" x14ac:dyDescent="0.25">
      <c r="B238" t="str">
        <f>"03561740"</f>
        <v>03561740</v>
      </c>
      <c r="C238" t="s">
        <v>19270</v>
      </c>
      <c r="D238" t="s">
        <v>19271</v>
      </c>
      <c r="E238" t="s">
        <v>19270</v>
      </c>
      <c r="H238" t="s">
        <v>1615</v>
      </c>
      <c r="L238" t="s">
        <v>69</v>
      </c>
      <c r="M238" t="s">
        <v>113</v>
      </c>
      <c r="W238" t="s">
        <v>19270</v>
      </c>
      <c r="X238" t="s">
        <v>1592</v>
      </c>
      <c r="Y238" t="s">
        <v>1593</v>
      </c>
      <c r="Z238" t="s">
        <v>117</v>
      </c>
      <c r="AA238" t="str">
        <f>"14068-1224"</f>
        <v>14068-1224</v>
      </c>
      <c r="AB238" t="s">
        <v>291</v>
      </c>
      <c r="AC238" t="s">
        <v>119</v>
      </c>
      <c r="AD238" t="s">
        <v>113</v>
      </c>
      <c r="AE238" t="s">
        <v>120</v>
      </c>
      <c r="AG238" t="s">
        <v>121</v>
      </c>
    </row>
    <row r="239" spans="1:33" x14ac:dyDescent="0.25">
      <c r="B239" t="str">
        <f>"01550623"</f>
        <v>01550623</v>
      </c>
      <c r="C239" t="s">
        <v>18522</v>
      </c>
      <c r="D239" t="s">
        <v>18523</v>
      </c>
      <c r="E239" t="s">
        <v>18522</v>
      </c>
      <c r="H239" t="s">
        <v>1615</v>
      </c>
      <c r="L239" t="s">
        <v>69</v>
      </c>
      <c r="M239" t="s">
        <v>113</v>
      </c>
      <c r="W239" t="s">
        <v>18522</v>
      </c>
      <c r="X239" t="s">
        <v>18524</v>
      </c>
      <c r="Y239" t="s">
        <v>116</v>
      </c>
      <c r="Z239" t="s">
        <v>117</v>
      </c>
      <c r="AA239" t="str">
        <f>"14225-2523"</f>
        <v>14225-2523</v>
      </c>
      <c r="AB239" t="s">
        <v>291</v>
      </c>
      <c r="AC239" t="s">
        <v>119</v>
      </c>
      <c r="AD239" t="s">
        <v>113</v>
      </c>
      <c r="AE239" t="s">
        <v>120</v>
      </c>
      <c r="AG239" t="s">
        <v>121</v>
      </c>
    </row>
    <row r="240" spans="1:33" x14ac:dyDescent="0.25">
      <c r="A240" t="str">
        <f>"1467413948"</f>
        <v>1467413948</v>
      </c>
      <c r="B240" t="str">
        <f>"02461690"</f>
        <v>02461690</v>
      </c>
      <c r="C240" t="s">
        <v>1629</v>
      </c>
      <c r="D240" t="s">
        <v>1630</v>
      </c>
      <c r="E240" t="s">
        <v>1631</v>
      </c>
      <c r="G240" t="s">
        <v>1629</v>
      </c>
      <c r="H240" t="s">
        <v>1632</v>
      </c>
      <c r="J240" t="s">
        <v>1633</v>
      </c>
      <c r="L240" t="s">
        <v>142</v>
      </c>
      <c r="M240" t="s">
        <v>113</v>
      </c>
      <c r="R240" t="s">
        <v>1634</v>
      </c>
      <c r="W240" t="s">
        <v>1631</v>
      </c>
      <c r="X240" t="s">
        <v>784</v>
      </c>
      <c r="Y240" t="s">
        <v>116</v>
      </c>
      <c r="Z240" t="s">
        <v>117</v>
      </c>
      <c r="AA240" t="str">
        <f>"14209-1194"</f>
        <v>14209-1194</v>
      </c>
      <c r="AB240" t="s">
        <v>118</v>
      </c>
      <c r="AC240" t="s">
        <v>119</v>
      </c>
      <c r="AD240" t="s">
        <v>113</v>
      </c>
      <c r="AE240" t="s">
        <v>120</v>
      </c>
      <c r="AG240" t="s">
        <v>121</v>
      </c>
    </row>
    <row r="241" spans="1:33" x14ac:dyDescent="0.25">
      <c r="A241" t="str">
        <f>"1467419507"</f>
        <v>1467419507</v>
      </c>
      <c r="B241" t="str">
        <f>"02505746"</f>
        <v>02505746</v>
      </c>
      <c r="C241" t="s">
        <v>1635</v>
      </c>
      <c r="D241" t="s">
        <v>1636</v>
      </c>
      <c r="E241" t="s">
        <v>1637</v>
      </c>
      <c r="G241" t="s">
        <v>1638</v>
      </c>
      <c r="H241" t="s">
        <v>1639</v>
      </c>
      <c r="J241" t="s">
        <v>1640</v>
      </c>
      <c r="L241" t="s">
        <v>112</v>
      </c>
      <c r="M241" t="s">
        <v>113</v>
      </c>
      <c r="R241" t="s">
        <v>1641</v>
      </c>
      <c r="W241" t="s">
        <v>1637</v>
      </c>
      <c r="X241" t="s">
        <v>176</v>
      </c>
      <c r="Y241" t="s">
        <v>116</v>
      </c>
      <c r="Z241" t="s">
        <v>117</v>
      </c>
      <c r="AA241" t="str">
        <f>"14203-1126"</f>
        <v>14203-1126</v>
      </c>
      <c r="AB241" t="s">
        <v>118</v>
      </c>
      <c r="AC241" t="s">
        <v>119</v>
      </c>
      <c r="AD241" t="s">
        <v>113</v>
      </c>
      <c r="AE241" t="s">
        <v>120</v>
      </c>
      <c r="AG241" t="s">
        <v>121</v>
      </c>
    </row>
    <row r="242" spans="1:33" x14ac:dyDescent="0.25">
      <c r="A242" t="str">
        <f>"1467420638"</f>
        <v>1467420638</v>
      </c>
      <c r="B242" t="str">
        <f>"01575644"</f>
        <v>01575644</v>
      </c>
      <c r="C242" t="s">
        <v>1642</v>
      </c>
      <c r="D242" t="s">
        <v>1643</v>
      </c>
      <c r="E242" t="s">
        <v>1644</v>
      </c>
      <c r="G242" t="s">
        <v>1642</v>
      </c>
      <c r="H242" t="s">
        <v>1645</v>
      </c>
      <c r="J242" t="s">
        <v>1646</v>
      </c>
      <c r="L242" t="s">
        <v>112</v>
      </c>
      <c r="M242" t="s">
        <v>113</v>
      </c>
      <c r="R242" t="s">
        <v>1647</v>
      </c>
      <c r="W242" t="s">
        <v>1644</v>
      </c>
      <c r="X242" t="s">
        <v>1648</v>
      </c>
      <c r="Y242" t="s">
        <v>116</v>
      </c>
      <c r="Z242" t="s">
        <v>117</v>
      </c>
      <c r="AA242" t="str">
        <f>"14214-2648"</f>
        <v>14214-2648</v>
      </c>
      <c r="AB242" t="s">
        <v>118</v>
      </c>
      <c r="AC242" t="s">
        <v>119</v>
      </c>
      <c r="AD242" t="s">
        <v>113</v>
      </c>
      <c r="AE242" t="s">
        <v>120</v>
      </c>
      <c r="AG242" t="s">
        <v>121</v>
      </c>
    </row>
    <row r="243" spans="1:33" x14ac:dyDescent="0.25">
      <c r="A243" t="str">
        <f>"1467423228"</f>
        <v>1467423228</v>
      </c>
      <c r="B243" t="str">
        <f>"01079547"</f>
        <v>01079547</v>
      </c>
      <c r="C243" t="s">
        <v>1649</v>
      </c>
      <c r="D243" t="s">
        <v>1650</v>
      </c>
      <c r="E243" t="s">
        <v>1651</v>
      </c>
      <c r="G243" t="s">
        <v>1649</v>
      </c>
      <c r="H243" t="s">
        <v>559</v>
      </c>
      <c r="J243" t="s">
        <v>1652</v>
      </c>
      <c r="L243" t="s">
        <v>142</v>
      </c>
      <c r="M243" t="s">
        <v>113</v>
      </c>
      <c r="R243" t="s">
        <v>1653</v>
      </c>
      <c r="W243" t="s">
        <v>1651</v>
      </c>
      <c r="X243" t="s">
        <v>1654</v>
      </c>
      <c r="Y243" t="s">
        <v>116</v>
      </c>
      <c r="Z243" t="s">
        <v>117</v>
      </c>
      <c r="AA243" t="str">
        <f>"14215-3098"</f>
        <v>14215-3098</v>
      </c>
      <c r="AB243" t="s">
        <v>118</v>
      </c>
      <c r="AC243" t="s">
        <v>119</v>
      </c>
      <c r="AD243" t="s">
        <v>113</v>
      </c>
      <c r="AE243" t="s">
        <v>120</v>
      </c>
      <c r="AG243" t="s">
        <v>121</v>
      </c>
    </row>
    <row r="244" spans="1:33" x14ac:dyDescent="0.25">
      <c r="A244" t="str">
        <f>"1467428425"</f>
        <v>1467428425</v>
      </c>
      <c r="B244" t="str">
        <f>"01413854"</f>
        <v>01413854</v>
      </c>
      <c r="C244" t="s">
        <v>1655</v>
      </c>
      <c r="D244" t="s">
        <v>1656</v>
      </c>
      <c r="E244" t="s">
        <v>1657</v>
      </c>
      <c r="G244" t="s">
        <v>1658</v>
      </c>
      <c r="H244" t="s">
        <v>1659</v>
      </c>
      <c r="J244" t="s">
        <v>1660</v>
      </c>
      <c r="L244" t="s">
        <v>150</v>
      </c>
      <c r="M244" t="s">
        <v>113</v>
      </c>
      <c r="R244" t="s">
        <v>1661</v>
      </c>
      <c r="W244" t="s">
        <v>1662</v>
      </c>
      <c r="X244" t="s">
        <v>1663</v>
      </c>
      <c r="Y244" t="s">
        <v>1381</v>
      </c>
      <c r="Z244" t="s">
        <v>117</v>
      </c>
      <c r="AA244" t="str">
        <f>"14063-1769"</f>
        <v>14063-1769</v>
      </c>
      <c r="AB244" t="s">
        <v>118</v>
      </c>
      <c r="AC244" t="s">
        <v>119</v>
      </c>
      <c r="AD244" t="s">
        <v>113</v>
      </c>
      <c r="AE244" t="s">
        <v>120</v>
      </c>
      <c r="AG244" t="s">
        <v>121</v>
      </c>
    </row>
    <row r="245" spans="1:33" x14ac:dyDescent="0.25">
      <c r="A245" t="str">
        <f>"1467428599"</f>
        <v>1467428599</v>
      </c>
      <c r="B245" t="str">
        <f>"02619643"</f>
        <v>02619643</v>
      </c>
      <c r="C245" t="s">
        <v>1664</v>
      </c>
      <c r="D245" t="s">
        <v>1665</v>
      </c>
      <c r="E245" t="s">
        <v>1666</v>
      </c>
      <c r="G245" t="s">
        <v>1664</v>
      </c>
      <c r="H245" t="s">
        <v>205</v>
      </c>
      <c r="J245" t="s">
        <v>1667</v>
      </c>
      <c r="L245" t="s">
        <v>142</v>
      </c>
      <c r="M245" t="s">
        <v>113</v>
      </c>
      <c r="R245" t="s">
        <v>1668</v>
      </c>
      <c r="W245" t="s">
        <v>1666</v>
      </c>
      <c r="X245" t="s">
        <v>253</v>
      </c>
      <c r="Y245" t="s">
        <v>116</v>
      </c>
      <c r="Z245" t="s">
        <v>117</v>
      </c>
      <c r="AA245" t="str">
        <f>"14215-3021"</f>
        <v>14215-3021</v>
      </c>
      <c r="AB245" t="s">
        <v>118</v>
      </c>
      <c r="AC245" t="s">
        <v>119</v>
      </c>
      <c r="AD245" t="s">
        <v>113</v>
      </c>
      <c r="AE245" t="s">
        <v>120</v>
      </c>
      <c r="AG245" t="s">
        <v>121</v>
      </c>
    </row>
    <row r="246" spans="1:33" x14ac:dyDescent="0.25">
      <c r="A246" t="str">
        <f>"1467431296"</f>
        <v>1467431296</v>
      </c>
      <c r="B246" t="str">
        <f>"00606506"</f>
        <v>00606506</v>
      </c>
      <c r="C246" t="s">
        <v>1669</v>
      </c>
      <c r="D246" t="s">
        <v>1670</v>
      </c>
      <c r="E246" t="s">
        <v>1671</v>
      </c>
      <c r="G246" t="s">
        <v>1669</v>
      </c>
      <c r="H246" t="s">
        <v>1672</v>
      </c>
      <c r="J246" t="s">
        <v>1673</v>
      </c>
      <c r="L246" t="s">
        <v>150</v>
      </c>
      <c r="M246" t="s">
        <v>113</v>
      </c>
      <c r="R246" t="s">
        <v>1674</v>
      </c>
      <c r="W246" t="s">
        <v>1671</v>
      </c>
      <c r="X246" t="s">
        <v>1675</v>
      </c>
      <c r="Y246" t="s">
        <v>268</v>
      </c>
      <c r="Z246" t="s">
        <v>117</v>
      </c>
      <c r="AA246" t="str">
        <f>"14223-2647"</f>
        <v>14223-2647</v>
      </c>
      <c r="AB246" t="s">
        <v>118</v>
      </c>
      <c r="AC246" t="s">
        <v>119</v>
      </c>
      <c r="AD246" t="s">
        <v>113</v>
      </c>
      <c r="AE246" t="s">
        <v>120</v>
      </c>
      <c r="AG246" t="s">
        <v>121</v>
      </c>
    </row>
    <row r="247" spans="1:33" x14ac:dyDescent="0.25">
      <c r="A247" t="str">
        <f>"1467431429"</f>
        <v>1467431429</v>
      </c>
      <c r="B247" t="str">
        <f>"01660700"</f>
        <v>01660700</v>
      </c>
      <c r="C247" t="s">
        <v>1676</v>
      </c>
      <c r="D247" t="s">
        <v>1677</v>
      </c>
      <c r="E247" t="s">
        <v>1678</v>
      </c>
      <c r="G247" t="s">
        <v>330</v>
      </c>
      <c r="H247" t="s">
        <v>419</v>
      </c>
      <c r="J247" t="s">
        <v>332</v>
      </c>
      <c r="L247" t="s">
        <v>142</v>
      </c>
      <c r="M247" t="s">
        <v>113</v>
      </c>
      <c r="R247" t="s">
        <v>1679</v>
      </c>
      <c r="W247" t="s">
        <v>1678</v>
      </c>
      <c r="X247" t="s">
        <v>1648</v>
      </c>
      <c r="Y247" t="s">
        <v>116</v>
      </c>
      <c r="Z247" t="s">
        <v>117</v>
      </c>
      <c r="AA247" t="str">
        <f>"14214-2648"</f>
        <v>14214-2648</v>
      </c>
      <c r="AB247" t="s">
        <v>118</v>
      </c>
      <c r="AC247" t="s">
        <v>119</v>
      </c>
      <c r="AD247" t="s">
        <v>113</v>
      </c>
      <c r="AE247" t="s">
        <v>120</v>
      </c>
      <c r="AG247" t="s">
        <v>121</v>
      </c>
    </row>
    <row r="248" spans="1:33" x14ac:dyDescent="0.25">
      <c r="A248" t="str">
        <f>"1467446302"</f>
        <v>1467446302</v>
      </c>
      <c r="B248" t="str">
        <f>"01855403"</f>
        <v>01855403</v>
      </c>
      <c r="C248" t="s">
        <v>1680</v>
      </c>
      <c r="D248" t="s">
        <v>1681</v>
      </c>
      <c r="E248" t="s">
        <v>1682</v>
      </c>
      <c r="L248" t="s">
        <v>229</v>
      </c>
      <c r="M248" t="s">
        <v>113</v>
      </c>
      <c r="R248" t="s">
        <v>1680</v>
      </c>
      <c r="W248" t="s">
        <v>1682</v>
      </c>
      <c r="X248" t="s">
        <v>1683</v>
      </c>
      <c r="Y248" t="s">
        <v>663</v>
      </c>
      <c r="Z248" t="s">
        <v>117</v>
      </c>
      <c r="AA248" t="str">
        <f>"14094-5816"</f>
        <v>14094-5816</v>
      </c>
      <c r="AB248" t="s">
        <v>1263</v>
      </c>
      <c r="AC248" t="s">
        <v>119</v>
      </c>
      <c r="AD248" t="s">
        <v>113</v>
      </c>
      <c r="AE248" t="s">
        <v>120</v>
      </c>
      <c r="AG248" t="s">
        <v>121</v>
      </c>
    </row>
    <row r="249" spans="1:33" x14ac:dyDescent="0.25">
      <c r="A249" t="str">
        <f>"1578593315"</f>
        <v>1578593315</v>
      </c>
      <c r="B249" t="str">
        <f>"02341404"</f>
        <v>02341404</v>
      </c>
      <c r="C249" t="s">
        <v>1684</v>
      </c>
      <c r="D249" t="s">
        <v>1685</v>
      </c>
      <c r="E249" t="s">
        <v>1686</v>
      </c>
      <c r="G249" t="s">
        <v>1684</v>
      </c>
      <c r="H249" t="s">
        <v>1513</v>
      </c>
      <c r="J249" t="s">
        <v>1687</v>
      </c>
      <c r="L249" t="s">
        <v>142</v>
      </c>
      <c r="M249" t="s">
        <v>113</v>
      </c>
      <c r="R249" t="s">
        <v>1688</v>
      </c>
      <c r="W249" t="s">
        <v>1686</v>
      </c>
      <c r="X249" t="s">
        <v>1304</v>
      </c>
      <c r="Y249" t="s">
        <v>116</v>
      </c>
      <c r="Z249" t="s">
        <v>117</v>
      </c>
      <c r="AA249" t="str">
        <f>"14220-2039"</f>
        <v>14220-2039</v>
      </c>
      <c r="AB249" t="s">
        <v>118</v>
      </c>
      <c r="AC249" t="s">
        <v>119</v>
      </c>
      <c r="AD249" t="s">
        <v>113</v>
      </c>
      <c r="AE249" t="s">
        <v>120</v>
      </c>
      <c r="AG249" t="s">
        <v>121</v>
      </c>
    </row>
    <row r="250" spans="1:33" x14ac:dyDescent="0.25">
      <c r="A250" t="str">
        <f>"1578594891"</f>
        <v>1578594891</v>
      </c>
      <c r="B250" t="str">
        <f>"02942863"</f>
        <v>02942863</v>
      </c>
      <c r="C250" t="s">
        <v>1689</v>
      </c>
      <c r="D250" t="s">
        <v>1690</v>
      </c>
      <c r="E250" t="s">
        <v>1691</v>
      </c>
      <c r="G250" t="s">
        <v>1692</v>
      </c>
      <c r="H250" t="s">
        <v>1693</v>
      </c>
      <c r="J250" t="s">
        <v>1694</v>
      </c>
      <c r="L250" t="s">
        <v>112</v>
      </c>
      <c r="M250" t="s">
        <v>113</v>
      </c>
      <c r="R250" t="s">
        <v>1695</v>
      </c>
      <c r="W250" t="s">
        <v>1691</v>
      </c>
      <c r="X250" t="s">
        <v>511</v>
      </c>
      <c r="Y250" t="s">
        <v>512</v>
      </c>
      <c r="Z250" t="s">
        <v>117</v>
      </c>
      <c r="AA250" t="str">
        <f>"14092-1903"</f>
        <v>14092-1903</v>
      </c>
      <c r="AB250" t="s">
        <v>118</v>
      </c>
      <c r="AC250" t="s">
        <v>119</v>
      </c>
      <c r="AD250" t="s">
        <v>113</v>
      </c>
      <c r="AE250" t="s">
        <v>120</v>
      </c>
      <c r="AG250" t="s">
        <v>121</v>
      </c>
    </row>
    <row r="251" spans="1:33" x14ac:dyDescent="0.25">
      <c r="A251" t="str">
        <f>"1578606638"</f>
        <v>1578606638</v>
      </c>
      <c r="B251" t="str">
        <f>"03725486"</f>
        <v>03725486</v>
      </c>
      <c r="C251" t="s">
        <v>1696</v>
      </c>
      <c r="D251" t="s">
        <v>1697</v>
      </c>
      <c r="E251" t="s">
        <v>1698</v>
      </c>
      <c r="G251" t="s">
        <v>1699</v>
      </c>
      <c r="H251" t="s">
        <v>1700</v>
      </c>
      <c r="J251" t="s">
        <v>1701</v>
      </c>
      <c r="L251" t="s">
        <v>1033</v>
      </c>
      <c r="M251" t="s">
        <v>113</v>
      </c>
      <c r="R251" t="s">
        <v>1702</v>
      </c>
      <c r="W251" t="s">
        <v>1698</v>
      </c>
      <c r="X251" t="s">
        <v>1703</v>
      </c>
      <c r="Y251" t="s">
        <v>116</v>
      </c>
      <c r="Z251" t="s">
        <v>117</v>
      </c>
      <c r="AA251" t="str">
        <f>"14209-2013"</f>
        <v>14209-2013</v>
      </c>
      <c r="AB251" t="s">
        <v>621</v>
      </c>
      <c r="AC251" t="s">
        <v>119</v>
      </c>
      <c r="AD251" t="s">
        <v>113</v>
      </c>
      <c r="AE251" t="s">
        <v>120</v>
      </c>
      <c r="AG251" t="s">
        <v>121</v>
      </c>
    </row>
    <row r="252" spans="1:33" x14ac:dyDescent="0.25">
      <c r="A252" t="str">
        <f>"1578611984"</f>
        <v>1578611984</v>
      </c>
      <c r="B252" t="str">
        <f>"01717197"</f>
        <v>01717197</v>
      </c>
      <c r="C252" t="s">
        <v>1704</v>
      </c>
      <c r="D252" t="s">
        <v>1705</v>
      </c>
      <c r="E252" t="s">
        <v>1706</v>
      </c>
      <c r="G252" t="s">
        <v>1704</v>
      </c>
      <c r="H252" t="s">
        <v>437</v>
      </c>
      <c r="J252" t="s">
        <v>1707</v>
      </c>
      <c r="L252" t="s">
        <v>112</v>
      </c>
      <c r="M252" t="s">
        <v>199</v>
      </c>
      <c r="R252" t="s">
        <v>1708</v>
      </c>
      <c r="W252" t="s">
        <v>1706</v>
      </c>
      <c r="X252" t="s">
        <v>1709</v>
      </c>
      <c r="Y252" t="s">
        <v>116</v>
      </c>
      <c r="Z252" t="s">
        <v>117</v>
      </c>
      <c r="AA252" t="str">
        <f>"14213-1207"</f>
        <v>14213-1207</v>
      </c>
      <c r="AB252" t="s">
        <v>118</v>
      </c>
      <c r="AC252" t="s">
        <v>119</v>
      </c>
      <c r="AD252" t="s">
        <v>113</v>
      </c>
      <c r="AE252" t="s">
        <v>120</v>
      </c>
      <c r="AG252" t="s">
        <v>121</v>
      </c>
    </row>
    <row r="253" spans="1:33" x14ac:dyDescent="0.25">
      <c r="A253" t="str">
        <f>"1578615308"</f>
        <v>1578615308</v>
      </c>
      <c r="B253" t="str">
        <f>"03002302"</f>
        <v>03002302</v>
      </c>
      <c r="C253" t="s">
        <v>1710</v>
      </c>
      <c r="D253" t="s">
        <v>1711</v>
      </c>
      <c r="E253" t="s">
        <v>1712</v>
      </c>
      <c r="G253" t="s">
        <v>1713</v>
      </c>
      <c r="H253" t="s">
        <v>471</v>
      </c>
      <c r="L253" t="s">
        <v>1714</v>
      </c>
      <c r="M253" t="s">
        <v>199</v>
      </c>
      <c r="R253" t="s">
        <v>1710</v>
      </c>
      <c r="W253" t="s">
        <v>1712</v>
      </c>
      <c r="X253" t="s">
        <v>1715</v>
      </c>
      <c r="Y253" t="s">
        <v>116</v>
      </c>
      <c r="Z253" t="s">
        <v>117</v>
      </c>
      <c r="AA253" t="str">
        <f>"14214-1316"</f>
        <v>14214-1316</v>
      </c>
      <c r="AB253" t="s">
        <v>1146</v>
      </c>
      <c r="AC253" t="s">
        <v>119</v>
      </c>
      <c r="AD253" t="s">
        <v>113</v>
      </c>
      <c r="AE253" t="s">
        <v>120</v>
      </c>
      <c r="AG253" t="s">
        <v>121</v>
      </c>
    </row>
    <row r="254" spans="1:33" x14ac:dyDescent="0.25">
      <c r="A254" t="str">
        <f>"1578658613"</f>
        <v>1578658613</v>
      </c>
      <c r="B254" t="str">
        <f>"02504589"</f>
        <v>02504589</v>
      </c>
      <c r="C254" t="s">
        <v>1716</v>
      </c>
      <c r="D254" t="s">
        <v>1717</v>
      </c>
      <c r="E254" t="s">
        <v>1718</v>
      </c>
      <c r="G254" t="s">
        <v>1719</v>
      </c>
      <c r="H254" t="s">
        <v>213</v>
      </c>
      <c r="L254" t="s">
        <v>112</v>
      </c>
      <c r="M254" t="s">
        <v>113</v>
      </c>
      <c r="R254" t="s">
        <v>1719</v>
      </c>
      <c r="W254" t="s">
        <v>1718</v>
      </c>
      <c r="X254" t="s">
        <v>216</v>
      </c>
      <c r="Y254" t="s">
        <v>116</v>
      </c>
      <c r="Z254" t="s">
        <v>117</v>
      </c>
      <c r="AA254" t="str">
        <f>"14222-2006"</f>
        <v>14222-2006</v>
      </c>
      <c r="AB254" t="s">
        <v>118</v>
      </c>
      <c r="AC254" t="s">
        <v>119</v>
      </c>
      <c r="AD254" t="s">
        <v>113</v>
      </c>
      <c r="AE254" t="s">
        <v>120</v>
      </c>
      <c r="AG254" t="s">
        <v>121</v>
      </c>
    </row>
    <row r="255" spans="1:33" x14ac:dyDescent="0.25">
      <c r="A255" t="str">
        <f>"1578671582"</f>
        <v>1578671582</v>
      </c>
      <c r="B255" t="str">
        <f>"02813385"</f>
        <v>02813385</v>
      </c>
      <c r="C255" t="s">
        <v>1720</v>
      </c>
      <c r="D255" t="s">
        <v>1721</v>
      </c>
      <c r="E255" t="s">
        <v>1722</v>
      </c>
      <c r="G255" t="s">
        <v>1723</v>
      </c>
      <c r="H255" t="s">
        <v>1724</v>
      </c>
      <c r="J255" t="s">
        <v>1725</v>
      </c>
      <c r="L255" t="s">
        <v>112</v>
      </c>
      <c r="M255" t="s">
        <v>113</v>
      </c>
      <c r="R255" t="s">
        <v>1726</v>
      </c>
      <c r="W255" t="s">
        <v>1722</v>
      </c>
      <c r="X255" t="s">
        <v>1727</v>
      </c>
      <c r="Y255" t="s">
        <v>192</v>
      </c>
      <c r="Z255" t="s">
        <v>117</v>
      </c>
      <c r="AA255" t="str">
        <f>"14020-1631"</f>
        <v>14020-1631</v>
      </c>
      <c r="AB255" t="s">
        <v>118</v>
      </c>
      <c r="AC255" t="s">
        <v>119</v>
      </c>
      <c r="AD255" t="s">
        <v>113</v>
      </c>
      <c r="AE255" t="s">
        <v>120</v>
      </c>
      <c r="AG255" t="s">
        <v>121</v>
      </c>
    </row>
    <row r="256" spans="1:33" x14ac:dyDescent="0.25">
      <c r="A256" t="str">
        <f>"1487704508"</f>
        <v>1487704508</v>
      </c>
      <c r="B256" t="str">
        <f>"03728503"</f>
        <v>03728503</v>
      </c>
      <c r="C256" t="s">
        <v>1728</v>
      </c>
      <c r="D256" t="s">
        <v>1729</v>
      </c>
      <c r="E256" t="s">
        <v>1730</v>
      </c>
      <c r="G256" t="s">
        <v>1731</v>
      </c>
      <c r="H256" t="s">
        <v>437</v>
      </c>
      <c r="J256" t="s">
        <v>438</v>
      </c>
      <c r="L256" t="s">
        <v>112</v>
      </c>
      <c r="M256" t="s">
        <v>113</v>
      </c>
      <c r="R256" t="s">
        <v>1732</v>
      </c>
      <c r="W256" t="s">
        <v>1730</v>
      </c>
      <c r="X256" t="s">
        <v>1218</v>
      </c>
      <c r="Y256" t="s">
        <v>318</v>
      </c>
      <c r="Z256" t="s">
        <v>117</v>
      </c>
      <c r="AA256" t="str">
        <f>"14225-4985"</f>
        <v>14225-4985</v>
      </c>
      <c r="AB256" t="s">
        <v>621</v>
      </c>
      <c r="AC256" t="s">
        <v>119</v>
      </c>
      <c r="AD256" t="s">
        <v>113</v>
      </c>
      <c r="AE256" t="s">
        <v>120</v>
      </c>
      <c r="AG256" t="s">
        <v>121</v>
      </c>
    </row>
    <row r="257" spans="1:33" x14ac:dyDescent="0.25">
      <c r="A257" t="str">
        <f>"1487712857"</f>
        <v>1487712857</v>
      </c>
      <c r="C257" t="s">
        <v>1733</v>
      </c>
      <c r="G257" t="s">
        <v>1734</v>
      </c>
      <c r="H257" t="s">
        <v>1735</v>
      </c>
      <c r="J257" t="s">
        <v>1736</v>
      </c>
      <c r="K257" t="s">
        <v>303</v>
      </c>
      <c r="L257" t="s">
        <v>112</v>
      </c>
      <c r="M257" t="s">
        <v>113</v>
      </c>
      <c r="R257" t="s">
        <v>1737</v>
      </c>
      <c r="S257" t="s">
        <v>1738</v>
      </c>
      <c r="T257" t="s">
        <v>129</v>
      </c>
      <c r="U257" t="s">
        <v>117</v>
      </c>
      <c r="V257" t="str">
        <f>"142243022"</f>
        <v>142243022</v>
      </c>
      <c r="AC257" t="s">
        <v>119</v>
      </c>
      <c r="AD257" t="s">
        <v>113</v>
      </c>
      <c r="AE257" t="s">
        <v>306</v>
      </c>
      <c r="AG257" t="s">
        <v>121</v>
      </c>
    </row>
    <row r="258" spans="1:33" x14ac:dyDescent="0.25">
      <c r="A258" t="str">
        <f>"1487724795"</f>
        <v>1487724795</v>
      </c>
      <c r="B258" t="str">
        <f>"00644555"</f>
        <v>00644555</v>
      </c>
      <c r="C258" t="s">
        <v>1739</v>
      </c>
      <c r="D258" t="s">
        <v>1740</v>
      </c>
      <c r="E258" t="s">
        <v>1741</v>
      </c>
      <c r="G258" t="s">
        <v>1739</v>
      </c>
      <c r="H258" t="s">
        <v>1742</v>
      </c>
      <c r="J258" t="s">
        <v>1743</v>
      </c>
      <c r="L258" t="s">
        <v>150</v>
      </c>
      <c r="M258" t="s">
        <v>113</v>
      </c>
      <c r="R258" t="s">
        <v>1744</v>
      </c>
      <c r="W258" t="s">
        <v>1741</v>
      </c>
      <c r="X258" t="s">
        <v>1745</v>
      </c>
      <c r="Y258" t="s">
        <v>1545</v>
      </c>
      <c r="Z258" t="s">
        <v>117</v>
      </c>
      <c r="AA258" t="str">
        <f>"14218-2940"</f>
        <v>14218-2940</v>
      </c>
      <c r="AB258" t="s">
        <v>118</v>
      </c>
      <c r="AC258" t="s">
        <v>119</v>
      </c>
      <c r="AD258" t="s">
        <v>113</v>
      </c>
      <c r="AE258" t="s">
        <v>120</v>
      </c>
      <c r="AG258" t="s">
        <v>121</v>
      </c>
    </row>
    <row r="259" spans="1:33" x14ac:dyDescent="0.25">
      <c r="A259" t="str">
        <f>"1104956358"</f>
        <v>1104956358</v>
      </c>
      <c r="B259" t="str">
        <f>"03499910"</f>
        <v>03499910</v>
      </c>
      <c r="C259" t="s">
        <v>869</v>
      </c>
      <c r="D259" t="s">
        <v>11579</v>
      </c>
      <c r="E259" t="s">
        <v>6228</v>
      </c>
      <c r="G259" t="s">
        <v>12180</v>
      </c>
      <c r="H259" t="s">
        <v>9572</v>
      </c>
      <c r="J259" t="s">
        <v>861</v>
      </c>
      <c r="L259" t="s">
        <v>11580</v>
      </c>
      <c r="M259" t="s">
        <v>199</v>
      </c>
      <c r="R259" t="s">
        <v>869</v>
      </c>
      <c r="W259" t="s">
        <v>12193</v>
      </c>
      <c r="X259" t="s">
        <v>1845</v>
      </c>
      <c r="Y259" t="s">
        <v>816</v>
      </c>
      <c r="Z259" t="s">
        <v>117</v>
      </c>
      <c r="AA259" t="str">
        <f>"14120-6150"</f>
        <v>14120-6150</v>
      </c>
      <c r="AB259" t="s">
        <v>979</v>
      </c>
      <c r="AC259" t="s">
        <v>119</v>
      </c>
      <c r="AD259" t="s">
        <v>113</v>
      </c>
      <c r="AE259" t="s">
        <v>120</v>
      </c>
      <c r="AG259" t="s">
        <v>121</v>
      </c>
    </row>
    <row r="260" spans="1:33" x14ac:dyDescent="0.25">
      <c r="A260" t="str">
        <f>"1487784880"</f>
        <v>1487784880</v>
      </c>
      <c r="B260" t="str">
        <f>"00897347"</f>
        <v>00897347</v>
      </c>
      <c r="C260" t="s">
        <v>1748</v>
      </c>
      <c r="D260" t="s">
        <v>1749</v>
      </c>
      <c r="E260" t="s">
        <v>1750</v>
      </c>
      <c r="G260" t="s">
        <v>1748</v>
      </c>
      <c r="H260" t="s">
        <v>1751</v>
      </c>
      <c r="J260" t="s">
        <v>1752</v>
      </c>
      <c r="L260" t="s">
        <v>142</v>
      </c>
      <c r="M260" t="s">
        <v>113</v>
      </c>
      <c r="R260" t="s">
        <v>1753</v>
      </c>
      <c r="W260" t="s">
        <v>1750</v>
      </c>
      <c r="X260" t="s">
        <v>1754</v>
      </c>
      <c r="Y260" t="s">
        <v>377</v>
      </c>
      <c r="Z260" t="s">
        <v>117</v>
      </c>
      <c r="AA260" t="str">
        <f>"14217-2244"</f>
        <v>14217-2244</v>
      </c>
      <c r="AB260" t="s">
        <v>1755</v>
      </c>
      <c r="AC260" t="s">
        <v>119</v>
      </c>
      <c r="AD260" t="s">
        <v>113</v>
      </c>
      <c r="AE260" t="s">
        <v>120</v>
      </c>
      <c r="AG260" t="s">
        <v>121</v>
      </c>
    </row>
    <row r="261" spans="1:33" x14ac:dyDescent="0.25">
      <c r="A261" t="str">
        <f>"1487790879"</f>
        <v>1487790879</v>
      </c>
      <c r="B261" t="str">
        <f>"01368996"</f>
        <v>01368996</v>
      </c>
      <c r="C261" t="s">
        <v>1756</v>
      </c>
      <c r="D261" t="s">
        <v>1757</v>
      </c>
      <c r="E261" t="s">
        <v>1758</v>
      </c>
      <c r="H261" t="s">
        <v>1759</v>
      </c>
      <c r="L261" t="s">
        <v>229</v>
      </c>
      <c r="M261" t="s">
        <v>113</v>
      </c>
      <c r="R261" t="s">
        <v>1756</v>
      </c>
      <c r="W261" t="s">
        <v>1756</v>
      </c>
      <c r="X261" t="s">
        <v>1760</v>
      </c>
      <c r="Y261" t="s">
        <v>1545</v>
      </c>
      <c r="Z261" t="s">
        <v>117</v>
      </c>
      <c r="AA261" t="str">
        <f>"14218-2834"</f>
        <v>14218-2834</v>
      </c>
      <c r="AB261" t="s">
        <v>1146</v>
      </c>
      <c r="AC261" t="s">
        <v>119</v>
      </c>
      <c r="AD261" t="s">
        <v>113</v>
      </c>
      <c r="AE261" t="s">
        <v>120</v>
      </c>
      <c r="AG261" t="s">
        <v>121</v>
      </c>
    </row>
    <row r="262" spans="1:33" x14ac:dyDescent="0.25">
      <c r="A262" t="str">
        <f>"1487844346"</f>
        <v>1487844346</v>
      </c>
      <c r="B262" t="str">
        <f>"03037652"</f>
        <v>03037652</v>
      </c>
      <c r="C262" t="s">
        <v>1761</v>
      </c>
      <c r="D262" t="s">
        <v>1762</v>
      </c>
      <c r="E262" t="s">
        <v>1763</v>
      </c>
      <c r="L262" t="s">
        <v>150</v>
      </c>
      <c r="M262" t="s">
        <v>199</v>
      </c>
      <c r="R262" t="s">
        <v>1764</v>
      </c>
      <c r="W262" t="s">
        <v>1765</v>
      </c>
      <c r="X262" t="s">
        <v>1766</v>
      </c>
      <c r="Y262" t="s">
        <v>1767</v>
      </c>
      <c r="Z262" t="s">
        <v>117</v>
      </c>
      <c r="AA262" t="str">
        <f>"14779-9625"</f>
        <v>14779-9625</v>
      </c>
      <c r="AB262" t="s">
        <v>118</v>
      </c>
      <c r="AC262" t="s">
        <v>119</v>
      </c>
      <c r="AD262" t="s">
        <v>113</v>
      </c>
      <c r="AE262" t="s">
        <v>120</v>
      </c>
      <c r="AG262" t="s">
        <v>121</v>
      </c>
    </row>
    <row r="263" spans="1:33" x14ac:dyDescent="0.25">
      <c r="A263" t="str">
        <f>"1902186430"</f>
        <v>1902186430</v>
      </c>
      <c r="C263" t="s">
        <v>1768</v>
      </c>
      <c r="G263" t="s">
        <v>1769</v>
      </c>
      <c r="H263" t="s">
        <v>351</v>
      </c>
      <c r="K263" t="s">
        <v>303</v>
      </c>
      <c r="L263" t="s">
        <v>112</v>
      </c>
      <c r="M263" t="s">
        <v>113</v>
      </c>
      <c r="R263" t="s">
        <v>1769</v>
      </c>
      <c r="S263" t="s">
        <v>409</v>
      </c>
      <c r="T263" t="s">
        <v>116</v>
      </c>
      <c r="U263" t="s">
        <v>117</v>
      </c>
      <c r="V263" t="str">
        <f>"142152814"</f>
        <v>142152814</v>
      </c>
      <c r="AC263" t="s">
        <v>119</v>
      </c>
      <c r="AD263" t="s">
        <v>113</v>
      </c>
      <c r="AE263" t="s">
        <v>306</v>
      </c>
      <c r="AG263" t="s">
        <v>121</v>
      </c>
    </row>
    <row r="264" spans="1:33" x14ac:dyDescent="0.25">
      <c r="A264" t="str">
        <f>"1902213168"</f>
        <v>1902213168</v>
      </c>
      <c r="B264" t="str">
        <f>"04007530"</f>
        <v>04007530</v>
      </c>
      <c r="C264" t="s">
        <v>1770</v>
      </c>
      <c r="D264" t="s">
        <v>1771</v>
      </c>
      <c r="E264" t="s">
        <v>1772</v>
      </c>
      <c r="G264" t="s">
        <v>1770</v>
      </c>
      <c r="H264" t="s">
        <v>1773</v>
      </c>
      <c r="J264" t="s">
        <v>1774</v>
      </c>
      <c r="L264" t="s">
        <v>150</v>
      </c>
      <c r="M264" t="s">
        <v>113</v>
      </c>
      <c r="R264" t="s">
        <v>1775</v>
      </c>
      <c r="W264" t="s">
        <v>1772</v>
      </c>
      <c r="X264" t="s">
        <v>1145</v>
      </c>
      <c r="Y264" t="s">
        <v>541</v>
      </c>
      <c r="Z264" t="s">
        <v>117</v>
      </c>
      <c r="AA264" t="str">
        <f>"14048-2137"</f>
        <v>14048-2137</v>
      </c>
      <c r="AB264" t="s">
        <v>118</v>
      </c>
      <c r="AC264" t="s">
        <v>119</v>
      </c>
      <c r="AD264" t="s">
        <v>113</v>
      </c>
      <c r="AE264" t="s">
        <v>120</v>
      </c>
      <c r="AG264" t="s">
        <v>121</v>
      </c>
    </row>
    <row r="265" spans="1:33" x14ac:dyDescent="0.25">
      <c r="A265" t="str">
        <f>"1902244551"</f>
        <v>1902244551</v>
      </c>
      <c r="C265" t="s">
        <v>1776</v>
      </c>
      <c r="G265" t="s">
        <v>1777</v>
      </c>
      <c r="H265" t="s">
        <v>351</v>
      </c>
      <c r="J265" t="s">
        <v>352</v>
      </c>
      <c r="K265" t="s">
        <v>303</v>
      </c>
      <c r="L265" t="s">
        <v>229</v>
      </c>
      <c r="M265" t="s">
        <v>113</v>
      </c>
      <c r="R265" t="s">
        <v>1778</v>
      </c>
      <c r="S265" t="s">
        <v>354</v>
      </c>
      <c r="T265" t="s">
        <v>116</v>
      </c>
      <c r="U265" t="s">
        <v>117</v>
      </c>
      <c r="V265" t="str">
        <f>"142152814"</f>
        <v>142152814</v>
      </c>
      <c r="AC265" t="s">
        <v>119</v>
      </c>
      <c r="AD265" t="s">
        <v>113</v>
      </c>
      <c r="AE265" t="s">
        <v>306</v>
      </c>
      <c r="AG265" t="s">
        <v>121</v>
      </c>
    </row>
    <row r="266" spans="1:33" x14ac:dyDescent="0.25">
      <c r="A266" t="str">
        <f>"1902836604"</f>
        <v>1902836604</v>
      </c>
      <c r="C266" t="s">
        <v>1779</v>
      </c>
      <c r="G266" t="s">
        <v>1780</v>
      </c>
      <c r="H266" t="s">
        <v>236</v>
      </c>
      <c r="J266" t="s">
        <v>1781</v>
      </c>
      <c r="K266" t="s">
        <v>303</v>
      </c>
      <c r="L266" t="s">
        <v>112</v>
      </c>
      <c r="M266" t="s">
        <v>113</v>
      </c>
      <c r="R266" t="s">
        <v>1782</v>
      </c>
      <c r="S266" t="s">
        <v>1783</v>
      </c>
      <c r="T266" t="s">
        <v>240</v>
      </c>
      <c r="U266" t="s">
        <v>117</v>
      </c>
      <c r="V266" t="str">
        <f>"14221"</f>
        <v>14221</v>
      </c>
      <c r="AC266" t="s">
        <v>119</v>
      </c>
      <c r="AD266" t="s">
        <v>113</v>
      </c>
      <c r="AE266" t="s">
        <v>306</v>
      </c>
      <c r="AG266" t="s">
        <v>121</v>
      </c>
    </row>
    <row r="267" spans="1:33" x14ac:dyDescent="0.25">
      <c r="A267" t="str">
        <f>"1902847197"</f>
        <v>1902847197</v>
      </c>
      <c r="B267" t="str">
        <f>"01876553"</f>
        <v>01876553</v>
      </c>
      <c r="C267" t="s">
        <v>1784</v>
      </c>
      <c r="D267" t="s">
        <v>1785</v>
      </c>
      <c r="E267" t="s">
        <v>1786</v>
      </c>
      <c r="L267" t="s">
        <v>142</v>
      </c>
      <c r="M267" t="s">
        <v>113</v>
      </c>
      <c r="R267" t="s">
        <v>1787</v>
      </c>
      <c r="W267" t="s">
        <v>1786</v>
      </c>
      <c r="X267" t="s">
        <v>253</v>
      </c>
      <c r="Y267" t="s">
        <v>116</v>
      </c>
      <c r="Z267" t="s">
        <v>117</v>
      </c>
      <c r="AA267" t="str">
        <f>"14215-3021"</f>
        <v>14215-3021</v>
      </c>
      <c r="AB267" t="s">
        <v>118</v>
      </c>
      <c r="AC267" t="s">
        <v>119</v>
      </c>
      <c r="AD267" t="s">
        <v>113</v>
      </c>
      <c r="AE267" t="s">
        <v>120</v>
      </c>
      <c r="AG267" t="s">
        <v>121</v>
      </c>
    </row>
    <row r="268" spans="1:33" x14ac:dyDescent="0.25">
      <c r="B268" t="str">
        <f>"02257472"</f>
        <v>02257472</v>
      </c>
      <c r="C268" t="s">
        <v>17993</v>
      </c>
      <c r="D268" t="s">
        <v>17994</v>
      </c>
      <c r="E268" t="s">
        <v>17995</v>
      </c>
      <c r="F268">
        <v>160757756</v>
      </c>
      <c r="H268" t="s">
        <v>1615</v>
      </c>
      <c r="L268" t="s">
        <v>69</v>
      </c>
      <c r="M268" t="s">
        <v>113</v>
      </c>
      <c r="W268" t="s">
        <v>17993</v>
      </c>
      <c r="X268" t="s">
        <v>11658</v>
      </c>
      <c r="Y268" t="s">
        <v>116</v>
      </c>
      <c r="Z268" t="s">
        <v>117</v>
      </c>
      <c r="AA268" t="str">
        <f>"14225-2523"</f>
        <v>14225-2523</v>
      </c>
      <c r="AB268" t="s">
        <v>291</v>
      </c>
      <c r="AC268" t="s">
        <v>119</v>
      </c>
      <c r="AD268" t="s">
        <v>113</v>
      </c>
      <c r="AE268" t="s">
        <v>120</v>
      </c>
      <c r="AG268" t="s">
        <v>121</v>
      </c>
    </row>
    <row r="269" spans="1:33" x14ac:dyDescent="0.25">
      <c r="A269" t="str">
        <f>"1619062304"</f>
        <v>1619062304</v>
      </c>
      <c r="C269" t="s">
        <v>1790</v>
      </c>
      <c r="G269" t="s">
        <v>1791</v>
      </c>
      <c r="H269" t="s">
        <v>1792</v>
      </c>
      <c r="J269" t="s">
        <v>1793</v>
      </c>
      <c r="K269" t="s">
        <v>303</v>
      </c>
      <c r="L269" t="s">
        <v>229</v>
      </c>
      <c r="M269" t="s">
        <v>113</v>
      </c>
      <c r="R269" t="s">
        <v>1794</v>
      </c>
      <c r="S269" t="s">
        <v>1795</v>
      </c>
      <c r="T269" t="s">
        <v>153</v>
      </c>
      <c r="U269" t="s">
        <v>117</v>
      </c>
      <c r="V269" t="str">
        <f>"143032236"</f>
        <v>143032236</v>
      </c>
      <c r="AC269" t="s">
        <v>119</v>
      </c>
      <c r="AD269" t="s">
        <v>113</v>
      </c>
      <c r="AE269" t="s">
        <v>306</v>
      </c>
      <c r="AG269" t="s">
        <v>121</v>
      </c>
    </row>
    <row r="270" spans="1:33" x14ac:dyDescent="0.25">
      <c r="A270" t="str">
        <f>"1619069168"</f>
        <v>1619069168</v>
      </c>
      <c r="B270" t="str">
        <f>"01843118"</f>
        <v>01843118</v>
      </c>
      <c r="C270" t="s">
        <v>1796</v>
      </c>
      <c r="D270" t="s">
        <v>1797</v>
      </c>
      <c r="E270" t="s">
        <v>1798</v>
      </c>
      <c r="G270" t="s">
        <v>1799</v>
      </c>
      <c r="H270" t="s">
        <v>213</v>
      </c>
      <c r="J270" t="s">
        <v>1800</v>
      </c>
      <c r="L270" t="s">
        <v>142</v>
      </c>
      <c r="M270" t="s">
        <v>113</v>
      </c>
      <c r="R270" t="s">
        <v>1801</v>
      </c>
      <c r="W270" t="s">
        <v>1798</v>
      </c>
      <c r="X270" t="s">
        <v>216</v>
      </c>
      <c r="Y270" t="s">
        <v>116</v>
      </c>
      <c r="Z270" t="s">
        <v>117</v>
      </c>
      <c r="AA270" t="str">
        <f>"14222-2006"</f>
        <v>14222-2006</v>
      </c>
      <c r="AB270" t="s">
        <v>118</v>
      </c>
      <c r="AC270" t="s">
        <v>119</v>
      </c>
      <c r="AD270" t="s">
        <v>113</v>
      </c>
      <c r="AE270" t="s">
        <v>120</v>
      </c>
      <c r="AG270" t="s">
        <v>121</v>
      </c>
    </row>
    <row r="271" spans="1:33" x14ac:dyDescent="0.25">
      <c r="A271" t="str">
        <f>"1720063514"</f>
        <v>1720063514</v>
      </c>
      <c r="B271" t="str">
        <f>"00615403"</f>
        <v>00615403</v>
      </c>
      <c r="C271" t="s">
        <v>1802</v>
      </c>
      <c r="D271" t="s">
        <v>1803</v>
      </c>
      <c r="E271" t="s">
        <v>1804</v>
      </c>
      <c r="G271" t="s">
        <v>1805</v>
      </c>
      <c r="H271" t="s">
        <v>1806</v>
      </c>
      <c r="J271" t="s">
        <v>1807</v>
      </c>
      <c r="L271" t="s">
        <v>112</v>
      </c>
      <c r="M271" t="s">
        <v>113</v>
      </c>
      <c r="R271" t="s">
        <v>1808</v>
      </c>
      <c r="W271" t="s">
        <v>1804</v>
      </c>
      <c r="X271" t="s">
        <v>838</v>
      </c>
      <c r="Y271" t="s">
        <v>240</v>
      </c>
      <c r="Z271" t="s">
        <v>117</v>
      </c>
      <c r="AA271" t="str">
        <f>"14221-3647"</f>
        <v>14221-3647</v>
      </c>
      <c r="AB271" t="s">
        <v>118</v>
      </c>
      <c r="AC271" t="s">
        <v>119</v>
      </c>
      <c r="AD271" t="s">
        <v>113</v>
      </c>
      <c r="AE271" t="s">
        <v>120</v>
      </c>
      <c r="AG271" t="s">
        <v>121</v>
      </c>
    </row>
    <row r="272" spans="1:33" x14ac:dyDescent="0.25">
      <c r="A272" t="str">
        <f>"1720069735"</f>
        <v>1720069735</v>
      </c>
      <c r="B272" t="str">
        <f>"02427136"</f>
        <v>02427136</v>
      </c>
      <c r="C272" t="s">
        <v>1809</v>
      </c>
      <c r="D272" t="s">
        <v>1810</v>
      </c>
      <c r="E272" t="s">
        <v>1811</v>
      </c>
      <c r="G272" t="s">
        <v>1812</v>
      </c>
      <c r="H272" t="s">
        <v>579</v>
      </c>
      <c r="L272" t="s">
        <v>142</v>
      </c>
      <c r="M272" t="s">
        <v>113</v>
      </c>
      <c r="R272" t="s">
        <v>1812</v>
      </c>
      <c r="W272" t="s">
        <v>1811</v>
      </c>
      <c r="X272" t="s">
        <v>152</v>
      </c>
      <c r="Y272" t="s">
        <v>153</v>
      </c>
      <c r="Z272" t="s">
        <v>117</v>
      </c>
      <c r="AA272" t="str">
        <f>"14301-1813"</f>
        <v>14301-1813</v>
      </c>
      <c r="AB272" t="s">
        <v>118</v>
      </c>
      <c r="AC272" t="s">
        <v>119</v>
      </c>
      <c r="AD272" t="s">
        <v>113</v>
      </c>
      <c r="AE272" t="s">
        <v>120</v>
      </c>
      <c r="AG272" t="s">
        <v>121</v>
      </c>
    </row>
    <row r="273" spans="1:33" x14ac:dyDescent="0.25">
      <c r="A273" t="str">
        <f>"1720070881"</f>
        <v>1720070881</v>
      </c>
      <c r="B273" t="str">
        <f>"02077250"</f>
        <v>02077250</v>
      </c>
      <c r="C273" t="s">
        <v>1813</v>
      </c>
      <c r="D273" t="s">
        <v>1814</v>
      </c>
      <c r="E273" t="s">
        <v>1815</v>
      </c>
      <c r="G273" t="s">
        <v>1816</v>
      </c>
      <c r="H273" t="s">
        <v>1817</v>
      </c>
      <c r="J273" t="s">
        <v>1818</v>
      </c>
      <c r="L273" t="s">
        <v>150</v>
      </c>
      <c r="M273" t="s">
        <v>113</v>
      </c>
      <c r="R273" t="s">
        <v>1819</v>
      </c>
      <c r="W273" t="s">
        <v>1815</v>
      </c>
      <c r="X273" t="s">
        <v>518</v>
      </c>
      <c r="Y273" t="s">
        <v>305</v>
      </c>
      <c r="Z273" t="s">
        <v>117</v>
      </c>
      <c r="AA273" t="str">
        <f>"14760-1500"</f>
        <v>14760-1500</v>
      </c>
      <c r="AB273" t="s">
        <v>118</v>
      </c>
      <c r="AC273" t="s">
        <v>119</v>
      </c>
      <c r="AD273" t="s">
        <v>113</v>
      </c>
      <c r="AE273" t="s">
        <v>120</v>
      </c>
      <c r="AG273" t="s">
        <v>121</v>
      </c>
    </row>
    <row r="274" spans="1:33" x14ac:dyDescent="0.25">
      <c r="A274" t="str">
        <f>"1720071780"</f>
        <v>1720071780</v>
      </c>
      <c r="B274" t="str">
        <f>"02257743"</f>
        <v>02257743</v>
      </c>
      <c r="C274" t="s">
        <v>1820</v>
      </c>
      <c r="D274" t="s">
        <v>1821</v>
      </c>
      <c r="E274" t="s">
        <v>1822</v>
      </c>
      <c r="G274" t="s">
        <v>1820</v>
      </c>
      <c r="H274" t="s">
        <v>419</v>
      </c>
      <c r="J274" t="s">
        <v>1823</v>
      </c>
      <c r="L274" t="s">
        <v>142</v>
      </c>
      <c r="M274" t="s">
        <v>113</v>
      </c>
      <c r="R274" t="s">
        <v>1824</v>
      </c>
      <c r="W274" t="s">
        <v>1822</v>
      </c>
      <c r="X274" t="s">
        <v>1825</v>
      </c>
      <c r="Y274" t="s">
        <v>348</v>
      </c>
      <c r="Z274" t="s">
        <v>117</v>
      </c>
      <c r="AA274" t="str">
        <f>"14043-4783"</f>
        <v>14043-4783</v>
      </c>
      <c r="AB274" t="s">
        <v>118</v>
      </c>
      <c r="AC274" t="s">
        <v>119</v>
      </c>
      <c r="AD274" t="s">
        <v>113</v>
      </c>
      <c r="AE274" t="s">
        <v>120</v>
      </c>
      <c r="AG274" t="s">
        <v>121</v>
      </c>
    </row>
    <row r="275" spans="1:33" x14ac:dyDescent="0.25">
      <c r="A275" t="str">
        <f>"1720084122"</f>
        <v>1720084122</v>
      </c>
      <c r="B275" t="str">
        <f>"02346014"</f>
        <v>02346014</v>
      </c>
      <c r="C275" t="s">
        <v>1826</v>
      </c>
      <c r="D275" t="s">
        <v>1827</v>
      </c>
      <c r="E275" t="s">
        <v>1828</v>
      </c>
      <c r="G275" t="s">
        <v>1826</v>
      </c>
      <c r="H275" t="s">
        <v>707</v>
      </c>
      <c r="J275" t="s">
        <v>1829</v>
      </c>
      <c r="L275" t="s">
        <v>142</v>
      </c>
      <c r="M275" t="s">
        <v>113</v>
      </c>
      <c r="R275" t="s">
        <v>1830</v>
      </c>
      <c r="W275" t="s">
        <v>1828</v>
      </c>
      <c r="X275" t="s">
        <v>1831</v>
      </c>
      <c r="Y275" t="s">
        <v>116</v>
      </c>
      <c r="Z275" t="s">
        <v>117</v>
      </c>
      <c r="AA275" t="str">
        <f>"14263-0001"</f>
        <v>14263-0001</v>
      </c>
      <c r="AB275" t="s">
        <v>118</v>
      </c>
      <c r="AC275" t="s">
        <v>119</v>
      </c>
      <c r="AD275" t="s">
        <v>113</v>
      </c>
      <c r="AE275" t="s">
        <v>120</v>
      </c>
      <c r="AG275" t="s">
        <v>121</v>
      </c>
    </row>
    <row r="276" spans="1:33" x14ac:dyDescent="0.25">
      <c r="A276" t="str">
        <f>"1720088081"</f>
        <v>1720088081</v>
      </c>
      <c r="B276" t="str">
        <f>"00840455"</f>
        <v>00840455</v>
      </c>
      <c r="C276" t="s">
        <v>1832</v>
      </c>
      <c r="D276" t="s">
        <v>1833</v>
      </c>
      <c r="E276" t="s">
        <v>1834</v>
      </c>
      <c r="G276" t="s">
        <v>1832</v>
      </c>
      <c r="H276" t="s">
        <v>1835</v>
      </c>
      <c r="J276" t="s">
        <v>1836</v>
      </c>
      <c r="L276" t="s">
        <v>150</v>
      </c>
      <c r="M276" t="s">
        <v>113</v>
      </c>
      <c r="R276" t="s">
        <v>1837</v>
      </c>
      <c r="W276" t="s">
        <v>1834</v>
      </c>
      <c r="X276" t="s">
        <v>1838</v>
      </c>
      <c r="Y276" t="s">
        <v>240</v>
      </c>
      <c r="Z276" t="s">
        <v>117</v>
      </c>
      <c r="AA276" t="str">
        <f>"14221-8602"</f>
        <v>14221-8602</v>
      </c>
      <c r="AB276" t="s">
        <v>118</v>
      </c>
      <c r="AC276" t="s">
        <v>119</v>
      </c>
      <c r="AD276" t="s">
        <v>113</v>
      </c>
      <c r="AE276" t="s">
        <v>120</v>
      </c>
      <c r="AG276" t="s">
        <v>121</v>
      </c>
    </row>
    <row r="277" spans="1:33" x14ac:dyDescent="0.25">
      <c r="A277" t="str">
        <f>"1720099336"</f>
        <v>1720099336</v>
      </c>
      <c r="B277" t="str">
        <f>"02094957"</f>
        <v>02094957</v>
      </c>
      <c r="C277" t="s">
        <v>1839</v>
      </c>
      <c r="D277" t="s">
        <v>1840</v>
      </c>
      <c r="E277" t="s">
        <v>1841</v>
      </c>
      <c r="G277" t="s">
        <v>1842</v>
      </c>
      <c r="H277" t="s">
        <v>205</v>
      </c>
      <c r="J277" t="s">
        <v>1843</v>
      </c>
      <c r="L277" t="s">
        <v>142</v>
      </c>
      <c r="M277" t="s">
        <v>113</v>
      </c>
      <c r="R277" t="s">
        <v>1844</v>
      </c>
      <c r="W277" t="s">
        <v>1841</v>
      </c>
      <c r="X277" t="s">
        <v>1845</v>
      </c>
      <c r="Y277" t="s">
        <v>816</v>
      </c>
      <c r="Z277" t="s">
        <v>117</v>
      </c>
      <c r="AA277" t="str">
        <f>"14120-6150"</f>
        <v>14120-6150</v>
      </c>
      <c r="AB277" t="s">
        <v>118</v>
      </c>
      <c r="AC277" t="s">
        <v>119</v>
      </c>
      <c r="AD277" t="s">
        <v>113</v>
      </c>
      <c r="AE277" t="s">
        <v>120</v>
      </c>
      <c r="AG277" t="s">
        <v>121</v>
      </c>
    </row>
    <row r="278" spans="1:33" x14ac:dyDescent="0.25">
      <c r="A278" t="str">
        <f>"1720099724"</f>
        <v>1720099724</v>
      </c>
      <c r="B278" t="str">
        <f>"04135746"</f>
        <v>04135746</v>
      </c>
      <c r="C278" t="s">
        <v>1846</v>
      </c>
      <c r="D278" t="s">
        <v>1847</v>
      </c>
      <c r="E278" t="s">
        <v>1848</v>
      </c>
      <c r="G278" t="s">
        <v>1846</v>
      </c>
      <c r="H278" t="s">
        <v>806</v>
      </c>
      <c r="J278" t="s">
        <v>1849</v>
      </c>
      <c r="L278" t="s">
        <v>112</v>
      </c>
      <c r="M278" t="s">
        <v>113</v>
      </c>
      <c r="R278" t="s">
        <v>1850</v>
      </c>
      <c r="W278" t="s">
        <v>1848</v>
      </c>
      <c r="X278" t="s">
        <v>1851</v>
      </c>
      <c r="Y278" t="s">
        <v>958</v>
      </c>
      <c r="Z278" t="s">
        <v>117</v>
      </c>
      <c r="AA278" t="str">
        <f>"14226-1726"</f>
        <v>14226-1726</v>
      </c>
      <c r="AB278" t="s">
        <v>118</v>
      </c>
      <c r="AC278" t="s">
        <v>119</v>
      </c>
      <c r="AD278" t="s">
        <v>113</v>
      </c>
      <c r="AE278" t="s">
        <v>120</v>
      </c>
      <c r="AG278" t="s">
        <v>121</v>
      </c>
    </row>
    <row r="279" spans="1:33" x14ac:dyDescent="0.25">
      <c r="A279" t="str">
        <f>"1720117500"</f>
        <v>1720117500</v>
      </c>
      <c r="B279" t="str">
        <f>"04052379"</f>
        <v>04052379</v>
      </c>
      <c r="C279" t="s">
        <v>1852</v>
      </c>
      <c r="D279" t="s">
        <v>1853</v>
      </c>
      <c r="E279" t="s">
        <v>1854</v>
      </c>
      <c r="G279" t="s">
        <v>1855</v>
      </c>
      <c r="H279" t="s">
        <v>437</v>
      </c>
      <c r="J279" t="s">
        <v>438</v>
      </c>
      <c r="L279" t="s">
        <v>112</v>
      </c>
      <c r="M279" t="s">
        <v>113</v>
      </c>
      <c r="R279" t="s">
        <v>1856</v>
      </c>
      <c r="W279" t="s">
        <v>1854</v>
      </c>
      <c r="X279" t="s">
        <v>1218</v>
      </c>
      <c r="Y279" t="s">
        <v>318</v>
      </c>
      <c r="Z279" t="s">
        <v>117</v>
      </c>
      <c r="AA279" t="str">
        <f>"14225-4985"</f>
        <v>14225-4985</v>
      </c>
      <c r="AB279" t="s">
        <v>621</v>
      </c>
      <c r="AC279" t="s">
        <v>119</v>
      </c>
      <c r="AD279" t="s">
        <v>113</v>
      </c>
      <c r="AE279" t="s">
        <v>120</v>
      </c>
      <c r="AG279" t="s">
        <v>121</v>
      </c>
    </row>
    <row r="280" spans="1:33" x14ac:dyDescent="0.25">
      <c r="A280" t="str">
        <f>"1720122021"</f>
        <v>1720122021</v>
      </c>
      <c r="C280" t="s">
        <v>1857</v>
      </c>
      <c r="G280" t="s">
        <v>1858</v>
      </c>
      <c r="H280" t="s">
        <v>1859</v>
      </c>
      <c r="J280" t="s">
        <v>1860</v>
      </c>
      <c r="K280" t="s">
        <v>303</v>
      </c>
      <c r="L280" t="s">
        <v>229</v>
      </c>
      <c r="M280" t="s">
        <v>113</v>
      </c>
      <c r="R280" t="s">
        <v>1861</v>
      </c>
      <c r="S280" t="s">
        <v>1862</v>
      </c>
      <c r="T280" t="s">
        <v>326</v>
      </c>
      <c r="U280" t="s">
        <v>117</v>
      </c>
      <c r="V280" t="str">
        <f>"141271524"</f>
        <v>141271524</v>
      </c>
      <c r="AC280" t="s">
        <v>119</v>
      </c>
      <c r="AD280" t="s">
        <v>113</v>
      </c>
      <c r="AE280" t="s">
        <v>306</v>
      </c>
      <c r="AG280" t="s">
        <v>121</v>
      </c>
    </row>
    <row r="281" spans="1:33" x14ac:dyDescent="0.25">
      <c r="A281" t="str">
        <f>"1720143068"</f>
        <v>1720143068</v>
      </c>
      <c r="B281" t="str">
        <f>"01431043"</f>
        <v>01431043</v>
      </c>
      <c r="C281" t="s">
        <v>1863</v>
      </c>
      <c r="D281" t="s">
        <v>1864</v>
      </c>
      <c r="E281" t="s">
        <v>1865</v>
      </c>
      <c r="H281" t="s">
        <v>1866</v>
      </c>
      <c r="L281" t="s">
        <v>229</v>
      </c>
      <c r="M281" t="s">
        <v>113</v>
      </c>
      <c r="R281" t="s">
        <v>1863</v>
      </c>
      <c r="W281" t="s">
        <v>1865</v>
      </c>
      <c r="X281" t="s">
        <v>1867</v>
      </c>
      <c r="Y281" t="s">
        <v>847</v>
      </c>
      <c r="Z281" t="s">
        <v>117</v>
      </c>
      <c r="AA281" t="str">
        <f>"14569-1329"</f>
        <v>14569-1329</v>
      </c>
      <c r="AB281" t="s">
        <v>1146</v>
      </c>
      <c r="AC281" t="s">
        <v>119</v>
      </c>
      <c r="AD281" t="s">
        <v>113</v>
      </c>
      <c r="AE281" t="s">
        <v>120</v>
      </c>
      <c r="AG281" t="s">
        <v>121</v>
      </c>
    </row>
    <row r="282" spans="1:33" x14ac:dyDescent="0.25">
      <c r="A282" t="str">
        <f>"1720153216"</f>
        <v>1720153216</v>
      </c>
      <c r="B282" t="str">
        <f>"01040931"</f>
        <v>01040931</v>
      </c>
      <c r="C282" t="s">
        <v>1868</v>
      </c>
      <c r="D282" t="s">
        <v>1869</v>
      </c>
      <c r="E282" t="s">
        <v>1870</v>
      </c>
      <c r="F282">
        <v>160794847</v>
      </c>
      <c r="H282" t="s">
        <v>1085</v>
      </c>
      <c r="L282" t="s">
        <v>69</v>
      </c>
      <c r="M282" t="s">
        <v>199</v>
      </c>
      <c r="R282" t="s">
        <v>1868</v>
      </c>
      <c r="W282" t="s">
        <v>1870</v>
      </c>
      <c r="X282" t="s">
        <v>1871</v>
      </c>
      <c r="Y282" t="s">
        <v>1872</v>
      </c>
      <c r="Z282" t="s">
        <v>117</v>
      </c>
      <c r="AA282" t="str">
        <f>"14132-9440"</f>
        <v>14132-9440</v>
      </c>
      <c r="AB282" t="s">
        <v>282</v>
      </c>
      <c r="AC282" t="s">
        <v>119</v>
      </c>
      <c r="AD282" t="s">
        <v>113</v>
      </c>
      <c r="AE282" t="s">
        <v>120</v>
      </c>
      <c r="AG282" t="s">
        <v>121</v>
      </c>
    </row>
    <row r="283" spans="1:33" x14ac:dyDescent="0.25">
      <c r="A283" t="str">
        <f>"1740376722"</f>
        <v>1740376722</v>
      </c>
      <c r="B283" t="str">
        <f>"02564143"</f>
        <v>02564143</v>
      </c>
      <c r="C283" t="s">
        <v>1873</v>
      </c>
      <c r="D283" t="s">
        <v>1874</v>
      </c>
      <c r="E283" t="s">
        <v>1875</v>
      </c>
      <c r="G283" t="s">
        <v>1876</v>
      </c>
      <c r="H283" t="s">
        <v>213</v>
      </c>
      <c r="J283" t="s">
        <v>1877</v>
      </c>
      <c r="L283" t="s">
        <v>728</v>
      </c>
      <c r="M283" t="s">
        <v>113</v>
      </c>
      <c r="R283" t="s">
        <v>1878</v>
      </c>
      <c r="W283" t="s">
        <v>1875</v>
      </c>
      <c r="X283" t="s">
        <v>216</v>
      </c>
      <c r="Y283" t="s">
        <v>116</v>
      </c>
      <c r="Z283" t="s">
        <v>117</v>
      </c>
      <c r="AA283" t="str">
        <f>"14222-2006"</f>
        <v>14222-2006</v>
      </c>
      <c r="AB283" t="s">
        <v>118</v>
      </c>
      <c r="AC283" t="s">
        <v>119</v>
      </c>
      <c r="AD283" t="s">
        <v>113</v>
      </c>
      <c r="AE283" t="s">
        <v>120</v>
      </c>
      <c r="AG283" t="s">
        <v>121</v>
      </c>
    </row>
    <row r="284" spans="1:33" x14ac:dyDescent="0.25">
      <c r="A284" t="str">
        <f>"1740381524"</f>
        <v>1740381524</v>
      </c>
      <c r="B284" t="str">
        <f>"01342805"</f>
        <v>01342805</v>
      </c>
      <c r="C284" t="s">
        <v>1879</v>
      </c>
      <c r="D284" t="s">
        <v>1880</v>
      </c>
      <c r="E284" t="s">
        <v>1881</v>
      </c>
      <c r="G284" t="s">
        <v>1882</v>
      </c>
      <c r="H284" t="s">
        <v>1883</v>
      </c>
      <c r="J284" t="s">
        <v>1884</v>
      </c>
      <c r="L284" t="s">
        <v>150</v>
      </c>
      <c r="M284" t="s">
        <v>113</v>
      </c>
      <c r="R284" t="s">
        <v>1885</v>
      </c>
      <c r="W284" t="s">
        <v>1881</v>
      </c>
      <c r="X284" t="s">
        <v>253</v>
      </c>
      <c r="Y284" t="s">
        <v>116</v>
      </c>
      <c r="Z284" t="s">
        <v>117</v>
      </c>
      <c r="AA284" t="str">
        <f>"14215-3021"</f>
        <v>14215-3021</v>
      </c>
      <c r="AB284" t="s">
        <v>118</v>
      </c>
      <c r="AC284" t="s">
        <v>119</v>
      </c>
      <c r="AD284" t="s">
        <v>113</v>
      </c>
      <c r="AE284" t="s">
        <v>120</v>
      </c>
      <c r="AG284" t="s">
        <v>121</v>
      </c>
    </row>
    <row r="285" spans="1:33" x14ac:dyDescent="0.25">
      <c r="A285" t="str">
        <f>"1740389832"</f>
        <v>1740389832</v>
      </c>
      <c r="B285" t="str">
        <f>"00697094"</f>
        <v>00697094</v>
      </c>
      <c r="C285" t="s">
        <v>1886</v>
      </c>
      <c r="D285" t="s">
        <v>1887</v>
      </c>
      <c r="E285" t="s">
        <v>1888</v>
      </c>
      <c r="G285" t="s">
        <v>1889</v>
      </c>
      <c r="H285" t="s">
        <v>213</v>
      </c>
      <c r="J285" t="s">
        <v>1890</v>
      </c>
      <c r="L285" t="s">
        <v>142</v>
      </c>
      <c r="M285" t="s">
        <v>199</v>
      </c>
      <c r="R285" t="s">
        <v>1891</v>
      </c>
      <c r="W285" t="s">
        <v>1892</v>
      </c>
      <c r="X285" t="s">
        <v>216</v>
      </c>
      <c r="Y285" t="s">
        <v>116</v>
      </c>
      <c r="Z285" t="s">
        <v>117</v>
      </c>
      <c r="AA285" t="str">
        <f>"14222-2006"</f>
        <v>14222-2006</v>
      </c>
      <c r="AB285" t="s">
        <v>118</v>
      </c>
      <c r="AC285" t="s">
        <v>119</v>
      </c>
      <c r="AD285" t="s">
        <v>113</v>
      </c>
      <c r="AE285" t="s">
        <v>120</v>
      </c>
      <c r="AG285" t="s">
        <v>121</v>
      </c>
    </row>
    <row r="286" spans="1:33" x14ac:dyDescent="0.25">
      <c r="A286" t="str">
        <f>"1740395763"</f>
        <v>1740395763</v>
      </c>
      <c r="B286" t="str">
        <f>"00666528"</f>
        <v>00666528</v>
      </c>
      <c r="C286" t="s">
        <v>1893</v>
      </c>
      <c r="D286" t="s">
        <v>1894</v>
      </c>
      <c r="E286" t="s">
        <v>1895</v>
      </c>
      <c r="G286" t="s">
        <v>1893</v>
      </c>
      <c r="H286" t="s">
        <v>1896</v>
      </c>
      <c r="J286" t="s">
        <v>1897</v>
      </c>
      <c r="L286" t="s">
        <v>142</v>
      </c>
      <c r="M286" t="s">
        <v>113</v>
      </c>
      <c r="R286" t="s">
        <v>1898</v>
      </c>
      <c r="W286" t="s">
        <v>1895</v>
      </c>
      <c r="X286" t="s">
        <v>1899</v>
      </c>
      <c r="Y286" t="s">
        <v>116</v>
      </c>
      <c r="Z286" t="s">
        <v>117</v>
      </c>
      <c r="AA286" t="str">
        <f>"14223-2864"</f>
        <v>14223-2864</v>
      </c>
      <c r="AB286" t="s">
        <v>118</v>
      </c>
      <c r="AC286" t="s">
        <v>119</v>
      </c>
      <c r="AD286" t="s">
        <v>113</v>
      </c>
      <c r="AE286" t="s">
        <v>120</v>
      </c>
      <c r="AG286" t="s">
        <v>121</v>
      </c>
    </row>
    <row r="287" spans="1:33" x14ac:dyDescent="0.25">
      <c r="A287" t="str">
        <f>"1740408137"</f>
        <v>1740408137</v>
      </c>
      <c r="B287" t="str">
        <f>"01059681"</f>
        <v>01059681</v>
      </c>
      <c r="C287" t="s">
        <v>1900</v>
      </c>
      <c r="D287" t="s">
        <v>1901</v>
      </c>
      <c r="E287" t="s">
        <v>1902</v>
      </c>
      <c r="H287" t="s">
        <v>1903</v>
      </c>
      <c r="L287" t="s">
        <v>142</v>
      </c>
      <c r="M287" t="s">
        <v>113</v>
      </c>
      <c r="R287" t="s">
        <v>1904</v>
      </c>
      <c r="W287" t="s">
        <v>1902</v>
      </c>
      <c r="AB287" t="s">
        <v>118</v>
      </c>
      <c r="AC287" t="s">
        <v>119</v>
      </c>
      <c r="AD287" t="s">
        <v>113</v>
      </c>
      <c r="AE287" t="s">
        <v>120</v>
      </c>
      <c r="AG287" t="s">
        <v>121</v>
      </c>
    </row>
    <row r="288" spans="1:33" x14ac:dyDescent="0.25">
      <c r="A288" t="str">
        <f>"1740413749"</f>
        <v>1740413749</v>
      </c>
      <c r="B288" t="str">
        <f>"03369293"</f>
        <v>03369293</v>
      </c>
      <c r="C288" t="s">
        <v>1905</v>
      </c>
      <c r="D288" t="s">
        <v>1906</v>
      </c>
      <c r="E288" t="s">
        <v>1907</v>
      </c>
      <c r="G288" t="s">
        <v>1908</v>
      </c>
      <c r="H288" t="s">
        <v>1909</v>
      </c>
      <c r="J288" t="s">
        <v>1910</v>
      </c>
      <c r="L288" t="s">
        <v>150</v>
      </c>
      <c r="M288" t="s">
        <v>113</v>
      </c>
      <c r="R288" t="s">
        <v>1911</v>
      </c>
      <c r="W288" t="s">
        <v>1912</v>
      </c>
      <c r="X288" t="s">
        <v>176</v>
      </c>
      <c r="Y288" t="s">
        <v>116</v>
      </c>
      <c r="Z288" t="s">
        <v>117</v>
      </c>
      <c r="AA288" t="str">
        <f>"14203-1126"</f>
        <v>14203-1126</v>
      </c>
      <c r="AB288" t="s">
        <v>118</v>
      </c>
      <c r="AC288" t="s">
        <v>119</v>
      </c>
      <c r="AD288" t="s">
        <v>113</v>
      </c>
      <c r="AE288" t="s">
        <v>120</v>
      </c>
      <c r="AG288" t="s">
        <v>121</v>
      </c>
    </row>
    <row r="289" spans="1:33" x14ac:dyDescent="0.25">
      <c r="A289" t="str">
        <f>"1740422708"</f>
        <v>1740422708</v>
      </c>
      <c r="B289" t="str">
        <f>"03192261"</f>
        <v>03192261</v>
      </c>
      <c r="C289" t="s">
        <v>1913</v>
      </c>
      <c r="D289" t="s">
        <v>1914</v>
      </c>
      <c r="E289" t="s">
        <v>1915</v>
      </c>
      <c r="G289" t="s">
        <v>1913</v>
      </c>
      <c r="H289" t="s">
        <v>1916</v>
      </c>
      <c r="J289" t="s">
        <v>1917</v>
      </c>
      <c r="L289" t="s">
        <v>142</v>
      </c>
      <c r="M289" t="s">
        <v>113</v>
      </c>
      <c r="R289" t="s">
        <v>1918</v>
      </c>
      <c r="W289" t="s">
        <v>1915</v>
      </c>
      <c r="X289" t="s">
        <v>176</v>
      </c>
      <c r="Y289" t="s">
        <v>116</v>
      </c>
      <c r="Z289" t="s">
        <v>117</v>
      </c>
      <c r="AA289" t="str">
        <f>"14203-1126"</f>
        <v>14203-1126</v>
      </c>
      <c r="AB289" t="s">
        <v>118</v>
      </c>
      <c r="AC289" t="s">
        <v>119</v>
      </c>
      <c r="AD289" t="s">
        <v>113</v>
      </c>
      <c r="AE289" t="s">
        <v>120</v>
      </c>
      <c r="AG289" t="s">
        <v>121</v>
      </c>
    </row>
    <row r="290" spans="1:33" x14ac:dyDescent="0.25">
      <c r="A290" t="str">
        <f>"1740461508"</f>
        <v>1740461508</v>
      </c>
      <c r="C290" t="s">
        <v>1919</v>
      </c>
      <c r="G290" t="s">
        <v>1920</v>
      </c>
      <c r="H290" t="s">
        <v>351</v>
      </c>
      <c r="J290" t="s">
        <v>352</v>
      </c>
      <c r="K290" t="s">
        <v>303</v>
      </c>
      <c r="L290" t="s">
        <v>112</v>
      </c>
      <c r="M290" t="s">
        <v>113</v>
      </c>
      <c r="R290" t="s">
        <v>1921</v>
      </c>
      <c r="S290" t="s">
        <v>1922</v>
      </c>
      <c r="T290" t="s">
        <v>268</v>
      </c>
      <c r="U290" t="s">
        <v>117</v>
      </c>
      <c r="V290" t="str">
        <f>"141508441"</f>
        <v>141508441</v>
      </c>
      <c r="AC290" t="s">
        <v>119</v>
      </c>
      <c r="AD290" t="s">
        <v>113</v>
      </c>
      <c r="AE290" t="s">
        <v>306</v>
      </c>
      <c r="AG290" t="s">
        <v>121</v>
      </c>
    </row>
    <row r="291" spans="1:33" x14ac:dyDescent="0.25">
      <c r="A291" t="str">
        <f>"1740463843"</f>
        <v>1740463843</v>
      </c>
      <c r="C291" t="s">
        <v>1923</v>
      </c>
      <c r="G291" t="s">
        <v>1924</v>
      </c>
      <c r="H291" t="s">
        <v>351</v>
      </c>
      <c r="J291" t="s">
        <v>352</v>
      </c>
      <c r="K291" t="s">
        <v>303</v>
      </c>
      <c r="L291" t="s">
        <v>229</v>
      </c>
      <c r="M291" t="s">
        <v>113</v>
      </c>
      <c r="R291" t="s">
        <v>1925</v>
      </c>
      <c r="S291" t="s">
        <v>409</v>
      </c>
      <c r="T291" t="s">
        <v>116</v>
      </c>
      <c r="U291" t="s">
        <v>117</v>
      </c>
      <c r="V291" t="str">
        <f>"142152814"</f>
        <v>142152814</v>
      </c>
      <c r="AC291" t="s">
        <v>119</v>
      </c>
      <c r="AD291" t="s">
        <v>113</v>
      </c>
      <c r="AE291" t="s">
        <v>306</v>
      </c>
      <c r="AG291" t="s">
        <v>121</v>
      </c>
    </row>
    <row r="292" spans="1:33" x14ac:dyDescent="0.25">
      <c r="A292" t="str">
        <f>"1740466218"</f>
        <v>1740466218</v>
      </c>
      <c r="B292" t="str">
        <f>"00937857"</f>
        <v>00937857</v>
      </c>
      <c r="C292" t="s">
        <v>1926</v>
      </c>
      <c r="D292" t="s">
        <v>1927</v>
      </c>
      <c r="E292" t="s">
        <v>1928</v>
      </c>
      <c r="L292" t="s">
        <v>150</v>
      </c>
      <c r="M292" t="s">
        <v>113</v>
      </c>
      <c r="R292" t="s">
        <v>1929</v>
      </c>
      <c r="W292" t="s">
        <v>1928</v>
      </c>
      <c r="X292" t="s">
        <v>1930</v>
      </c>
      <c r="Y292" t="s">
        <v>305</v>
      </c>
      <c r="Z292" t="s">
        <v>117</v>
      </c>
      <c r="AA292" t="str">
        <f>"14760-1598"</f>
        <v>14760-1598</v>
      </c>
      <c r="AB292" t="s">
        <v>118</v>
      </c>
      <c r="AC292" t="s">
        <v>119</v>
      </c>
      <c r="AD292" t="s">
        <v>113</v>
      </c>
      <c r="AE292" t="s">
        <v>120</v>
      </c>
      <c r="AG292" t="s">
        <v>121</v>
      </c>
    </row>
    <row r="293" spans="1:33" x14ac:dyDescent="0.25">
      <c r="A293" t="str">
        <f>"1740496561"</f>
        <v>1740496561</v>
      </c>
      <c r="B293" t="str">
        <f>"03551228"</f>
        <v>03551228</v>
      </c>
      <c r="C293" t="s">
        <v>1931</v>
      </c>
      <c r="D293" t="s">
        <v>1932</v>
      </c>
      <c r="E293" t="s">
        <v>1933</v>
      </c>
      <c r="H293" t="s">
        <v>1934</v>
      </c>
      <c r="L293" t="s">
        <v>1935</v>
      </c>
      <c r="M293" t="s">
        <v>113</v>
      </c>
      <c r="R293" t="s">
        <v>1936</v>
      </c>
      <c r="W293" t="s">
        <v>1933</v>
      </c>
      <c r="X293" t="s">
        <v>1459</v>
      </c>
      <c r="Y293" t="s">
        <v>305</v>
      </c>
      <c r="Z293" t="s">
        <v>117</v>
      </c>
      <c r="AA293" t="str">
        <f>"14760-1100"</f>
        <v>14760-1100</v>
      </c>
      <c r="AB293" t="s">
        <v>1146</v>
      </c>
      <c r="AC293" t="s">
        <v>119</v>
      </c>
      <c r="AD293" t="s">
        <v>113</v>
      </c>
      <c r="AE293" t="s">
        <v>120</v>
      </c>
      <c r="AG293" t="s">
        <v>121</v>
      </c>
    </row>
    <row r="294" spans="1:33" x14ac:dyDescent="0.25">
      <c r="A294" t="str">
        <f>"1740502301"</f>
        <v>1740502301</v>
      </c>
      <c r="B294" t="str">
        <f>"03194603"</f>
        <v>03194603</v>
      </c>
      <c r="C294" t="s">
        <v>1937</v>
      </c>
      <c r="D294" t="s">
        <v>1938</v>
      </c>
      <c r="E294" t="s">
        <v>1939</v>
      </c>
      <c r="G294" t="s">
        <v>1940</v>
      </c>
      <c r="H294" t="s">
        <v>1941</v>
      </c>
      <c r="J294" t="s">
        <v>1942</v>
      </c>
      <c r="L294" t="s">
        <v>142</v>
      </c>
      <c r="M294" t="s">
        <v>113</v>
      </c>
      <c r="R294" t="s">
        <v>1943</v>
      </c>
      <c r="W294" t="s">
        <v>1944</v>
      </c>
      <c r="X294" t="s">
        <v>216</v>
      </c>
      <c r="Y294" t="s">
        <v>116</v>
      </c>
      <c r="Z294" t="s">
        <v>117</v>
      </c>
      <c r="AA294" t="str">
        <f>"14222-2006"</f>
        <v>14222-2006</v>
      </c>
      <c r="AB294" t="s">
        <v>118</v>
      </c>
      <c r="AC294" t="s">
        <v>119</v>
      </c>
      <c r="AD294" t="s">
        <v>113</v>
      </c>
      <c r="AE294" t="s">
        <v>120</v>
      </c>
      <c r="AG294" t="s">
        <v>121</v>
      </c>
    </row>
    <row r="295" spans="1:33" x14ac:dyDescent="0.25">
      <c r="A295" t="str">
        <f>"1740509587"</f>
        <v>1740509587</v>
      </c>
      <c r="B295" t="str">
        <f>"03716805"</f>
        <v>03716805</v>
      </c>
      <c r="C295" t="s">
        <v>1945</v>
      </c>
      <c r="D295" t="s">
        <v>1946</v>
      </c>
      <c r="E295" t="s">
        <v>1947</v>
      </c>
      <c r="G295" t="s">
        <v>1948</v>
      </c>
      <c r="H295" t="s">
        <v>1949</v>
      </c>
      <c r="J295" t="s">
        <v>1950</v>
      </c>
      <c r="L295" t="s">
        <v>112</v>
      </c>
      <c r="M295" t="s">
        <v>113</v>
      </c>
      <c r="R295" t="s">
        <v>1951</v>
      </c>
      <c r="W295" t="s">
        <v>1952</v>
      </c>
      <c r="X295" t="s">
        <v>176</v>
      </c>
      <c r="Y295" t="s">
        <v>116</v>
      </c>
      <c r="Z295" t="s">
        <v>117</v>
      </c>
      <c r="AA295" t="str">
        <f>"14203-1126"</f>
        <v>14203-1126</v>
      </c>
      <c r="AB295" t="s">
        <v>118</v>
      </c>
      <c r="AC295" t="s">
        <v>119</v>
      </c>
      <c r="AD295" t="s">
        <v>113</v>
      </c>
      <c r="AE295" t="s">
        <v>120</v>
      </c>
      <c r="AG295" t="s">
        <v>121</v>
      </c>
    </row>
    <row r="296" spans="1:33" x14ac:dyDescent="0.25">
      <c r="A296" t="str">
        <f>"1740514017"</f>
        <v>1740514017</v>
      </c>
      <c r="C296" t="s">
        <v>1953</v>
      </c>
      <c r="G296" t="s">
        <v>1954</v>
      </c>
      <c r="J296" t="s">
        <v>1955</v>
      </c>
      <c r="K296" t="s">
        <v>303</v>
      </c>
      <c r="L296" t="s">
        <v>229</v>
      </c>
      <c r="M296" t="s">
        <v>113</v>
      </c>
      <c r="R296" t="s">
        <v>1956</v>
      </c>
      <c r="S296" t="s">
        <v>1957</v>
      </c>
      <c r="T296" t="s">
        <v>1958</v>
      </c>
      <c r="U296" t="s">
        <v>1959</v>
      </c>
      <c r="V296" t="str">
        <f>"967344454"</f>
        <v>967344454</v>
      </c>
      <c r="AC296" t="s">
        <v>119</v>
      </c>
      <c r="AD296" t="s">
        <v>113</v>
      </c>
      <c r="AE296" t="s">
        <v>306</v>
      </c>
      <c r="AG296" t="s">
        <v>121</v>
      </c>
    </row>
    <row r="297" spans="1:33" x14ac:dyDescent="0.25">
      <c r="A297" t="str">
        <f>"1740521194"</f>
        <v>1740521194</v>
      </c>
      <c r="B297" t="str">
        <f>"03573053"</f>
        <v>03573053</v>
      </c>
      <c r="C297" t="s">
        <v>1960</v>
      </c>
      <c r="D297" t="s">
        <v>1961</v>
      </c>
      <c r="E297" t="s">
        <v>1962</v>
      </c>
      <c r="G297" t="s">
        <v>1963</v>
      </c>
      <c r="H297" t="s">
        <v>1964</v>
      </c>
      <c r="J297" t="s">
        <v>1965</v>
      </c>
      <c r="L297" t="s">
        <v>112</v>
      </c>
      <c r="M297" t="s">
        <v>113</v>
      </c>
      <c r="R297" t="s">
        <v>1966</v>
      </c>
      <c r="W297" t="s">
        <v>1967</v>
      </c>
      <c r="X297" t="s">
        <v>176</v>
      </c>
      <c r="Y297" t="s">
        <v>116</v>
      </c>
      <c r="Z297" t="s">
        <v>117</v>
      </c>
      <c r="AA297" t="str">
        <f>"14203-1126"</f>
        <v>14203-1126</v>
      </c>
      <c r="AB297" t="s">
        <v>118</v>
      </c>
      <c r="AC297" t="s">
        <v>119</v>
      </c>
      <c r="AD297" t="s">
        <v>113</v>
      </c>
      <c r="AE297" t="s">
        <v>120</v>
      </c>
      <c r="AG297" t="s">
        <v>121</v>
      </c>
    </row>
    <row r="298" spans="1:33" x14ac:dyDescent="0.25">
      <c r="A298" t="str">
        <f>"1932283751"</f>
        <v>1932283751</v>
      </c>
      <c r="B298" t="str">
        <f>"02776974"</f>
        <v>02776974</v>
      </c>
      <c r="C298" t="s">
        <v>1968</v>
      </c>
      <c r="D298" t="s">
        <v>1969</v>
      </c>
      <c r="E298" t="s">
        <v>1970</v>
      </c>
      <c r="L298" t="s">
        <v>142</v>
      </c>
      <c r="M298" t="s">
        <v>199</v>
      </c>
      <c r="R298" t="s">
        <v>1971</v>
      </c>
      <c r="W298" t="s">
        <v>1972</v>
      </c>
      <c r="X298" t="s">
        <v>1973</v>
      </c>
      <c r="Y298" t="s">
        <v>116</v>
      </c>
      <c r="Z298" t="s">
        <v>117</v>
      </c>
      <c r="AA298" t="str">
        <f>"14214-1701"</f>
        <v>14214-1701</v>
      </c>
      <c r="AB298" t="s">
        <v>118</v>
      </c>
      <c r="AC298" t="s">
        <v>119</v>
      </c>
      <c r="AD298" t="s">
        <v>113</v>
      </c>
      <c r="AE298" t="s">
        <v>120</v>
      </c>
      <c r="AG298" t="s">
        <v>121</v>
      </c>
    </row>
    <row r="299" spans="1:33" x14ac:dyDescent="0.25">
      <c r="A299" t="str">
        <f>"1932319340"</f>
        <v>1932319340</v>
      </c>
      <c r="B299" t="str">
        <f>"01188710"</f>
        <v>01188710</v>
      </c>
      <c r="C299" t="s">
        <v>1974</v>
      </c>
      <c r="D299" t="s">
        <v>1975</v>
      </c>
      <c r="E299" t="s">
        <v>1976</v>
      </c>
      <c r="G299" t="s">
        <v>1974</v>
      </c>
      <c r="H299" t="s">
        <v>1977</v>
      </c>
      <c r="J299" t="s">
        <v>1978</v>
      </c>
      <c r="L299" t="s">
        <v>229</v>
      </c>
      <c r="M299" t="s">
        <v>113</v>
      </c>
      <c r="R299" t="s">
        <v>1979</v>
      </c>
      <c r="W299" t="s">
        <v>1976</v>
      </c>
      <c r="X299" t="s">
        <v>1980</v>
      </c>
      <c r="Y299" t="s">
        <v>116</v>
      </c>
      <c r="Z299" t="s">
        <v>117</v>
      </c>
      <c r="AA299" t="str">
        <f>"14216-1450"</f>
        <v>14216-1450</v>
      </c>
      <c r="AB299" t="s">
        <v>634</v>
      </c>
      <c r="AC299" t="s">
        <v>119</v>
      </c>
      <c r="AD299" t="s">
        <v>113</v>
      </c>
      <c r="AE299" t="s">
        <v>120</v>
      </c>
      <c r="AG299" t="s">
        <v>121</v>
      </c>
    </row>
    <row r="300" spans="1:33" x14ac:dyDescent="0.25">
      <c r="A300" t="str">
        <f>"1932335924"</f>
        <v>1932335924</v>
      </c>
      <c r="B300" t="str">
        <f>"03687152"</f>
        <v>03687152</v>
      </c>
      <c r="C300" t="s">
        <v>1981</v>
      </c>
      <c r="D300" t="s">
        <v>1982</v>
      </c>
      <c r="E300" t="s">
        <v>1983</v>
      </c>
      <c r="G300" t="s">
        <v>1981</v>
      </c>
      <c r="J300" t="s">
        <v>1984</v>
      </c>
      <c r="L300" t="s">
        <v>142</v>
      </c>
      <c r="M300" t="s">
        <v>113</v>
      </c>
      <c r="R300" t="s">
        <v>1985</v>
      </c>
      <c r="W300" t="s">
        <v>1983</v>
      </c>
      <c r="X300" t="s">
        <v>1986</v>
      </c>
      <c r="Y300" t="s">
        <v>116</v>
      </c>
      <c r="Z300" t="s">
        <v>117</v>
      </c>
      <c r="AA300" t="str">
        <f>"14207-1816"</f>
        <v>14207-1816</v>
      </c>
      <c r="AB300" t="s">
        <v>118</v>
      </c>
      <c r="AC300" t="s">
        <v>119</v>
      </c>
      <c r="AD300" t="s">
        <v>113</v>
      </c>
      <c r="AE300" t="s">
        <v>120</v>
      </c>
      <c r="AG300" t="s">
        <v>121</v>
      </c>
    </row>
    <row r="301" spans="1:33" x14ac:dyDescent="0.25">
      <c r="A301" t="str">
        <f>"1932343944"</f>
        <v>1932343944</v>
      </c>
      <c r="B301" t="str">
        <f>"03809285"</f>
        <v>03809285</v>
      </c>
      <c r="C301" t="s">
        <v>1987</v>
      </c>
      <c r="D301" t="s">
        <v>1988</v>
      </c>
      <c r="E301" t="s">
        <v>1989</v>
      </c>
      <c r="G301" t="s">
        <v>1203</v>
      </c>
      <c r="H301" t="s">
        <v>1204</v>
      </c>
      <c r="J301" t="s">
        <v>1205</v>
      </c>
      <c r="L301" t="s">
        <v>150</v>
      </c>
      <c r="M301" t="s">
        <v>113</v>
      </c>
      <c r="R301" t="s">
        <v>1990</v>
      </c>
      <c r="W301" t="s">
        <v>1989</v>
      </c>
      <c r="X301" t="s">
        <v>1207</v>
      </c>
      <c r="Y301" t="s">
        <v>153</v>
      </c>
      <c r="Z301" t="s">
        <v>117</v>
      </c>
      <c r="AA301" t="str">
        <f>"14304-5716"</f>
        <v>14304-5716</v>
      </c>
      <c r="AB301" t="s">
        <v>118</v>
      </c>
      <c r="AC301" t="s">
        <v>119</v>
      </c>
      <c r="AD301" t="s">
        <v>113</v>
      </c>
      <c r="AE301" t="s">
        <v>120</v>
      </c>
      <c r="AG301" t="s">
        <v>121</v>
      </c>
    </row>
    <row r="302" spans="1:33" x14ac:dyDescent="0.25">
      <c r="A302" t="str">
        <f>"1932354172"</f>
        <v>1932354172</v>
      </c>
      <c r="C302" t="s">
        <v>1991</v>
      </c>
      <c r="G302" t="s">
        <v>1992</v>
      </c>
      <c r="J302" t="s">
        <v>438</v>
      </c>
      <c r="K302" t="s">
        <v>303</v>
      </c>
      <c r="L302" t="s">
        <v>112</v>
      </c>
      <c r="M302" t="s">
        <v>113</v>
      </c>
      <c r="R302" t="s">
        <v>1993</v>
      </c>
      <c r="S302" t="s">
        <v>1994</v>
      </c>
      <c r="T302" t="s">
        <v>116</v>
      </c>
      <c r="U302" t="s">
        <v>117</v>
      </c>
      <c r="V302" t="str">
        <f>"142041811"</f>
        <v>142041811</v>
      </c>
      <c r="AC302" t="s">
        <v>119</v>
      </c>
      <c r="AD302" t="s">
        <v>113</v>
      </c>
      <c r="AE302" t="s">
        <v>306</v>
      </c>
      <c r="AG302" t="s">
        <v>121</v>
      </c>
    </row>
    <row r="303" spans="1:33" x14ac:dyDescent="0.25">
      <c r="A303" t="str">
        <f>"1932356003"</f>
        <v>1932356003</v>
      </c>
      <c r="B303" t="str">
        <f>"03528838"</f>
        <v>03528838</v>
      </c>
      <c r="C303" t="s">
        <v>1995</v>
      </c>
      <c r="D303" t="s">
        <v>1996</v>
      </c>
      <c r="E303" t="s">
        <v>1997</v>
      </c>
      <c r="G303" t="s">
        <v>1995</v>
      </c>
      <c r="J303" t="s">
        <v>1998</v>
      </c>
      <c r="L303" t="s">
        <v>142</v>
      </c>
      <c r="M303" t="s">
        <v>113</v>
      </c>
      <c r="R303" t="s">
        <v>1999</v>
      </c>
      <c r="W303" t="s">
        <v>1997</v>
      </c>
      <c r="X303" t="s">
        <v>253</v>
      </c>
      <c r="Y303" t="s">
        <v>116</v>
      </c>
      <c r="Z303" t="s">
        <v>117</v>
      </c>
      <c r="AA303" t="str">
        <f>"14215-3021"</f>
        <v>14215-3021</v>
      </c>
      <c r="AB303" t="s">
        <v>118</v>
      </c>
      <c r="AC303" t="s">
        <v>119</v>
      </c>
      <c r="AD303" t="s">
        <v>113</v>
      </c>
      <c r="AE303" t="s">
        <v>120</v>
      </c>
      <c r="AG303" t="s">
        <v>121</v>
      </c>
    </row>
    <row r="304" spans="1:33" x14ac:dyDescent="0.25">
      <c r="B304" t="str">
        <f>"00361968"</f>
        <v>00361968</v>
      </c>
      <c r="C304" t="s">
        <v>11581</v>
      </c>
      <c r="D304" t="s">
        <v>11579</v>
      </c>
      <c r="E304" t="s">
        <v>6228</v>
      </c>
      <c r="H304" t="s">
        <v>9472</v>
      </c>
      <c r="L304" t="s">
        <v>11580</v>
      </c>
      <c r="M304" t="s">
        <v>199</v>
      </c>
      <c r="W304" t="s">
        <v>11581</v>
      </c>
      <c r="X304" t="s">
        <v>176</v>
      </c>
      <c r="Y304" t="s">
        <v>116</v>
      </c>
      <c r="Z304" t="s">
        <v>117</v>
      </c>
      <c r="AA304" t="str">
        <f>"14203-1126"</f>
        <v>14203-1126</v>
      </c>
      <c r="AB304" t="s">
        <v>979</v>
      </c>
      <c r="AC304" t="s">
        <v>119</v>
      </c>
      <c r="AD304" t="s">
        <v>113</v>
      </c>
      <c r="AE304" t="s">
        <v>120</v>
      </c>
      <c r="AG304" t="s">
        <v>121</v>
      </c>
    </row>
    <row r="305" spans="1:33" x14ac:dyDescent="0.25">
      <c r="A305" t="str">
        <f>"1407841356"</f>
        <v>1407841356</v>
      </c>
      <c r="B305" t="str">
        <f>"03768265"</f>
        <v>03768265</v>
      </c>
      <c r="C305" t="s">
        <v>2008</v>
      </c>
      <c r="D305" t="s">
        <v>2009</v>
      </c>
      <c r="E305" t="s">
        <v>2010</v>
      </c>
      <c r="G305" t="s">
        <v>2011</v>
      </c>
      <c r="H305" t="s">
        <v>2012</v>
      </c>
      <c r="J305" t="s">
        <v>1660</v>
      </c>
      <c r="L305" t="s">
        <v>142</v>
      </c>
      <c r="M305" t="s">
        <v>113</v>
      </c>
      <c r="R305" t="s">
        <v>2013</v>
      </c>
      <c r="W305" t="s">
        <v>2010</v>
      </c>
      <c r="X305" t="s">
        <v>2014</v>
      </c>
      <c r="Y305" t="s">
        <v>2015</v>
      </c>
      <c r="Z305" t="s">
        <v>117</v>
      </c>
      <c r="AA305" t="str">
        <f>"14723-9820"</f>
        <v>14723-9820</v>
      </c>
      <c r="AB305" t="s">
        <v>118</v>
      </c>
      <c r="AC305" t="s">
        <v>119</v>
      </c>
      <c r="AD305" t="s">
        <v>113</v>
      </c>
      <c r="AE305" t="s">
        <v>120</v>
      </c>
      <c r="AG305" t="s">
        <v>121</v>
      </c>
    </row>
    <row r="306" spans="1:33" x14ac:dyDescent="0.25">
      <c r="A306" t="str">
        <f>"1407847064"</f>
        <v>1407847064</v>
      </c>
      <c r="B306" t="str">
        <f>"02165084"</f>
        <v>02165084</v>
      </c>
      <c r="C306" t="s">
        <v>2016</v>
      </c>
      <c r="D306" t="s">
        <v>2017</v>
      </c>
      <c r="E306" t="s">
        <v>2018</v>
      </c>
      <c r="G306" t="s">
        <v>2016</v>
      </c>
      <c r="H306" t="s">
        <v>707</v>
      </c>
      <c r="J306" t="s">
        <v>2019</v>
      </c>
      <c r="L306" t="s">
        <v>142</v>
      </c>
      <c r="M306" t="s">
        <v>113</v>
      </c>
      <c r="R306" t="s">
        <v>2020</v>
      </c>
      <c r="W306" t="s">
        <v>2021</v>
      </c>
      <c r="X306" t="s">
        <v>709</v>
      </c>
      <c r="Y306" t="s">
        <v>116</v>
      </c>
      <c r="Z306" t="s">
        <v>117</v>
      </c>
      <c r="AA306" t="str">
        <f>"14263-0001"</f>
        <v>14263-0001</v>
      </c>
      <c r="AB306" t="s">
        <v>118</v>
      </c>
      <c r="AC306" t="s">
        <v>119</v>
      </c>
      <c r="AD306" t="s">
        <v>113</v>
      </c>
      <c r="AE306" t="s">
        <v>120</v>
      </c>
      <c r="AG306" t="s">
        <v>121</v>
      </c>
    </row>
    <row r="307" spans="1:33" x14ac:dyDescent="0.25">
      <c r="A307" t="str">
        <f>"1407948656"</f>
        <v>1407948656</v>
      </c>
      <c r="C307" t="s">
        <v>2022</v>
      </c>
      <c r="G307" t="s">
        <v>2022</v>
      </c>
      <c r="H307" t="s">
        <v>2023</v>
      </c>
      <c r="J307" t="s">
        <v>2024</v>
      </c>
      <c r="K307" t="s">
        <v>634</v>
      </c>
      <c r="L307" t="s">
        <v>229</v>
      </c>
      <c r="M307" t="s">
        <v>113</v>
      </c>
      <c r="R307" t="s">
        <v>2025</v>
      </c>
      <c r="S307" t="s">
        <v>2026</v>
      </c>
      <c r="T307" t="s">
        <v>145</v>
      </c>
      <c r="U307" t="s">
        <v>117</v>
      </c>
      <c r="V307" t="str">
        <f>"140511885"</f>
        <v>140511885</v>
      </c>
      <c r="AC307" t="s">
        <v>119</v>
      </c>
      <c r="AD307" t="s">
        <v>113</v>
      </c>
      <c r="AE307" t="s">
        <v>306</v>
      </c>
      <c r="AG307" t="s">
        <v>121</v>
      </c>
    </row>
    <row r="308" spans="1:33" x14ac:dyDescent="0.25">
      <c r="A308" t="str">
        <f>"1407954480"</f>
        <v>1407954480</v>
      </c>
      <c r="B308" t="str">
        <f>"02429656"</f>
        <v>02429656</v>
      </c>
      <c r="C308" t="s">
        <v>2027</v>
      </c>
      <c r="D308" t="s">
        <v>2028</v>
      </c>
      <c r="E308" t="s">
        <v>2029</v>
      </c>
      <c r="G308" t="s">
        <v>2030</v>
      </c>
      <c r="H308" t="s">
        <v>2031</v>
      </c>
      <c r="J308" t="s">
        <v>2032</v>
      </c>
      <c r="L308" t="s">
        <v>112</v>
      </c>
      <c r="M308" t="s">
        <v>113</v>
      </c>
      <c r="R308" t="s">
        <v>2033</v>
      </c>
      <c r="W308" t="s">
        <v>2029</v>
      </c>
      <c r="X308" t="s">
        <v>1207</v>
      </c>
      <c r="Y308" t="s">
        <v>153</v>
      </c>
      <c r="Z308" t="s">
        <v>117</v>
      </c>
      <c r="AA308" t="str">
        <f>"14304-5705"</f>
        <v>14304-5705</v>
      </c>
      <c r="AB308" t="s">
        <v>118</v>
      </c>
      <c r="AC308" t="s">
        <v>119</v>
      </c>
      <c r="AD308" t="s">
        <v>113</v>
      </c>
      <c r="AE308" t="s">
        <v>120</v>
      </c>
      <c r="AG308" t="s">
        <v>121</v>
      </c>
    </row>
    <row r="309" spans="1:33" x14ac:dyDescent="0.25">
      <c r="A309" t="str">
        <f>"1407985526"</f>
        <v>1407985526</v>
      </c>
      <c r="B309" t="str">
        <f>"02656311"</f>
        <v>02656311</v>
      </c>
      <c r="C309" t="s">
        <v>2034</v>
      </c>
      <c r="D309" t="s">
        <v>2035</v>
      </c>
      <c r="E309" t="s">
        <v>2036</v>
      </c>
      <c r="G309" t="s">
        <v>2034</v>
      </c>
      <c r="H309" t="s">
        <v>2037</v>
      </c>
      <c r="J309" t="s">
        <v>2038</v>
      </c>
      <c r="L309" t="s">
        <v>112</v>
      </c>
      <c r="M309" t="s">
        <v>113</v>
      </c>
      <c r="R309" t="s">
        <v>2039</v>
      </c>
      <c r="W309" t="s">
        <v>2036</v>
      </c>
      <c r="X309" t="s">
        <v>216</v>
      </c>
      <c r="Y309" t="s">
        <v>116</v>
      </c>
      <c r="Z309" t="s">
        <v>117</v>
      </c>
      <c r="AA309" t="str">
        <f>"14222-2006"</f>
        <v>14222-2006</v>
      </c>
      <c r="AB309" t="s">
        <v>634</v>
      </c>
      <c r="AC309" t="s">
        <v>119</v>
      </c>
      <c r="AD309" t="s">
        <v>113</v>
      </c>
      <c r="AE309" t="s">
        <v>120</v>
      </c>
      <c r="AG309" t="s">
        <v>121</v>
      </c>
    </row>
    <row r="310" spans="1:33" x14ac:dyDescent="0.25">
      <c r="A310" t="str">
        <f>"1417037755"</f>
        <v>1417037755</v>
      </c>
      <c r="B310" t="str">
        <f>"02282048"</f>
        <v>02282048</v>
      </c>
      <c r="C310" t="s">
        <v>2040</v>
      </c>
      <c r="D310" t="s">
        <v>2041</v>
      </c>
      <c r="E310" t="s">
        <v>2042</v>
      </c>
      <c r="G310" t="s">
        <v>2043</v>
      </c>
      <c r="H310" t="s">
        <v>2044</v>
      </c>
      <c r="J310" t="s">
        <v>2045</v>
      </c>
      <c r="L310" t="s">
        <v>150</v>
      </c>
      <c r="M310" t="s">
        <v>199</v>
      </c>
      <c r="R310" t="s">
        <v>2046</v>
      </c>
      <c r="W310" t="s">
        <v>2042</v>
      </c>
      <c r="X310" t="s">
        <v>2047</v>
      </c>
      <c r="Y310" t="s">
        <v>116</v>
      </c>
      <c r="Z310" t="s">
        <v>117</v>
      </c>
      <c r="AA310" t="str">
        <f>"14222-2099"</f>
        <v>14222-2099</v>
      </c>
      <c r="AB310" t="s">
        <v>118</v>
      </c>
      <c r="AC310" t="s">
        <v>119</v>
      </c>
      <c r="AD310" t="s">
        <v>113</v>
      </c>
      <c r="AE310" t="s">
        <v>120</v>
      </c>
      <c r="AG310" t="s">
        <v>121</v>
      </c>
    </row>
    <row r="311" spans="1:33" x14ac:dyDescent="0.25">
      <c r="A311" t="str">
        <f>"1417058819"</f>
        <v>1417058819</v>
      </c>
      <c r="C311" t="s">
        <v>2048</v>
      </c>
      <c r="G311" t="s">
        <v>2049</v>
      </c>
      <c r="J311" t="s">
        <v>2050</v>
      </c>
      <c r="K311" t="s">
        <v>303</v>
      </c>
      <c r="L311" t="s">
        <v>112</v>
      </c>
      <c r="M311" t="s">
        <v>113</v>
      </c>
      <c r="R311" t="s">
        <v>2051</v>
      </c>
      <c r="S311" t="s">
        <v>2052</v>
      </c>
      <c r="T311" t="s">
        <v>116</v>
      </c>
      <c r="U311" t="s">
        <v>117</v>
      </c>
      <c r="V311" t="str">
        <f>"142072341"</f>
        <v>142072341</v>
      </c>
      <c r="AC311" t="s">
        <v>119</v>
      </c>
      <c r="AD311" t="s">
        <v>113</v>
      </c>
      <c r="AE311" t="s">
        <v>306</v>
      </c>
      <c r="AG311" t="s">
        <v>121</v>
      </c>
    </row>
    <row r="312" spans="1:33" x14ac:dyDescent="0.25">
      <c r="A312" t="str">
        <f>"1558504738"</f>
        <v>1558504738</v>
      </c>
      <c r="B312" t="str">
        <f>"03920885"</f>
        <v>03920885</v>
      </c>
      <c r="C312" t="s">
        <v>2053</v>
      </c>
      <c r="D312" t="s">
        <v>2054</v>
      </c>
      <c r="E312" t="s">
        <v>2055</v>
      </c>
      <c r="G312" t="s">
        <v>2056</v>
      </c>
      <c r="H312" t="s">
        <v>2057</v>
      </c>
      <c r="J312" t="s">
        <v>2058</v>
      </c>
      <c r="L312" t="s">
        <v>142</v>
      </c>
      <c r="M312" t="s">
        <v>113</v>
      </c>
      <c r="R312" t="s">
        <v>2059</v>
      </c>
      <c r="W312" t="s">
        <v>2055</v>
      </c>
      <c r="X312" t="s">
        <v>2060</v>
      </c>
      <c r="Y312" t="s">
        <v>116</v>
      </c>
      <c r="Z312" t="s">
        <v>117</v>
      </c>
      <c r="AA312" t="str">
        <f>"14215-3021"</f>
        <v>14215-3021</v>
      </c>
      <c r="AB312" t="s">
        <v>118</v>
      </c>
      <c r="AC312" t="s">
        <v>119</v>
      </c>
      <c r="AD312" t="s">
        <v>113</v>
      </c>
      <c r="AE312" t="s">
        <v>120</v>
      </c>
      <c r="AG312" t="s">
        <v>121</v>
      </c>
    </row>
    <row r="313" spans="1:33" x14ac:dyDescent="0.25">
      <c r="A313" t="str">
        <f>"1558522268"</f>
        <v>1558522268</v>
      </c>
      <c r="B313" t="str">
        <f>"03383800"</f>
        <v>03383800</v>
      </c>
      <c r="C313" t="s">
        <v>2061</v>
      </c>
      <c r="D313" t="s">
        <v>2062</v>
      </c>
      <c r="E313" t="s">
        <v>2063</v>
      </c>
      <c r="G313" t="s">
        <v>2061</v>
      </c>
      <c r="H313" t="s">
        <v>2064</v>
      </c>
      <c r="J313" t="s">
        <v>2065</v>
      </c>
      <c r="L313" t="s">
        <v>142</v>
      </c>
      <c r="M313" t="s">
        <v>113</v>
      </c>
      <c r="R313" t="s">
        <v>2066</v>
      </c>
      <c r="W313" t="s">
        <v>2063</v>
      </c>
      <c r="X313" t="s">
        <v>838</v>
      </c>
      <c r="Y313" t="s">
        <v>240</v>
      </c>
      <c r="Z313" t="s">
        <v>117</v>
      </c>
      <c r="AA313" t="str">
        <f>"14221-3647"</f>
        <v>14221-3647</v>
      </c>
      <c r="AB313" t="s">
        <v>118</v>
      </c>
      <c r="AC313" t="s">
        <v>119</v>
      </c>
      <c r="AD313" t="s">
        <v>113</v>
      </c>
      <c r="AE313" t="s">
        <v>120</v>
      </c>
      <c r="AG313" t="s">
        <v>121</v>
      </c>
    </row>
    <row r="314" spans="1:33" x14ac:dyDescent="0.25">
      <c r="A314" t="str">
        <f>"1558524926"</f>
        <v>1558524926</v>
      </c>
      <c r="B314" t="str">
        <f>"03371377"</f>
        <v>03371377</v>
      </c>
      <c r="C314" t="s">
        <v>2067</v>
      </c>
      <c r="D314" t="s">
        <v>2068</v>
      </c>
      <c r="E314" t="s">
        <v>2069</v>
      </c>
      <c r="G314" t="s">
        <v>2067</v>
      </c>
      <c r="H314" t="s">
        <v>707</v>
      </c>
      <c r="J314" t="s">
        <v>2070</v>
      </c>
      <c r="L314" t="s">
        <v>142</v>
      </c>
      <c r="M314" t="s">
        <v>113</v>
      </c>
      <c r="R314" t="s">
        <v>2071</v>
      </c>
      <c r="W314" t="s">
        <v>2069</v>
      </c>
      <c r="X314" t="s">
        <v>709</v>
      </c>
      <c r="Y314" t="s">
        <v>116</v>
      </c>
      <c r="Z314" t="s">
        <v>117</v>
      </c>
      <c r="AA314" t="str">
        <f>"14263-0001"</f>
        <v>14263-0001</v>
      </c>
      <c r="AB314" t="s">
        <v>118</v>
      </c>
      <c r="AC314" t="s">
        <v>119</v>
      </c>
      <c r="AD314" t="s">
        <v>113</v>
      </c>
      <c r="AE314" t="s">
        <v>120</v>
      </c>
      <c r="AG314" t="s">
        <v>121</v>
      </c>
    </row>
    <row r="315" spans="1:33" x14ac:dyDescent="0.25">
      <c r="A315" t="str">
        <f>"1558529677"</f>
        <v>1558529677</v>
      </c>
      <c r="C315" t="s">
        <v>2072</v>
      </c>
      <c r="G315" t="s">
        <v>2073</v>
      </c>
      <c r="H315" t="s">
        <v>1538</v>
      </c>
      <c r="J315" t="s">
        <v>352</v>
      </c>
      <c r="K315" t="s">
        <v>303</v>
      </c>
      <c r="L315" t="s">
        <v>229</v>
      </c>
      <c r="M315" t="s">
        <v>113</v>
      </c>
      <c r="R315" t="s">
        <v>2074</v>
      </c>
      <c r="S315" t="s">
        <v>405</v>
      </c>
      <c r="T315" t="s">
        <v>116</v>
      </c>
      <c r="U315" t="s">
        <v>117</v>
      </c>
      <c r="V315" t="str">
        <f>"142151139"</f>
        <v>142151139</v>
      </c>
      <c r="AC315" t="s">
        <v>119</v>
      </c>
      <c r="AD315" t="s">
        <v>113</v>
      </c>
      <c r="AE315" t="s">
        <v>306</v>
      </c>
      <c r="AG315" t="s">
        <v>121</v>
      </c>
    </row>
    <row r="316" spans="1:33" x14ac:dyDescent="0.25">
      <c r="A316" t="str">
        <f>"1558535542"</f>
        <v>1558535542</v>
      </c>
      <c r="B316" t="str">
        <f>"03874962"</f>
        <v>03874962</v>
      </c>
      <c r="C316" t="s">
        <v>2075</v>
      </c>
      <c r="D316" t="s">
        <v>2076</v>
      </c>
      <c r="E316" t="s">
        <v>2077</v>
      </c>
      <c r="G316" t="s">
        <v>2078</v>
      </c>
      <c r="H316" t="s">
        <v>2079</v>
      </c>
      <c r="J316" t="s">
        <v>2080</v>
      </c>
      <c r="L316" t="s">
        <v>112</v>
      </c>
      <c r="M316" t="s">
        <v>113</v>
      </c>
      <c r="R316" t="s">
        <v>2081</v>
      </c>
      <c r="W316" t="s">
        <v>2077</v>
      </c>
      <c r="X316" t="s">
        <v>176</v>
      </c>
      <c r="Y316" t="s">
        <v>116</v>
      </c>
      <c r="Z316" t="s">
        <v>117</v>
      </c>
      <c r="AA316" t="str">
        <f>"14203-1126"</f>
        <v>14203-1126</v>
      </c>
      <c r="AB316" t="s">
        <v>118</v>
      </c>
      <c r="AC316" t="s">
        <v>119</v>
      </c>
      <c r="AD316" t="s">
        <v>113</v>
      </c>
      <c r="AE316" t="s">
        <v>120</v>
      </c>
      <c r="AG316" t="s">
        <v>121</v>
      </c>
    </row>
    <row r="317" spans="1:33" x14ac:dyDescent="0.25">
      <c r="A317" t="str">
        <f>"1558537183"</f>
        <v>1558537183</v>
      </c>
      <c r="B317" t="str">
        <f>"03709033"</f>
        <v>03709033</v>
      </c>
      <c r="C317" t="s">
        <v>2082</v>
      </c>
      <c r="D317" t="s">
        <v>2083</v>
      </c>
      <c r="E317" t="s">
        <v>2084</v>
      </c>
      <c r="G317" t="s">
        <v>2085</v>
      </c>
      <c r="H317" t="s">
        <v>2086</v>
      </c>
      <c r="J317" t="s">
        <v>352</v>
      </c>
      <c r="L317" t="s">
        <v>112</v>
      </c>
      <c r="M317" t="s">
        <v>113</v>
      </c>
      <c r="R317" t="s">
        <v>2087</v>
      </c>
      <c r="W317" t="s">
        <v>2084</v>
      </c>
      <c r="X317" t="s">
        <v>405</v>
      </c>
      <c r="Y317" t="s">
        <v>116</v>
      </c>
      <c r="Z317" t="s">
        <v>117</v>
      </c>
      <c r="AA317" t="str">
        <f>"14215-1139"</f>
        <v>14215-1139</v>
      </c>
      <c r="AB317" t="s">
        <v>528</v>
      </c>
      <c r="AC317" t="s">
        <v>119</v>
      </c>
      <c r="AD317" t="s">
        <v>113</v>
      </c>
      <c r="AE317" t="s">
        <v>120</v>
      </c>
      <c r="AG317" t="s">
        <v>121</v>
      </c>
    </row>
    <row r="318" spans="1:33" x14ac:dyDescent="0.25">
      <c r="A318" t="str">
        <f>"1558542142"</f>
        <v>1558542142</v>
      </c>
      <c r="B318" t="str">
        <f>"02989999"</f>
        <v>02989999</v>
      </c>
      <c r="C318" t="s">
        <v>2088</v>
      </c>
      <c r="D318" t="s">
        <v>2089</v>
      </c>
      <c r="E318" t="s">
        <v>2090</v>
      </c>
      <c r="G318" t="s">
        <v>2088</v>
      </c>
      <c r="H318" t="s">
        <v>2091</v>
      </c>
      <c r="J318" t="s">
        <v>2092</v>
      </c>
      <c r="L318" t="s">
        <v>112</v>
      </c>
      <c r="M318" t="s">
        <v>113</v>
      </c>
      <c r="R318" t="s">
        <v>2090</v>
      </c>
      <c r="W318" t="s">
        <v>2093</v>
      </c>
      <c r="X318" t="s">
        <v>176</v>
      </c>
      <c r="Y318" t="s">
        <v>116</v>
      </c>
      <c r="Z318" t="s">
        <v>117</v>
      </c>
      <c r="AA318" t="str">
        <f>"14203-1126"</f>
        <v>14203-1126</v>
      </c>
      <c r="AB318" t="s">
        <v>118</v>
      </c>
      <c r="AC318" t="s">
        <v>119</v>
      </c>
      <c r="AD318" t="s">
        <v>113</v>
      </c>
      <c r="AE318" t="s">
        <v>120</v>
      </c>
      <c r="AG318" t="s">
        <v>121</v>
      </c>
    </row>
    <row r="319" spans="1:33" x14ac:dyDescent="0.25">
      <c r="A319" t="str">
        <f>"1558579078"</f>
        <v>1558579078</v>
      </c>
      <c r="B319" t="str">
        <f>"03241976"</f>
        <v>03241976</v>
      </c>
      <c r="C319" t="s">
        <v>2094</v>
      </c>
      <c r="D319" t="s">
        <v>2095</v>
      </c>
      <c r="E319" t="s">
        <v>2096</v>
      </c>
      <c r="G319" t="s">
        <v>2094</v>
      </c>
      <c r="H319" t="s">
        <v>707</v>
      </c>
      <c r="J319" t="s">
        <v>2097</v>
      </c>
      <c r="L319" t="s">
        <v>142</v>
      </c>
      <c r="M319" t="s">
        <v>113</v>
      </c>
      <c r="R319" t="s">
        <v>2098</v>
      </c>
      <c r="W319" t="s">
        <v>2096</v>
      </c>
      <c r="X319" t="s">
        <v>709</v>
      </c>
      <c r="Y319" t="s">
        <v>116</v>
      </c>
      <c r="Z319" t="s">
        <v>117</v>
      </c>
      <c r="AA319" t="str">
        <f>"14263-0001"</f>
        <v>14263-0001</v>
      </c>
      <c r="AB319" t="s">
        <v>118</v>
      </c>
      <c r="AC319" t="s">
        <v>119</v>
      </c>
      <c r="AD319" t="s">
        <v>113</v>
      </c>
      <c r="AE319" t="s">
        <v>120</v>
      </c>
      <c r="AG319" t="s">
        <v>121</v>
      </c>
    </row>
    <row r="320" spans="1:33" x14ac:dyDescent="0.25">
      <c r="A320" t="str">
        <f>"1558597757"</f>
        <v>1558597757</v>
      </c>
      <c r="B320" t="str">
        <f>"03499323"</f>
        <v>03499323</v>
      </c>
      <c r="C320" t="s">
        <v>2099</v>
      </c>
      <c r="D320" t="s">
        <v>2100</v>
      </c>
      <c r="E320" t="s">
        <v>2101</v>
      </c>
      <c r="G320" t="s">
        <v>859</v>
      </c>
      <c r="H320" t="s">
        <v>2102</v>
      </c>
      <c r="J320" t="s">
        <v>861</v>
      </c>
      <c r="L320" t="s">
        <v>142</v>
      </c>
      <c r="M320" t="s">
        <v>113</v>
      </c>
      <c r="R320" t="s">
        <v>2103</v>
      </c>
      <c r="W320" t="s">
        <v>2101</v>
      </c>
      <c r="X320" t="s">
        <v>216</v>
      </c>
      <c r="Y320" t="s">
        <v>116</v>
      </c>
      <c r="Z320" t="s">
        <v>117</v>
      </c>
      <c r="AA320" t="str">
        <f>"14222-2006"</f>
        <v>14222-2006</v>
      </c>
      <c r="AB320" t="s">
        <v>118</v>
      </c>
      <c r="AC320" t="s">
        <v>119</v>
      </c>
      <c r="AD320" t="s">
        <v>113</v>
      </c>
      <c r="AE320" t="s">
        <v>120</v>
      </c>
      <c r="AG320" t="s">
        <v>121</v>
      </c>
    </row>
    <row r="321" spans="1:33" x14ac:dyDescent="0.25">
      <c r="A321" t="str">
        <f>"1558602227"</f>
        <v>1558602227</v>
      </c>
      <c r="B321" t="str">
        <f>"03784425"</f>
        <v>03784425</v>
      </c>
      <c r="C321" t="s">
        <v>2104</v>
      </c>
      <c r="D321" t="s">
        <v>2105</v>
      </c>
      <c r="E321" t="s">
        <v>2106</v>
      </c>
      <c r="G321" t="s">
        <v>2107</v>
      </c>
      <c r="H321" t="s">
        <v>449</v>
      </c>
      <c r="J321" t="s">
        <v>2108</v>
      </c>
      <c r="L321" t="s">
        <v>112</v>
      </c>
      <c r="M321" t="s">
        <v>113</v>
      </c>
      <c r="R321" t="s">
        <v>2106</v>
      </c>
      <c r="W321" t="s">
        <v>2106</v>
      </c>
      <c r="X321" t="s">
        <v>176</v>
      </c>
      <c r="Y321" t="s">
        <v>116</v>
      </c>
      <c r="Z321" t="s">
        <v>117</v>
      </c>
      <c r="AA321" t="str">
        <f>"14203-1126"</f>
        <v>14203-1126</v>
      </c>
      <c r="AB321" t="s">
        <v>118</v>
      </c>
      <c r="AC321" t="s">
        <v>119</v>
      </c>
      <c r="AD321" t="s">
        <v>113</v>
      </c>
      <c r="AE321" t="s">
        <v>120</v>
      </c>
      <c r="AG321" t="s">
        <v>121</v>
      </c>
    </row>
    <row r="322" spans="1:33" x14ac:dyDescent="0.25">
      <c r="A322" t="str">
        <f>"1558614099"</f>
        <v>1558614099</v>
      </c>
      <c r="C322" t="s">
        <v>2109</v>
      </c>
      <c r="G322" t="s">
        <v>2110</v>
      </c>
      <c r="H322" t="s">
        <v>351</v>
      </c>
      <c r="J322" t="s">
        <v>352</v>
      </c>
      <c r="K322" t="s">
        <v>303</v>
      </c>
      <c r="L322" t="s">
        <v>229</v>
      </c>
      <c r="M322" t="s">
        <v>113</v>
      </c>
      <c r="R322" t="s">
        <v>2111</v>
      </c>
      <c r="S322" t="s">
        <v>354</v>
      </c>
      <c r="T322" t="s">
        <v>116</v>
      </c>
      <c r="U322" t="s">
        <v>117</v>
      </c>
      <c r="V322" t="str">
        <f>"142152814"</f>
        <v>142152814</v>
      </c>
      <c r="AC322" t="s">
        <v>119</v>
      </c>
      <c r="AD322" t="s">
        <v>113</v>
      </c>
      <c r="AE322" t="s">
        <v>306</v>
      </c>
      <c r="AG322" t="s">
        <v>121</v>
      </c>
    </row>
    <row r="323" spans="1:33" x14ac:dyDescent="0.25">
      <c r="A323" t="str">
        <f>"1558663575"</f>
        <v>1558663575</v>
      </c>
      <c r="C323" t="s">
        <v>2112</v>
      </c>
      <c r="G323" t="s">
        <v>2113</v>
      </c>
      <c r="H323" t="s">
        <v>1115</v>
      </c>
      <c r="J323" t="s">
        <v>438</v>
      </c>
      <c r="K323" t="s">
        <v>303</v>
      </c>
      <c r="L323" t="s">
        <v>229</v>
      </c>
      <c r="M323" t="s">
        <v>113</v>
      </c>
      <c r="R323" t="s">
        <v>2114</v>
      </c>
      <c r="S323" t="s">
        <v>2115</v>
      </c>
      <c r="T323" t="s">
        <v>116</v>
      </c>
      <c r="U323" t="s">
        <v>117</v>
      </c>
      <c r="V323" t="str">
        <f>"142121501"</f>
        <v>142121501</v>
      </c>
      <c r="AC323" t="s">
        <v>119</v>
      </c>
      <c r="AD323" t="s">
        <v>113</v>
      </c>
      <c r="AE323" t="s">
        <v>306</v>
      </c>
      <c r="AG323" t="s">
        <v>121</v>
      </c>
    </row>
    <row r="324" spans="1:33" x14ac:dyDescent="0.25">
      <c r="A324" t="str">
        <f>"1558665687"</f>
        <v>1558665687</v>
      </c>
      <c r="B324" t="str">
        <f>"04021096"</f>
        <v>04021096</v>
      </c>
      <c r="C324" t="s">
        <v>2116</v>
      </c>
      <c r="D324" t="s">
        <v>2117</v>
      </c>
      <c r="E324" t="s">
        <v>2118</v>
      </c>
      <c r="G324" t="s">
        <v>2119</v>
      </c>
      <c r="H324" t="s">
        <v>2120</v>
      </c>
      <c r="J324" t="s">
        <v>352</v>
      </c>
      <c r="L324" t="s">
        <v>112</v>
      </c>
      <c r="M324" t="s">
        <v>113</v>
      </c>
      <c r="R324" t="s">
        <v>2121</v>
      </c>
      <c r="W324" t="s">
        <v>2118</v>
      </c>
      <c r="X324" t="s">
        <v>1922</v>
      </c>
      <c r="Y324" t="s">
        <v>268</v>
      </c>
      <c r="Z324" t="s">
        <v>117</v>
      </c>
      <c r="AA324" t="str">
        <f>"14150-8441"</f>
        <v>14150-8441</v>
      </c>
      <c r="AB324" t="s">
        <v>621</v>
      </c>
      <c r="AC324" t="s">
        <v>119</v>
      </c>
      <c r="AD324" t="s">
        <v>113</v>
      </c>
      <c r="AE324" t="s">
        <v>120</v>
      </c>
      <c r="AG324" t="s">
        <v>121</v>
      </c>
    </row>
    <row r="325" spans="1:33" x14ac:dyDescent="0.25">
      <c r="A325" t="str">
        <f>"1558684969"</f>
        <v>1558684969</v>
      </c>
      <c r="B325" t="str">
        <f>"03233323"</f>
        <v>03233323</v>
      </c>
      <c r="C325" t="s">
        <v>2122</v>
      </c>
      <c r="D325" t="s">
        <v>2123</v>
      </c>
      <c r="E325" t="s">
        <v>2124</v>
      </c>
      <c r="G325" t="s">
        <v>2122</v>
      </c>
      <c r="H325" t="s">
        <v>2125</v>
      </c>
      <c r="J325" t="s">
        <v>2126</v>
      </c>
      <c r="L325" t="s">
        <v>1033</v>
      </c>
      <c r="M325" t="s">
        <v>113</v>
      </c>
      <c r="R325" t="s">
        <v>2127</v>
      </c>
      <c r="W325" t="s">
        <v>2124</v>
      </c>
      <c r="X325" t="s">
        <v>2128</v>
      </c>
      <c r="Y325" t="s">
        <v>986</v>
      </c>
      <c r="Z325" t="s">
        <v>117</v>
      </c>
      <c r="AA325" t="str">
        <f>"14701-5502"</f>
        <v>14701-5502</v>
      </c>
      <c r="AB325" t="s">
        <v>621</v>
      </c>
      <c r="AC325" t="s">
        <v>119</v>
      </c>
      <c r="AD325" t="s">
        <v>113</v>
      </c>
      <c r="AE325" t="s">
        <v>120</v>
      </c>
      <c r="AG325" t="s">
        <v>121</v>
      </c>
    </row>
    <row r="326" spans="1:33" x14ac:dyDescent="0.25">
      <c r="A326" t="str">
        <f>"1568414357"</f>
        <v>1568414357</v>
      </c>
      <c r="B326" t="str">
        <f>"01576190"</f>
        <v>01576190</v>
      </c>
      <c r="C326" t="s">
        <v>2129</v>
      </c>
      <c r="D326" t="s">
        <v>2130</v>
      </c>
      <c r="E326" t="s">
        <v>2131</v>
      </c>
      <c r="G326" t="s">
        <v>2132</v>
      </c>
      <c r="H326" t="s">
        <v>213</v>
      </c>
      <c r="J326" t="s">
        <v>2133</v>
      </c>
      <c r="L326" t="s">
        <v>112</v>
      </c>
      <c r="M326" t="s">
        <v>113</v>
      </c>
      <c r="R326" t="s">
        <v>2134</v>
      </c>
      <c r="W326" t="s">
        <v>2131</v>
      </c>
      <c r="Y326" t="s">
        <v>116</v>
      </c>
      <c r="Z326" t="s">
        <v>117</v>
      </c>
      <c r="AA326" t="str">
        <f>"14222-2099"</f>
        <v>14222-2099</v>
      </c>
      <c r="AB326" t="s">
        <v>118</v>
      </c>
      <c r="AC326" t="s">
        <v>119</v>
      </c>
      <c r="AD326" t="s">
        <v>113</v>
      </c>
      <c r="AE326" t="s">
        <v>120</v>
      </c>
      <c r="AG326" t="s">
        <v>121</v>
      </c>
    </row>
    <row r="327" spans="1:33" x14ac:dyDescent="0.25">
      <c r="A327" t="str">
        <f>"1568420149"</f>
        <v>1568420149</v>
      </c>
      <c r="B327" t="str">
        <f>"01575617"</f>
        <v>01575617</v>
      </c>
      <c r="C327" t="s">
        <v>2135</v>
      </c>
      <c r="D327" t="s">
        <v>2136</v>
      </c>
      <c r="E327" t="s">
        <v>2137</v>
      </c>
      <c r="G327" t="s">
        <v>2135</v>
      </c>
      <c r="H327" t="s">
        <v>908</v>
      </c>
      <c r="J327" t="s">
        <v>2138</v>
      </c>
      <c r="L327" t="s">
        <v>142</v>
      </c>
      <c r="M327" t="s">
        <v>113</v>
      </c>
      <c r="R327" t="s">
        <v>2139</v>
      </c>
      <c r="W327" t="s">
        <v>2137</v>
      </c>
      <c r="X327" t="s">
        <v>709</v>
      </c>
      <c r="Y327" t="s">
        <v>116</v>
      </c>
      <c r="Z327" t="s">
        <v>117</v>
      </c>
      <c r="AA327" t="str">
        <f>"14263-0001"</f>
        <v>14263-0001</v>
      </c>
      <c r="AB327" t="s">
        <v>118</v>
      </c>
      <c r="AC327" t="s">
        <v>119</v>
      </c>
      <c r="AD327" t="s">
        <v>113</v>
      </c>
      <c r="AE327" t="s">
        <v>120</v>
      </c>
      <c r="AG327" t="s">
        <v>121</v>
      </c>
    </row>
    <row r="328" spans="1:33" x14ac:dyDescent="0.25">
      <c r="B328" t="str">
        <f>"02168409"</f>
        <v>02168409</v>
      </c>
      <c r="C328" t="s">
        <v>1613</v>
      </c>
      <c r="D328" t="s">
        <v>1614</v>
      </c>
      <c r="E328" t="s">
        <v>1613</v>
      </c>
      <c r="H328" t="s">
        <v>1615</v>
      </c>
      <c r="L328" t="s">
        <v>69</v>
      </c>
      <c r="M328" t="s">
        <v>113</v>
      </c>
      <c r="W328" t="s">
        <v>1613</v>
      </c>
      <c r="X328" t="s">
        <v>1616</v>
      </c>
      <c r="Y328" t="s">
        <v>116</v>
      </c>
      <c r="Z328" t="s">
        <v>117</v>
      </c>
      <c r="AA328" t="str">
        <f>"14225-2523"</f>
        <v>14225-2523</v>
      </c>
      <c r="AB328" t="s">
        <v>291</v>
      </c>
      <c r="AC328" t="s">
        <v>119</v>
      </c>
      <c r="AD328" t="s">
        <v>113</v>
      </c>
      <c r="AE328" t="s">
        <v>120</v>
      </c>
      <c r="AG328" t="s">
        <v>121</v>
      </c>
    </row>
    <row r="329" spans="1:33" x14ac:dyDescent="0.25">
      <c r="A329" t="str">
        <f>"1831115096"</f>
        <v>1831115096</v>
      </c>
      <c r="B329" t="str">
        <f>"02777008"</f>
        <v>02777008</v>
      </c>
      <c r="C329" t="s">
        <v>2143</v>
      </c>
      <c r="D329" t="s">
        <v>2144</v>
      </c>
      <c r="E329" t="s">
        <v>2145</v>
      </c>
      <c r="H329" t="s">
        <v>1204</v>
      </c>
      <c r="L329" t="s">
        <v>150</v>
      </c>
      <c r="M329" t="s">
        <v>113</v>
      </c>
      <c r="R329" t="s">
        <v>2145</v>
      </c>
      <c r="W329" t="s">
        <v>2145</v>
      </c>
      <c r="X329" t="s">
        <v>1207</v>
      </c>
      <c r="Y329" t="s">
        <v>153</v>
      </c>
      <c r="Z329" t="s">
        <v>117</v>
      </c>
      <c r="AA329" t="str">
        <f>"14304-5716"</f>
        <v>14304-5716</v>
      </c>
      <c r="AB329" t="s">
        <v>118</v>
      </c>
      <c r="AC329" t="s">
        <v>119</v>
      </c>
      <c r="AD329" t="s">
        <v>113</v>
      </c>
      <c r="AE329" t="s">
        <v>120</v>
      </c>
      <c r="AG329" t="s">
        <v>121</v>
      </c>
    </row>
    <row r="330" spans="1:33" x14ac:dyDescent="0.25">
      <c r="A330" t="str">
        <f>"1831143825"</f>
        <v>1831143825</v>
      </c>
      <c r="B330" t="str">
        <f>"00632480"</f>
        <v>00632480</v>
      </c>
      <c r="C330" t="s">
        <v>2146</v>
      </c>
      <c r="D330" t="s">
        <v>2147</v>
      </c>
      <c r="E330" t="s">
        <v>2148</v>
      </c>
      <c r="G330" t="s">
        <v>2146</v>
      </c>
      <c r="H330" t="s">
        <v>2149</v>
      </c>
      <c r="J330" t="s">
        <v>2150</v>
      </c>
      <c r="L330" t="s">
        <v>142</v>
      </c>
      <c r="M330" t="s">
        <v>113</v>
      </c>
      <c r="R330" t="s">
        <v>2151</v>
      </c>
      <c r="W330" t="s">
        <v>2148</v>
      </c>
      <c r="X330" t="s">
        <v>2152</v>
      </c>
      <c r="Y330" t="s">
        <v>512</v>
      </c>
      <c r="Z330" t="s">
        <v>117</v>
      </c>
      <c r="AA330" t="str">
        <f>"14092-2149"</f>
        <v>14092-2149</v>
      </c>
      <c r="AB330" t="s">
        <v>118</v>
      </c>
      <c r="AC330" t="s">
        <v>119</v>
      </c>
      <c r="AD330" t="s">
        <v>113</v>
      </c>
      <c r="AE330" t="s">
        <v>120</v>
      </c>
      <c r="AG330" t="s">
        <v>121</v>
      </c>
    </row>
    <row r="331" spans="1:33" x14ac:dyDescent="0.25">
      <c r="A331" t="str">
        <f>"1831148840"</f>
        <v>1831148840</v>
      </c>
      <c r="B331" t="str">
        <f>"01080060"</f>
        <v>01080060</v>
      </c>
      <c r="C331" t="s">
        <v>2153</v>
      </c>
      <c r="D331" t="s">
        <v>2154</v>
      </c>
      <c r="E331" t="s">
        <v>2155</v>
      </c>
      <c r="G331" t="s">
        <v>2153</v>
      </c>
      <c r="H331" t="s">
        <v>2156</v>
      </c>
      <c r="J331" t="s">
        <v>2157</v>
      </c>
      <c r="L331" t="s">
        <v>142</v>
      </c>
      <c r="M331" t="s">
        <v>113</v>
      </c>
      <c r="R331" t="s">
        <v>2158</v>
      </c>
      <c r="W331" t="s">
        <v>2155</v>
      </c>
      <c r="X331" t="s">
        <v>2159</v>
      </c>
      <c r="Y331" t="s">
        <v>116</v>
      </c>
      <c r="Z331" t="s">
        <v>117</v>
      </c>
      <c r="AA331" t="str">
        <f>"14225-1085"</f>
        <v>14225-1085</v>
      </c>
      <c r="AB331" t="s">
        <v>118</v>
      </c>
      <c r="AC331" t="s">
        <v>119</v>
      </c>
      <c r="AD331" t="s">
        <v>113</v>
      </c>
      <c r="AE331" t="s">
        <v>120</v>
      </c>
      <c r="AG331" t="s">
        <v>121</v>
      </c>
    </row>
    <row r="332" spans="1:33" x14ac:dyDescent="0.25">
      <c r="A332" t="str">
        <f>"1831152701"</f>
        <v>1831152701</v>
      </c>
      <c r="B332" t="str">
        <f>"00903993"</f>
        <v>00903993</v>
      </c>
      <c r="C332" t="s">
        <v>2160</v>
      </c>
      <c r="D332" t="s">
        <v>2161</v>
      </c>
      <c r="E332" t="s">
        <v>2162</v>
      </c>
      <c r="G332" t="s">
        <v>2163</v>
      </c>
      <c r="H332" t="s">
        <v>579</v>
      </c>
      <c r="J332" t="s">
        <v>2164</v>
      </c>
      <c r="L332" t="s">
        <v>142</v>
      </c>
      <c r="M332" t="s">
        <v>113</v>
      </c>
      <c r="R332" t="s">
        <v>2165</v>
      </c>
      <c r="W332" t="s">
        <v>2162</v>
      </c>
      <c r="X332" t="s">
        <v>2166</v>
      </c>
      <c r="Y332" t="s">
        <v>326</v>
      </c>
      <c r="Z332" t="s">
        <v>117</v>
      </c>
      <c r="AA332" t="str">
        <f>"14127-1231"</f>
        <v>14127-1231</v>
      </c>
      <c r="AB332" t="s">
        <v>118</v>
      </c>
      <c r="AC332" t="s">
        <v>119</v>
      </c>
      <c r="AD332" t="s">
        <v>113</v>
      </c>
      <c r="AE332" t="s">
        <v>120</v>
      </c>
      <c r="AG332" t="s">
        <v>121</v>
      </c>
    </row>
    <row r="333" spans="1:33" x14ac:dyDescent="0.25">
      <c r="A333" t="str">
        <f>"1831154384"</f>
        <v>1831154384</v>
      </c>
      <c r="B333" t="str">
        <f>"00857630"</f>
        <v>00857630</v>
      </c>
      <c r="C333" t="s">
        <v>2167</v>
      </c>
      <c r="D333" t="s">
        <v>2168</v>
      </c>
      <c r="E333" t="s">
        <v>2169</v>
      </c>
      <c r="G333" t="s">
        <v>2167</v>
      </c>
      <c r="H333" t="s">
        <v>1493</v>
      </c>
      <c r="J333" t="s">
        <v>2170</v>
      </c>
      <c r="L333" t="s">
        <v>112</v>
      </c>
      <c r="M333" t="s">
        <v>113</v>
      </c>
      <c r="W333" t="s">
        <v>2169</v>
      </c>
      <c r="X333" t="s">
        <v>1497</v>
      </c>
      <c r="Y333" t="s">
        <v>129</v>
      </c>
      <c r="Z333" t="s">
        <v>117</v>
      </c>
      <c r="AA333" t="str">
        <f>"14224-3400"</f>
        <v>14224-3400</v>
      </c>
      <c r="AB333" t="s">
        <v>118</v>
      </c>
      <c r="AC333" t="s">
        <v>119</v>
      </c>
      <c r="AD333" t="s">
        <v>113</v>
      </c>
      <c r="AE333" t="s">
        <v>120</v>
      </c>
      <c r="AG333" t="s">
        <v>121</v>
      </c>
    </row>
    <row r="334" spans="1:33" x14ac:dyDescent="0.25">
      <c r="A334" t="str">
        <f>"1831155936"</f>
        <v>1831155936</v>
      </c>
      <c r="B334" t="str">
        <f>"02343328"</f>
        <v>02343328</v>
      </c>
      <c r="C334" t="s">
        <v>2171</v>
      </c>
      <c r="D334" t="s">
        <v>2172</v>
      </c>
      <c r="E334" t="s">
        <v>2173</v>
      </c>
      <c r="H334" t="s">
        <v>1164</v>
      </c>
      <c r="L334" t="s">
        <v>142</v>
      </c>
      <c r="M334" t="s">
        <v>113</v>
      </c>
      <c r="R334" t="s">
        <v>2174</v>
      </c>
      <c r="W334" t="s">
        <v>2175</v>
      </c>
      <c r="X334" t="s">
        <v>333</v>
      </c>
      <c r="Y334" t="s">
        <v>116</v>
      </c>
      <c r="Z334" t="s">
        <v>117</v>
      </c>
      <c r="AA334" t="str">
        <f>"14203-1109"</f>
        <v>14203-1109</v>
      </c>
      <c r="AB334" t="s">
        <v>118</v>
      </c>
      <c r="AC334" t="s">
        <v>119</v>
      </c>
      <c r="AD334" t="s">
        <v>113</v>
      </c>
      <c r="AE334" t="s">
        <v>120</v>
      </c>
      <c r="AG334" t="s">
        <v>121</v>
      </c>
    </row>
    <row r="335" spans="1:33" x14ac:dyDescent="0.25">
      <c r="A335" t="str">
        <f>"1831156447"</f>
        <v>1831156447</v>
      </c>
      <c r="B335" t="str">
        <f>"01657083"</f>
        <v>01657083</v>
      </c>
      <c r="C335" t="s">
        <v>2176</v>
      </c>
      <c r="D335" t="s">
        <v>2177</v>
      </c>
      <c r="E335" t="s">
        <v>2178</v>
      </c>
      <c r="G335" t="s">
        <v>2176</v>
      </c>
      <c r="H335" t="s">
        <v>2179</v>
      </c>
      <c r="J335" t="s">
        <v>2180</v>
      </c>
      <c r="L335" t="s">
        <v>150</v>
      </c>
      <c r="M335" t="s">
        <v>113</v>
      </c>
      <c r="R335" t="s">
        <v>2181</v>
      </c>
      <c r="W335" t="s">
        <v>2182</v>
      </c>
      <c r="X335" t="s">
        <v>376</v>
      </c>
      <c r="Y335" t="s">
        <v>377</v>
      </c>
      <c r="Z335" t="s">
        <v>117</v>
      </c>
      <c r="AA335" t="str">
        <f>"14217"</f>
        <v>14217</v>
      </c>
      <c r="AB335" t="s">
        <v>118</v>
      </c>
      <c r="AC335" t="s">
        <v>119</v>
      </c>
      <c r="AD335" t="s">
        <v>113</v>
      </c>
      <c r="AE335" t="s">
        <v>120</v>
      </c>
      <c r="AG335" t="s">
        <v>121</v>
      </c>
    </row>
    <row r="336" spans="1:33" x14ac:dyDescent="0.25">
      <c r="A336" t="str">
        <f>"1831158195"</f>
        <v>1831158195</v>
      </c>
      <c r="B336" t="str">
        <f>"01743939"</f>
        <v>01743939</v>
      </c>
      <c r="C336" t="s">
        <v>2183</v>
      </c>
      <c r="D336" t="s">
        <v>2184</v>
      </c>
      <c r="E336" t="s">
        <v>2185</v>
      </c>
      <c r="G336" t="s">
        <v>2183</v>
      </c>
      <c r="H336" t="s">
        <v>2186</v>
      </c>
      <c r="J336" t="s">
        <v>2187</v>
      </c>
      <c r="L336" t="s">
        <v>150</v>
      </c>
      <c r="M336" t="s">
        <v>199</v>
      </c>
      <c r="R336" t="s">
        <v>2188</v>
      </c>
      <c r="W336" t="s">
        <v>2185</v>
      </c>
      <c r="X336" t="s">
        <v>2189</v>
      </c>
      <c r="Y336" t="s">
        <v>116</v>
      </c>
      <c r="Z336" t="s">
        <v>117</v>
      </c>
      <c r="AA336" t="str">
        <f>"14214"</f>
        <v>14214</v>
      </c>
      <c r="AB336" t="s">
        <v>118</v>
      </c>
      <c r="AC336" t="s">
        <v>119</v>
      </c>
      <c r="AD336" t="s">
        <v>113</v>
      </c>
      <c r="AE336" t="s">
        <v>120</v>
      </c>
      <c r="AG336" t="s">
        <v>121</v>
      </c>
    </row>
    <row r="337" spans="1:33" x14ac:dyDescent="0.25">
      <c r="A337" t="str">
        <f>"1831158435"</f>
        <v>1831158435</v>
      </c>
      <c r="B337" t="str">
        <f>"00588610"</f>
        <v>00588610</v>
      </c>
      <c r="C337" t="s">
        <v>2190</v>
      </c>
      <c r="D337" t="s">
        <v>2191</v>
      </c>
      <c r="E337" t="s">
        <v>2192</v>
      </c>
      <c r="G337" t="s">
        <v>2190</v>
      </c>
      <c r="H337" t="s">
        <v>2193</v>
      </c>
      <c r="J337" t="s">
        <v>2194</v>
      </c>
      <c r="L337" t="s">
        <v>142</v>
      </c>
      <c r="M337" t="s">
        <v>113</v>
      </c>
      <c r="R337" t="s">
        <v>2195</v>
      </c>
      <c r="W337" t="s">
        <v>2192</v>
      </c>
      <c r="X337" t="s">
        <v>2196</v>
      </c>
      <c r="Y337" t="s">
        <v>116</v>
      </c>
      <c r="Z337" t="s">
        <v>117</v>
      </c>
      <c r="AA337" t="str">
        <f>"14203"</f>
        <v>14203</v>
      </c>
      <c r="AB337" t="s">
        <v>1755</v>
      </c>
      <c r="AC337" t="s">
        <v>119</v>
      </c>
      <c r="AD337" t="s">
        <v>113</v>
      </c>
      <c r="AE337" t="s">
        <v>120</v>
      </c>
      <c r="AG337" t="s">
        <v>121</v>
      </c>
    </row>
    <row r="338" spans="1:33" x14ac:dyDescent="0.25">
      <c r="A338" t="str">
        <f>"1831169432"</f>
        <v>1831169432</v>
      </c>
      <c r="B338" t="str">
        <f>"01861738"</f>
        <v>01861738</v>
      </c>
      <c r="C338" t="s">
        <v>2197</v>
      </c>
      <c r="D338" t="s">
        <v>2198</v>
      </c>
      <c r="E338" t="s">
        <v>2199</v>
      </c>
      <c r="G338" t="s">
        <v>2200</v>
      </c>
      <c r="H338" t="s">
        <v>2201</v>
      </c>
      <c r="J338" t="s">
        <v>2202</v>
      </c>
      <c r="L338" t="s">
        <v>150</v>
      </c>
      <c r="M338" t="s">
        <v>199</v>
      </c>
      <c r="R338" t="s">
        <v>2203</v>
      </c>
      <c r="W338" t="s">
        <v>2199</v>
      </c>
      <c r="Y338" t="s">
        <v>2204</v>
      </c>
      <c r="Z338" t="s">
        <v>117</v>
      </c>
      <c r="AA338" t="str">
        <f>"14830-2287"</f>
        <v>14830-2287</v>
      </c>
      <c r="AB338" t="s">
        <v>118</v>
      </c>
      <c r="AC338" t="s">
        <v>119</v>
      </c>
      <c r="AD338" t="s">
        <v>113</v>
      </c>
      <c r="AE338" t="s">
        <v>120</v>
      </c>
      <c r="AG338" t="s">
        <v>121</v>
      </c>
    </row>
    <row r="339" spans="1:33" x14ac:dyDescent="0.25">
      <c r="A339" t="str">
        <f>"1831170604"</f>
        <v>1831170604</v>
      </c>
      <c r="B339" t="str">
        <f>"02534283"</f>
        <v>02534283</v>
      </c>
      <c r="C339" t="s">
        <v>2205</v>
      </c>
      <c r="D339" t="s">
        <v>2206</v>
      </c>
      <c r="E339" t="s">
        <v>2207</v>
      </c>
      <c r="G339" t="s">
        <v>2205</v>
      </c>
      <c r="H339" t="s">
        <v>707</v>
      </c>
      <c r="J339" t="s">
        <v>2208</v>
      </c>
      <c r="L339" t="s">
        <v>142</v>
      </c>
      <c r="M339" t="s">
        <v>113</v>
      </c>
      <c r="R339" t="s">
        <v>2209</v>
      </c>
      <c r="W339" t="s">
        <v>2207</v>
      </c>
      <c r="X339" t="s">
        <v>2210</v>
      </c>
      <c r="Y339" t="s">
        <v>116</v>
      </c>
      <c r="Z339" t="s">
        <v>117</v>
      </c>
      <c r="AA339" t="str">
        <f>"14263-0001"</f>
        <v>14263-0001</v>
      </c>
      <c r="AB339" t="s">
        <v>118</v>
      </c>
      <c r="AC339" t="s">
        <v>119</v>
      </c>
      <c r="AD339" t="s">
        <v>113</v>
      </c>
      <c r="AE339" t="s">
        <v>120</v>
      </c>
      <c r="AG339" t="s">
        <v>121</v>
      </c>
    </row>
    <row r="340" spans="1:33" x14ac:dyDescent="0.25">
      <c r="A340" t="str">
        <f>"1831175074"</f>
        <v>1831175074</v>
      </c>
      <c r="B340" t="str">
        <f>"03054271"</f>
        <v>03054271</v>
      </c>
      <c r="C340" t="s">
        <v>2211</v>
      </c>
      <c r="D340" t="s">
        <v>2212</v>
      </c>
      <c r="E340" t="s">
        <v>2213</v>
      </c>
      <c r="G340" t="s">
        <v>2214</v>
      </c>
      <c r="H340" t="s">
        <v>2215</v>
      </c>
      <c r="J340" t="s">
        <v>2216</v>
      </c>
      <c r="L340" t="s">
        <v>112</v>
      </c>
      <c r="M340" t="s">
        <v>113</v>
      </c>
      <c r="R340" t="s">
        <v>2217</v>
      </c>
      <c r="W340" t="s">
        <v>2213</v>
      </c>
      <c r="X340" t="s">
        <v>216</v>
      </c>
      <c r="Y340" t="s">
        <v>116</v>
      </c>
      <c r="Z340" t="s">
        <v>117</v>
      </c>
      <c r="AA340" t="str">
        <f>"14222-2006"</f>
        <v>14222-2006</v>
      </c>
      <c r="AB340" t="s">
        <v>118</v>
      </c>
      <c r="AC340" t="s">
        <v>119</v>
      </c>
      <c r="AD340" t="s">
        <v>113</v>
      </c>
      <c r="AE340" t="s">
        <v>120</v>
      </c>
      <c r="AG340" t="s">
        <v>121</v>
      </c>
    </row>
    <row r="341" spans="1:33" x14ac:dyDescent="0.25">
      <c r="A341" t="str">
        <f>"1831176650"</f>
        <v>1831176650</v>
      </c>
      <c r="B341" t="str">
        <f>"01087769"</f>
        <v>01087769</v>
      </c>
      <c r="C341" t="s">
        <v>2218</v>
      </c>
      <c r="D341" t="s">
        <v>2219</v>
      </c>
      <c r="E341" t="s">
        <v>2220</v>
      </c>
      <c r="L341" t="s">
        <v>150</v>
      </c>
      <c r="M341" t="s">
        <v>113</v>
      </c>
      <c r="R341" t="s">
        <v>2218</v>
      </c>
      <c r="W341" t="s">
        <v>2220</v>
      </c>
      <c r="X341" t="s">
        <v>2221</v>
      </c>
      <c r="Y341" t="s">
        <v>192</v>
      </c>
      <c r="Z341" t="s">
        <v>117</v>
      </c>
      <c r="AA341" t="str">
        <f>"14020-2107"</f>
        <v>14020-2107</v>
      </c>
      <c r="AB341" t="s">
        <v>118</v>
      </c>
      <c r="AC341" t="s">
        <v>119</v>
      </c>
      <c r="AD341" t="s">
        <v>113</v>
      </c>
      <c r="AE341" t="s">
        <v>120</v>
      </c>
      <c r="AG341" t="s">
        <v>121</v>
      </c>
    </row>
    <row r="342" spans="1:33" x14ac:dyDescent="0.25">
      <c r="A342" t="str">
        <f>"1831178425"</f>
        <v>1831178425</v>
      </c>
      <c r="B342" t="str">
        <f>"01059374"</f>
        <v>01059374</v>
      </c>
      <c r="C342" t="s">
        <v>2222</v>
      </c>
      <c r="D342" t="s">
        <v>2223</v>
      </c>
      <c r="E342" t="s">
        <v>2224</v>
      </c>
      <c r="G342" t="s">
        <v>2222</v>
      </c>
      <c r="H342" t="s">
        <v>2225</v>
      </c>
      <c r="J342" t="s">
        <v>2226</v>
      </c>
      <c r="L342" t="s">
        <v>142</v>
      </c>
      <c r="M342" t="s">
        <v>113</v>
      </c>
      <c r="R342" t="s">
        <v>2227</v>
      </c>
      <c r="W342" t="s">
        <v>2224</v>
      </c>
      <c r="X342" t="s">
        <v>2228</v>
      </c>
      <c r="Y342" t="s">
        <v>958</v>
      </c>
      <c r="Z342" t="s">
        <v>117</v>
      </c>
      <c r="AA342" t="str">
        <f>"14226-1646"</f>
        <v>14226-1646</v>
      </c>
      <c r="AB342" t="s">
        <v>118</v>
      </c>
      <c r="AC342" t="s">
        <v>119</v>
      </c>
      <c r="AD342" t="s">
        <v>113</v>
      </c>
      <c r="AE342" t="s">
        <v>120</v>
      </c>
      <c r="AG342" t="s">
        <v>121</v>
      </c>
    </row>
    <row r="343" spans="1:33" x14ac:dyDescent="0.25">
      <c r="A343" t="str">
        <f>"1831193580"</f>
        <v>1831193580</v>
      </c>
      <c r="B343" t="str">
        <f>"02555228"</f>
        <v>02555228</v>
      </c>
      <c r="C343" t="s">
        <v>2229</v>
      </c>
      <c r="D343" t="s">
        <v>2230</v>
      </c>
      <c r="E343" t="s">
        <v>2231</v>
      </c>
      <c r="G343" t="s">
        <v>2229</v>
      </c>
      <c r="H343" t="s">
        <v>1301</v>
      </c>
      <c r="J343" t="s">
        <v>2232</v>
      </c>
      <c r="L343" t="s">
        <v>142</v>
      </c>
      <c r="M343" t="s">
        <v>113</v>
      </c>
      <c r="R343" t="s">
        <v>2233</v>
      </c>
      <c r="W343" t="s">
        <v>2234</v>
      </c>
      <c r="X343" t="s">
        <v>2235</v>
      </c>
      <c r="Y343" t="s">
        <v>326</v>
      </c>
      <c r="Z343" t="s">
        <v>117</v>
      </c>
      <c r="AA343" t="str">
        <f>"14127-1500"</f>
        <v>14127-1500</v>
      </c>
      <c r="AB343" t="s">
        <v>118</v>
      </c>
      <c r="AC343" t="s">
        <v>119</v>
      </c>
      <c r="AD343" t="s">
        <v>113</v>
      </c>
      <c r="AE343" t="s">
        <v>120</v>
      </c>
      <c r="AG343" t="s">
        <v>121</v>
      </c>
    </row>
    <row r="344" spans="1:33" x14ac:dyDescent="0.25">
      <c r="A344" t="str">
        <f>"1831194513"</f>
        <v>1831194513</v>
      </c>
      <c r="B344" t="str">
        <f>"00961582"</f>
        <v>00961582</v>
      </c>
      <c r="C344" t="s">
        <v>2236</v>
      </c>
      <c r="D344" t="s">
        <v>2237</v>
      </c>
      <c r="E344" t="s">
        <v>2238</v>
      </c>
      <c r="G344" t="s">
        <v>2236</v>
      </c>
      <c r="H344" t="s">
        <v>197</v>
      </c>
      <c r="J344" t="s">
        <v>2239</v>
      </c>
      <c r="L344" t="s">
        <v>150</v>
      </c>
      <c r="M344" t="s">
        <v>199</v>
      </c>
      <c r="R344" t="s">
        <v>2240</v>
      </c>
      <c r="W344" t="s">
        <v>2238</v>
      </c>
      <c r="X344" t="s">
        <v>2241</v>
      </c>
      <c r="Y344" t="s">
        <v>153</v>
      </c>
      <c r="Z344" t="s">
        <v>117</v>
      </c>
      <c r="AA344" t="str">
        <f>"14301-1807"</f>
        <v>14301-1807</v>
      </c>
      <c r="AB344" t="s">
        <v>118</v>
      </c>
      <c r="AC344" t="s">
        <v>119</v>
      </c>
      <c r="AD344" t="s">
        <v>113</v>
      </c>
      <c r="AE344" t="s">
        <v>120</v>
      </c>
      <c r="AG344" t="s">
        <v>121</v>
      </c>
    </row>
    <row r="345" spans="1:33" x14ac:dyDescent="0.25">
      <c r="A345" t="str">
        <f>"1558406009"</f>
        <v>1558406009</v>
      </c>
      <c r="B345" t="str">
        <f>"00463552"</f>
        <v>00463552</v>
      </c>
      <c r="C345" t="s">
        <v>6013</v>
      </c>
      <c r="D345" t="s">
        <v>6014</v>
      </c>
      <c r="E345" t="s">
        <v>6015</v>
      </c>
      <c r="G345" t="s">
        <v>6016</v>
      </c>
      <c r="H345" t="s">
        <v>1471</v>
      </c>
      <c r="J345" t="s">
        <v>6017</v>
      </c>
      <c r="L345" t="s">
        <v>19</v>
      </c>
      <c r="M345" t="s">
        <v>199</v>
      </c>
      <c r="R345" t="s">
        <v>6013</v>
      </c>
      <c r="W345" t="s">
        <v>6018</v>
      </c>
      <c r="X345" t="s">
        <v>6019</v>
      </c>
      <c r="Y345" t="s">
        <v>3012</v>
      </c>
      <c r="Z345" t="s">
        <v>117</v>
      </c>
      <c r="AA345" t="str">
        <f>"14052-1650"</f>
        <v>14052-1650</v>
      </c>
      <c r="AB345" t="s">
        <v>282</v>
      </c>
      <c r="AC345" t="s">
        <v>119</v>
      </c>
      <c r="AD345" t="s">
        <v>113</v>
      </c>
      <c r="AE345" t="s">
        <v>120</v>
      </c>
      <c r="AG345" t="s">
        <v>121</v>
      </c>
    </row>
    <row r="346" spans="1:33" x14ac:dyDescent="0.25">
      <c r="A346" t="str">
        <f>"1831195395"</f>
        <v>1831195395</v>
      </c>
      <c r="B346" t="str">
        <f>"02625941"</f>
        <v>02625941</v>
      </c>
      <c r="C346" t="s">
        <v>2248</v>
      </c>
      <c r="D346" t="s">
        <v>2249</v>
      </c>
      <c r="E346" t="s">
        <v>2250</v>
      </c>
      <c r="G346" t="s">
        <v>2251</v>
      </c>
      <c r="H346" t="s">
        <v>2252</v>
      </c>
      <c r="J346" t="s">
        <v>2253</v>
      </c>
      <c r="L346" t="s">
        <v>142</v>
      </c>
      <c r="M346" t="s">
        <v>113</v>
      </c>
      <c r="R346" t="s">
        <v>2254</v>
      </c>
      <c r="W346" t="s">
        <v>2255</v>
      </c>
      <c r="X346" t="s">
        <v>2256</v>
      </c>
      <c r="Y346" t="s">
        <v>348</v>
      </c>
      <c r="Z346" t="s">
        <v>117</v>
      </c>
      <c r="AA346" t="str">
        <f>"14043-2400"</f>
        <v>14043-2400</v>
      </c>
      <c r="AB346" t="s">
        <v>118</v>
      </c>
      <c r="AC346" t="s">
        <v>119</v>
      </c>
      <c r="AD346" t="s">
        <v>113</v>
      </c>
      <c r="AE346" t="s">
        <v>120</v>
      </c>
      <c r="AG346" t="s">
        <v>121</v>
      </c>
    </row>
    <row r="347" spans="1:33" x14ac:dyDescent="0.25">
      <c r="A347" t="str">
        <f>"1942549852"</f>
        <v>1942549852</v>
      </c>
      <c r="B347" t="str">
        <f>"03548432"</f>
        <v>03548432</v>
      </c>
      <c r="C347" t="s">
        <v>2257</v>
      </c>
      <c r="D347" t="s">
        <v>2258</v>
      </c>
      <c r="E347" t="s">
        <v>2259</v>
      </c>
      <c r="G347" t="s">
        <v>2257</v>
      </c>
      <c r="H347" t="s">
        <v>366</v>
      </c>
      <c r="J347" t="s">
        <v>2260</v>
      </c>
      <c r="L347" t="s">
        <v>112</v>
      </c>
      <c r="M347" t="s">
        <v>113</v>
      </c>
      <c r="R347" t="s">
        <v>2261</v>
      </c>
      <c r="W347" t="s">
        <v>2259</v>
      </c>
      <c r="X347" t="s">
        <v>176</v>
      </c>
      <c r="Y347" t="s">
        <v>116</v>
      </c>
      <c r="Z347" t="s">
        <v>117</v>
      </c>
      <c r="AA347" t="str">
        <f>"14203-1126"</f>
        <v>14203-1126</v>
      </c>
      <c r="AB347" t="s">
        <v>118</v>
      </c>
      <c r="AC347" t="s">
        <v>119</v>
      </c>
      <c r="AD347" t="s">
        <v>113</v>
      </c>
      <c r="AE347" t="s">
        <v>120</v>
      </c>
      <c r="AG347" t="s">
        <v>121</v>
      </c>
    </row>
    <row r="348" spans="1:33" x14ac:dyDescent="0.25">
      <c r="A348" t="str">
        <f>"1942584180"</f>
        <v>1942584180</v>
      </c>
      <c r="B348" t="str">
        <f>"03390567"</f>
        <v>03390567</v>
      </c>
      <c r="C348" t="s">
        <v>2262</v>
      </c>
      <c r="D348" t="s">
        <v>2263</v>
      </c>
      <c r="E348" t="s">
        <v>2264</v>
      </c>
      <c r="G348" t="s">
        <v>2265</v>
      </c>
      <c r="H348" t="s">
        <v>579</v>
      </c>
      <c r="J348" t="s">
        <v>1387</v>
      </c>
      <c r="L348" t="s">
        <v>112</v>
      </c>
      <c r="M348" t="s">
        <v>113</v>
      </c>
      <c r="R348" t="s">
        <v>2266</v>
      </c>
      <c r="W348" t="s">
        <v>2264</v>
      </c>
      <c r="X348" t="s">
        <v>2267</v>
      </c>
      <c r="Y348" t="s">
        <v>305</v>
      </c>
      <c r="Z348" t="s">
        <v>117</v>
      </c>
      <c r="AA348" t="str">
        <f>"14760-1532"</f>
        <v>14760-1532</v>
      </c>
      <c r="AB348" t="s">
        <v>118</v>
      </c>
      <c r="AC348" t="s">
        <v>119</v>
      </c>
      <c r="AD348" t="s">
        <v>113</v>
      </c>
      <c r="AE348" t="s">
        <v>120</v>
      </c>
      <c r="AG348" t="s">
        <v>121</v>
      </c>
    </row>
    <row r="349" spans="1:33" x14ac:dyDescent="0.25">
      <c r="A349" t="str">
        <f>"1942636907"</f>
        <v>1942636907</v>
      </c>
      <c r="C349" t="s">
        <v>2268</v>
      </c>
      <c r="G349" t="s">
        <v>2269</v>
      </c>
      <c r="H349" t="s">
        <v>351</v>
      </c>
      <c r="J349" t="s">
        <v>352</v>
      </c>
      <c r="K349" t="s">
        <v>303</v>
      </c>
      <c r="L349" t="s">
        <v>229</v>
      </c>
      <c r="M349" t="s">
        <v>113</v>
      </c>
      <c r="R349" t="s">
        <v>2270</v>
      </c>
      <c r="S349" t="s">
        <v>409</v>
      </c>
      <c r="T349" t="s">
        <v>116</v>
      </c>
      <c r="U349" t="s">
        <v>117</v>
      </c>
      <c r="V349" t="str">
        <f>"142152814"</f>
        <v>142152814</v>
      </c>
      <c r="AC349" t="s">
        <v>119</v>
      </c>
      <c r="AD349" t="s">
        <v>113</v>
      </c>
      <c r="AE349" t="s">
        <v>306</v>
      </c>
      <c r="AG349" t="s">
        <v>121</v>
      </c>
    </row>
    <row r="350" spans="1:33" x14ac:dyDescent="0.25">
      <c r="A350" t="str">
        <f>"1942639299"</f>
        <v>1942639299</v>
      </c>
      <c r="B350" t="str">
        <f>"03806695"</f>
        <v>03806695</v>
      </c>
      <c r="C350" t="s">
        <v>2271</v>
      </c>
      <c r="D350" t="s">
        <v>2272</v>
      </c>
      <c r="E350" t="s">
        <v>2273</v>
      </c>
      <c r="G350" t="s">
        <v>2274</v>
      </c>
      <c r="H350" t="s">
        <v>2275</v>
      </c>
      <c r="J350" t="s">
        <v>2276</v>
      </c>
      <c r="L350" t="s">
        <v>112</v>
      </c>
      <c r="M350" t="s">
        <v>113</v>
      </c>
      <c r="R350" t="s">
        <v>2273</v>
      </c>
      <c r="W350" t="s">
        <v>2273</v>
      </c>
      <c r="X350" t="s">
        <v>176</v>
      </c>
      <c r="Y350" t="s">
        <v>116</v>
      </c>
      <c r="Z350" t="s">
        <v>117</v>
      </c>
      <c r="AA350" t="str">
        <f>"14203-1126"</f>
        <v>14203-1126</v>
      </c>
      <c r="AB350" t="s">
        <v>118</v>
      </c>
      <c r="AC350" t="s">
        <v>119</v>
      </c>
      <c r="AD350" t="s">
        <v>113</v>
      </c>
      <c r="AE350" t="s">
        <v>120</v>
      </c>
      <c r="AG350" t="s">
        <v>121</v>
      </c>
    </row>
    <row r="351" spans="1:33" x14ac:dyDescent="0.25">
      <c r="A351" t="str">
        <f>"1447204706"</f>
        <v>1447204706</v>
      </c>
      <c r="B351" t="str">
        <f>"01475194"</f>
        <v>01475194</v>
      </c>
      <c r="C351" t="s">
        <v>2277</v>
      </c>
      <c r="D351" t="s">
        <v>2278</v>
      </c>
      <c r="E351" t="s">
        <v>2279</v>
      </c>
      <c r="G351" t="s">
        <v>2277</v>
      </c>
      <c r="H351" t="s">
        <v>2280</v>
      </c>
      <c r="J351" t="s">
        <v>2281</v>
      </c>
      <c r="L351" t="s">
        <v>142</v>
      </c>
      <c r="M351" t="s">
        <v>113</v>
      </c>
      <c r="R351" t="s">
        <v>2282</v>
      </c>
      <c r="W351" t="s">
        <v>2279</v>
      </c>
      <c r="X351" t="s">
        <v>216</v>
      </c>
      <c r="Y351" t="s">
        <v>116</v>
      </c>
      <c r="Z351" t="s">
        <v>117</v>
      </c>
      <c r="AA351" t="str">
        <f>"14222-2006"</f>
        <v>14222-2006</v>
      </c>
      <c r="AB351" t="s">
        <v>118</v>
      </c>
      <c r="AC351" t="s">
        <v>119</v>
      </c>
      <c r="AD351" t="s">
        <v>113</v>
      </c>
      <c r="AE351" t="s">
        <v>120</v>
      </c>
      <c r="AG351" t="s">
        <v>121</v>
      </c>
    </row>
    <row r="352" spans="1:33" x14ac:dyDescent="0.25">
      <c r="A352" t="str">
        <f>"1447205596"</f>
        <v>1447205596</v>
      </c>
      <c r="B352" t="str">
        <f>"01466375"</f>
        <v>01466375</v>
      </c>
      <c r="C352" t="s">
        <v>2283</v>
      </c>
      <c r="D352" t="s">
        <v>2284</v>
      </c>
      <c r="E352" t="s">
        <v>2285</v>
      </c>
      <c r="G352" t="s">
        <v>2283</v>
      </c>
      <c r="H352" t="s">
        <v>2286</v>
      </c>
      <c r="J352" t="s">
        <v>2287</v>
      </c>
      <c r="L352" t="s">
        <v>112</v>
      </c>
      <c r="M352" t="s">
        <v>113</v>
      </c>
      <c r="R352" t="s">
        <v>2288</v>
      </c>
      <c r="W352" t="s">
        <v>2285</v>
      </c>
      <c r="X352" t="s">
        <v>115</v>
      </c>
      <c r="Y352" t="s">
        <v>116</v>
      </c>
      <c r="Z352" t="s">
        <v>117</v>
      </c>
      <c r="AA352" t="str">
        <f>"14209-2087"</f>
        <v>14209-2087</v>
      </c>
      <c r="AB352" t="s">
        <v>118</v>
      </c>
      <c r="AC352" t="s">
        <v>119</v>
      </c>
      <c r="AD352" t="s">
        <v>113</v>
      </c>
      <c r="AE352" t="s">
        <v>120</v>
      </c>
      <c r="AG352" t="s">
        <v>121</v>
      </c>
    </row>
    <row r="353" spans="1:33" x14ac:dyDescent="0.25">
      <c r="A353" t="str">
        <f>"1447216924"</f>
        <v>1447216924</v>
      </c>
      <c r="B353" t="str">
        <f>"02389215"</f>
        <v>02389215</v>
      </c>
      <c r="C353" t="s">
        <v>2289</v>
      </c>
      <c r="D353" t="s">
        <v>2290</v>
      </c>
      <c r="E353" t="s">
        <v>2291</v>
      </c>
      <c r="G353" t="s">
        <v>2289</v>
      </c>
      <c r="H353" t="s">
        <v>908</v>
      </c>
      <c r="J353" t="s">
        <v>2292</v>
      </c>
      <c r="L353" t="s">
        <v>142</v>
      </c>
      <c r="M353" t="s">
        <v>113</v>
      </c>
      <c r="R353" t="s">
        <v>2293</v>
      </c>
      <c r="W353" t="s">
        <v>2291</v>
      </c>
      <c r="X353" t="s">
        <v>896</v>
      </c>
      <c r="Y353" t="s">
        <v>116</v>
      </c>
      <c r="Z353" t="s">
        <v>117</v>
      </c>
      <c r="AA353" t="str">
        <f>"14203-1154"</f>
        <v>14203-1154</v>
      </c>
      <c r="AB353" t="s">
        <v>118</v>
      </c>
      <c r="AC353" t="s">
        <v>119</v>
      </c>
      <c r="AD353" t="s">
        <v>113</v>
      </c>
      <c r="AE353" t="s">
        <v>120</v>
      </c>
      <c r="AG353" t="s">
        <v>121</v>
      </c>
    </row>
    <row r="354" spans="1:33" x14ac:dyDescent="0.25">
      <c r="A354" t="str">
        <f>"1447217179"</f>
        <v>1447217179</v>
      </c>
      <c r="B354" t="str">
        <f>"01247043"</f>
        <v>01247043</v>
      </c>
      <c r="C354" t="s">
        <v>2294</v>
      </c>
      <c r="D354" t="s">
        <v>2295</v>
      </c>
      <c r="E354" t="s">
        <v>2296</v>
      </c>
      <c r="G354" t="s">
        <v>2297</v>
      </c>
      <c r="H354" t="s">
        <v>2298</v>
      </c>
      <c r="J354" t="s">
        <v>2299</v>
      </c>
      <c r="L354" t="s">
        <v>150</v>
      </c>
      <c r="M354" t="s">
        <v>113</v>
      </c>
      <c r="R354" t="s">
        <v>2300</v>
      </c>
      <c r="W354" t="s">
        <v>2296</v>
      </c>
      <c r="X354" t="s">
        <v>2301</v>
      </c>
      <c r="Y354" t="s">
        <v>2302</v>
      </c>
      <c r="Z354" t="s">
        <v>117</v>
      </c>
      <c r="AA354" t="str">
        <f>"14172-9667"</f>
        <v>14172-9667</v>
      </c>
      <c r="AB354" t="s">
        <v>118</v>
      </c>
      <c r="AC354" t="s">
        <v>119</v>
      </c>
      <c r="AD354" t="s">
        <v>113</v>
      </c>
      <c r="AE354" t="s">
        <v>120</v>
      </c>
      <c r="AG354" t="s">
        <v>121</v>
      </c>
    </row>
    <row r="355" spans="1:33" x14ac:dyDescent="0.25">
      <c r="A355" t="str">
        <f>"1447223946"</f>
        <v>1447223946</v>
      </c>
      <c r="B355" t="str">
        <f>"02152692"</f>
        <v>02152692</v>
      </c>
      <c r="C355" t="s">
        <v>2303</v>
      </c>
      <c r="D355" t="s">
        <v>2304</v>
      </c>
      <c r="E355" t="s">
        <v>2305</v>
      </c>
      <c r="L355" t="s">
        <v>142</v>
      </c>
      <c r="M355" t="s">
        <v>199</v>
      </c>
      <c r="R355" t="s">
        <v>2303</v>
      </c>
      <c r="W355" t="s">
        <v>2305</v>
      </c>
      <c r="X355" t="s">
        <v>2306</v>
      </c>
      <c r="Y355" t="s">
        <v>305</v>
      </c>
      <c r="Z355" t="s">
        <v>117</v>
      </c>
      <c r="AA355" t="str">
        <f>"14760-1598"</f>
        <v>14760-1598</v>
      </c>
      <c r="AB355" t="s">
        <v>528</v>
      </c>
      <c r="AC355" t="s">
        <v>119</v>
      </c>
      <c r="AD355" t="s">
        <v>113</v>
      </c>
      <c r="AE355" t="s">
        <v>120</v>
      </c>
      <c r="AG355" t="s">
        <v>121</v>
      </c>
    </row>
    <row r="356" spans="1:33" x14ac:dyDescent="0.25">
      <c r="A356" t="str">
        <f>"1447225248"</f>
        <v>1447225248</v>
      </c>
      <c r="B356" t="str">
        <f>"01042415"</f>
        <v>01042415</v>
      </c>
      <c r="C356" t="s">
        <v>2307</v>
      </c>
      <c r="D356" t="s">
        <v>2308</v>
      </c>
      <c r="E356" t="s">
        <v>2309</v>
      </c>
      <c r="G356" t="s">
        <v>2307</v>
      </c>
      <c r="H356" t="s">
        <v>744</v>
      </c>
      <c r="J356" t="s">
        <v>2310</v>
      </c>
      <c r="L356" t="s">
        <v>150</v>
      </c>
      <c r="M356" t="s">
        <v>113</v>
      </c>
      <c r="R356" t="s">
        <v>2311</v>
      </c>
      <c r="W356" t="s">
        <v>2312</v>
      </c>
      <c r="X356" t="s">
        <v>216</v>
      </c>
      <c r="Y356" t="s">
        <v>116</v>
      </c>
      <c r="Z356" t="s">
        <v>117</v>
      </c>
      <c r="AA356" t="str">
        <f>"14222-2006"</f>
        <v>14222-2006</v>
      </c>
      <c r="AB356" t="s">
        <v>118</v>
      </c>
      <c r="AC356" t="s">
        <v>119</v>
      </c>
      <c r="AD356" t="s">
        <v>113</v>
      </c>
      <c r="AE356" t="s">
        <v>120</v>
      </c>
      <c r="AG356" t="s">
        <v>121</v>
      </c>
    </row>
    <row r="357" spans="1:33" x14ac:dyDescent="0.25">
      <c r="A357" t="str">
        <f>"1447230289"</f>
        <v>1447230289</v>
      </c>
      <c r="B357" t="str">
        <f>"03312489"</f>
        <v>03312489</v>
      </c>
      <c r="C357" t="s">
        <v>2313</v>
      </c>
      <c r="D357" t="s">
        <v>2314</v>
      </c>
      <c r="E357" t="s">
        <v>2315</v>
      </c>
      <c r="G357" t="s">
        <v>2313</v>
      </c>
      <c r="H357" t="s">
        <v>227</v>
      </c>
      <c r="J357" t="s">
        <v>2316</v>
      </c>
      <c r="L357" t="s">
        <v>142</v>
      </c>
      <c r="M357" t="s">
        <v>113</v>
      </c>
      <c r="R357" t="s">
        <v>2315</v>
      </c>
      <c r="W357" t="s">
        <v>2315</v>
      </c>
      <c r="X357" t="s">
        <v>2317</v>
      </c>
      <c r="Y357" t="s">
        <v>2318</v>
      </c>
      <c r="Z357" t="s">
        <v>117</v>
      </c>
      <c r="AA357" t="str">
        <f>"11706-8408"</f>
        <v>11706-8408</v>
      </c>
      <c r="AB357" t="s">
        <v>118</v>
      </c>
      <c r="AC357" t="s">
        <v>119</v>
      </c>
      <c r="AD357" t="s">
        <v>113</v>
      </c>
      <c r="AE357" t="s">
        <v>120</v>
      </c>
      <c r="AG357" t="s">
        <v>121</v>
      </c>
    </row>
    <row r="358" spans="1:33" x14ac:dyDescent="0.25">
      <c r="A358" t="str">
        <f>"1447230677"</f>
        <v>1447230677</v>
      </c>
      <c r="B358" t="str">
        <f>"00606708"</f>
        <v>00606708</v>
      </c>
      <c r="C358" t="s">
        <v>2319</v>
      </c>
      <c r="D358" t="s">
        <v>2320</v>
      </c>
      <c r="E358" t="s">
        <v>2321</v>
      </c>
      <c r="G358" t="s">
        <v>2322</v>
      </c>
      <c r="H358" t="s">
        <v>2323</v>
      </c>
      <c r="J358" t="s">
        <v>2324</v>
      </c>
      <c r="L358" t="s">
        <v>150</v>
      </c>
      <c r="M358" t="s">
        <v>113</v>
      </c>
      <c r="R358" t="s">
        <v>2325</v>
      </c>
      <c r="W358" t="s">
        <v>2321</v>
      </c>
      <c r="X358" t="s">
        <v>2326</v>
      </c>
      <c r="Y358" t="s">
        <v>153</v>
      </c>
      <c r="Z358" t="s">
        <v>117</v>
      </c>
      <c r="AA358" t="str">
        <f>"14301-1530"</f>
        <v>14301-1530</v>
      </c>
      <c r="AB358" t="s">
        <v>118</v>
      </c>
      <c r="AC358" t="s">
        <v>119</v>
      </c>
      <c r="AD358" t="s">
        <v>113</v>
      </c>
      <c r="AE358" t="s">
        <v>120</v>
      </c>
      <c r="AG358" t="s">
        <v>121</v>
      </c>
    </row>
    <row r="359" spans="1:33" x14ac:dyDescent="0.25">
      <c r="A359" t="str">
        <f>"1740544030"</f>
        <v>1740544030</v>
      </c>
      <c r="B359" t="str">
        <f>"03475812"</f>
        <v>03475812</v>
      </c>
      <c r="C359" t="s">
        <v>2327</v>
      </c>
      <c r="D359" t="s">
        <v>2328</v>
      </c>
      <c r="E359" t="s">
        <v>2329</v>
      </c>
      <c r="G359" t="s">
        <v>2327</v>
      </c>
      <c r="H359" t="s">
        <v>579</v>
      </c>
      <c r="J359" t="s">
        <v>2330</v>
      </c>
      <c r="L359" t="s">
        <v>112</v>
      </c>
      <c r="M359" t="s">
        <v>113</v>
      </c>
      <c r="R359" t="s">
        <v>2331</v>
      </c>
      <c r="W359" t="s">
        <v>2329</v>
      </c>
      <c r="X359" t="s">
        <v>176</v>
      </c>
      <c r="Y359" t="s">
        <v>116</v>
      </c>
      <c r="Z359" t="s">
        <v>117</v>
      </c>
      <c r="AA359" t="str">
        <f>"14203-1126"</f>
        <v>14203-1126</v>
      </c>
      <c r="AB359" t="s">
        <v>118</v>
      </c>
      <c r="AC359" t="s">
        <v>119</v>
      </c>
      <c r="AD359" t="s">
        <v>113</v>
      </c>
      <c r="AE359" t="s">
        <v>120</v>
      </c>
      <c r="AG359" t="s">
        <v>121</v>
      </c>
    </row>
    <row r="360" spans="1:33" x14ac:dyDescent="0.25">
      <c r="A360" t="str">
        <f>"1740569805"</f>
        <v>1740569805</v>
      </c>
      <c r="B360" t="str">
        <f>"03383915"</f>
        <v>03383915</v>
      </c>
      <c r="C360" t="s">
        <v>2332</v>
      </c>
      <c r="D360" t="s">
        <v>2333</v>
      </c>
      <c r="E360" t="s">
        <v>2334</v>
      </c>
      <c r="G360" t="s">
        <v>2332</v>
      </c>
      <c r="H360" t="s">
        <v>1308</v>
      </c>
      <c r="J360" t="s">
        <v>2335</v>
      </c>
      <c r="L360" t="s">
        <v>142</v>
      </c>
      <c r="M360" t="s">
        <v>113</v>
      </c>
      <c r="R360" t="s">
        <v>2334</v>
      </c>
      <c r="W360" t="s">
        <v>2334</v>
      </c>
      <c r="X360" t="s">
        <v>2336</v>
      </c>
      <c r="Y360" t="s">
        <v>145</v>
      </c>
      <c r="Z360" t="s">
        <v>117</v>
      </c>
      <c r="AA360" t="str">
        <f>"14051-2610"</f>
        <v>14051-2610</v>
      </c>
      <c r="AB360" t="s">
        <v>118</v>
      </c>
      <c r="AC360" t="s">
        <v>119</v>
      </c>
      <c r="AD360" t="s">
        <v>113</v>
      </c>
      <c r="AE360" t="s">
        <v>120</v>
      </c>
      <c r="AG360" t="s">
        <v>121</v>
      </c>
    </row>
    <row r="361" spans="1:33" x14ac:dyDescent="0.25">
      <c r="A361" t="str">
        <f>"1740588755"</f>
        <v>1740588755</v>
      </c>
      <c r="B361" t="str">
        <f>"03399144"</f>
        <v>03399144</v>
      </c>
      <c r="C361" t="s">
        <v>2337</v>
      </c>
      <c r="D361" t="s">
        <v>2338</v>
      </c>
      <c r="E361" t="s">
        <v>2339</v>
      </c>
      <c r="G361" t="s">
        <v>2340</v>
      </c>
      <c r="H361" t="s">
        <v>2341</v>
      </c>
      <c r="J361" t="s">
        <v>2342</v>
      </c>
      <c r="L361" t="s">
        <v>1143</v>
      </c>
      <c r="M361" t="s">
        <v>113</v>
      </c>
      <c r="R361" t="s">
        <v>2337</v>
      </c>
      <c r="W361" t="s">
        <v>2343</v>
      </c>
      <c r="X361" t="s">
        <v>152</v>
      </c>
      <c r="Y361" t="s">
        <v>153</v>
      </c>
      <c r="Z361" t="s">
        <v>117</v>
      </c>
      <c r="AA361" t="str">
        <f>"14301-1813"</f>
        <v>14301-1813</v>
      </c>
      <c r="AB361" t="s">
        <v>1146</v>
      </c>
      <c r="AC361" t="s">
        <v>119</v>
      </c>
      <c r="AD361" t="s">
        <v>113</v>
      </c>
      <c r="AE361" t="s">
        <v>120</v>
      </c>
      <c r="AG361" t="s">
        <v>121</v>
      </c>
    </row>
    <row r="362" spans="1:33" x14ac:dyDescent="0.25">
      <c r="A362" t="str">
        <f>"1740620111"</f>
        <v>1740620111</v>
      </c>
      <c r="B362" t="str">
        <f>"03616951"</f>
        <v>03616951</v>
      </c>
      <c r="C362" t="s">
        <v>2344</v>
      </c>
      <c r="D362" t="s">
        <v>2345</v>
      </c>
      <c r="E362" t="s">
        <v>2346</v>
      </c>
      <c r="G362" t="s">
        <v>2344</v>
      </c>
      <c r="H362" t="s">
        <v>2347</v>
      </c>
      <c r="J362" t="s">
        <v>2348</v>
      </c>
      <c r="L362" t="s">
        <v>142</v>
      </c>
      <c r="M362" t="s">
        <v>113</v>
      </c>
      <c r="R362" t="s">
        <v>2349</v>
      </c>
      <c r="W362" t="s">
        <v>2350</v>
      </c>
      <c r="X362" t="s">
        <v>838</v>
      </c>
      <c r="Y362" t="s">
        <v>240</v>
      </c>
      <c r="Z362" t="s">
        <v>117</v>
      </c>
      <c r="AA362" t="str">
        <f>"14221-3647"</f>
        <v>14221-3647</v>
      </c>
      <c r="AB362" t="s">
        <v>118</v>
      </c>
      <c r="AC362" t="s">
        <v>119</v>
      </c>
      <c r="AD362" t="s">
        <v>113</v>
      </c>
      <c r="AE362" t="s">
        <v>120</v>
      </c>
      <c r="AG362" t="s">
        <v>121</v>
      </c>
    </row>
    <row r="363" spans="1:33" x14ac:dyDescent="0.25">
      <c r="A363" t="str">
        <f>"1740683226"</f>
        <v>1740683226</v>
      </c>
      <c r="C363" t="s">
        <v>2351</v>
      </c>
      <c r="K363" t="s">
        <v>303</v>
      </c>
      <c r="L363" t="s">
        <v>229</v>
      </c>
      <c r="M363" t="s">
        <v>113</v>
      </c>
      <c r="R363" t="s">
        <v>2351</v>
      </c>
      <c r="S363" t="s">
        <v>2352</v>
      </c>
      <c r="T363" t="s">
        <v>2353</v>
      </c>
      <c r="U363" t="s">
        <v>117</v>
      </c>
      <c r="V363" t="str">
        <f>"141319602"</f>
        <v>141319602</v>
      </c>
      <c r="AC363" t="s">
        <v>119</v>
      </c>
      <c r="AD363" t="s">
        <v>113</v>
      </c>
      <c r="AE363" t="s">
        <v>306</v>
      </c>
      <c r="AG363" t="s">
        <v>121</v>
      </c>
    </row>
    <row r="364" spans="1:33" x14ac:dyDescent="0.25">
      <c r="A364" t="str">
        <f>"1750311601"</f>
        <v>1750311601</v>
      </c>
      <c r="B364" t="str">
        <f>"01963111"</f>
        <v>01963111</v>
      </c>
      <c r="C364" t="s">
        <v>2354</v>
      </c>
      <c r="D364" t="s">
        <v>2355</v>
      </c>
      <c r="E364" t="s">
        <v>2356</v>
      </c>
      <c r="G364" t="s">
        <v>2354</v>
      </c>
      <c r="H364" t="s">
        <v>2357</v>
      </c>
      <c r="J364" t="s">
        <v>2358</v>
      </c>
      <c r="L364" t="s">
        <v>112</v>
      </c>
      <c r="M364" t="s">
        <v>113</v>
      </c>
      <c r="R364" t="s">
        <v>2356</v>
      </c>
      <c r="W364" t="s">
        <v>2356</v>
      </c>
      <c r="X364" t="s">
        <v>2356</v>
      </c>
      <c r="Y364" t="s">
        <v>326</v>
      </c>
      <c r="Z364" t="s">
        <v>117</v>
      </c>
      <c r="AA364" t="str">
        <f>"14127-1841"</f>
        <v>14127-1841</v>
      </c>
      <c r="AB364" t="s">
        <v>2359</v>
      </c>
      <c r="AC364" t="s">
        <v>119</v>
      </c>
      <c r="AD364" t="s">
        <v>113</v>
      </c>
      <c r="AE364" t="s">
        <v>120</v>
      </c>
      <c r="AG364" t="s">
        <v>121</v>
      </c>
    </row>
    <row r="365" spans="1:33" x14ac:dyDescent="0.25">
      <c r="A365" t="str">
        <f>"1750341574"</f>
        <v>1750341574</v>
      </c>
      <c r="B365" t="str">
        <f>"02443709"</f>
        <v>02443709</v>
      </c>
      <c r="C365" t="s">
        <v>2360</v>
      </c>
      <c r="D365" t="s">
        <v>2361</v>
      </c>
      <c r="E365" t="s">
        <v>2362</v>
      </c>
      <c r="G365" t="s">
        <v>2360</v>
      </c>
      <c r="H365" t="s">
        <v>2363</v>
      </c>
      <c r="J365" t="s">
        <v>2364</v>
      </c>
      <c r="L365" t="s">
        <v>142</v>
      </c>
      <c r="M365" t="s">
        <v>113</v>
      </c>
      <c r="R365" t="s">
        <v>2362</v>
      </c>
      <c r="W365" t="s">
        <v>2362</v>
      </c>
      <c r="X365" t="s">
        <v>1648</v>
      </c>
      <c r="Y365" t="s">
        <v>116</v>
      </c>
      <c r="Z365" t="s">
        <v>117</v>
      </c>
      <c r="AA365" t="str">
        <f>"14214-2648"</f>
        <v>14214-2648</v>
      </c>
      <c r="AB365" t="s">
        <v>118</v>
      </c>
      <c r="AC365" t="s">
        <v>119</v>
      </c>
      <c r="AD365" t="s">
        <v>113</v>
      </c>
      <c r="AE365" t="s">
        <v>120</v>
      </c>
      <c r="AG365" t="s">
        <v>121</v>
      </c>
    </row>
    <row r="366" spans="1:33" x14ac:dyDescent="0.25">
      <c r="A366" t="str">
        <f>"1750343141"</f>
        <v>1750343141</v>
      </c>
      <c r="B366" t="str">
        <f>"01088802"</f>
        <v>01088802</v>
      </c>
      <c r="C366" t="s">
        <v>2365</v>
      </c>
      <c r="D366" t="s">
        <v>2366</v>
      </c>
      <c r="E366" t="s">
        <v>2367</v>
      </c>
      <c r="G366" t="s">
        <v>2365</v>
      </c>
      <c r="H366" t="s">
        <v>165</v>
      </c>
      <c r="J366" t="s">
        <v>2368</v>
      </c>
      <c r="L366" t="s">
        <v>142</v>
      </c>
      <c r="M366" t="s">
        <v>113</v>
      </c>
      <c r="R366" t="s">
        <v>2369</v>
      </c>
      <c r="W366" t="s">
        <v>2367</v>
      </c>
      <c r="X366" t="s">
        <v>2370</v>
      </c>
      <c r="Y366" t="s">
        <v>116</v>
      </c>
      <c r="Z366" t="s">
        <v>117</v>
      </c>
      <c r="AA366" t="str">
        <f>"14222-2035"</f>
        <v>14222-2035</v>
      </c>
      <c r="AB366" t="s">
        <v>118</v>
      </c>
      <c r="AC366" t="s">
        <v>119</v>
      </c>
      <c r="AD366" t="s">
        <v>113</v>
      </c>
      <c r="AE366" t="s">
        <v>120</v>
      </c>
      <c r="AG366" t="s">
        <v>121</v>
      </c>
    </row>
    <row r="367" spans="1:33" x14ac:dyDescent="0.25">
      <c r="A367" t="str">
        <f>"1437230729"</f>
        <v>1437230729</v>
      </c>
      <c r="C367" t="s">
        <v>2371</v>
      </c>
      <c r="G367" t="s">
        <v>2372</v>
      </c>
      <c r="H367" t="s">
        <v>1538</v>
      </c>
      <c r="J367" t="s">
        <v>352</v>
      </c>
      <c r="K367" t="s">
        <v>303</v>
      </c>
      <c r="L367" t="s">
        <v>229</v>
      </c>
      <c r="M367" t="s">
        <v>113</v>
      </c>
      <c r="R367" t="s">
        <v>2373</v>
      </c>
      <c r="S367" t="s">
        <v>405</v>
      </c>
      <c r="T367" t="s">
        <v>116</v>
      </c>
      <c r="U367" t="s">
        <v>117</v>
      </c>
      <c r="V367" t="str">
        <f>"142151139"</f>
        <v>142151139</v>
      </c>
      <c r="AC367" t="s">
        <v>119</v>
      </c>
      <c r="AD367" t="s">
        <v>113</v>
      </c>
      <c r="AE367" t="s">
        <v>306</v>
      </c>
      <c r="AG367" t="s">
        <v>121</v>
      </c>
    </row>
    <row r="368" spans="1:33" x14ac:dyDescent="0.25">
      <c r="A368" t="str">
        <f>"1437253960"</f>
        <v>1437253960</v>
      </c>
      <c r="B368" t="str">
        <f>"03548809"</f>
        <v>03548809</v>
      </c>
      <c r="C368" t="s">
        <v>2374</v>
      </c>
      <c r="D368" t="s">
        <v>2375</v>
      </c>
      <c r="E368" t="s">
        <v>2376</v>
      </c>
      <c r="G368" t="s">
        <v>2374</v>
      </c>
      <c r="H368" t="s">
        <v>398</v>
      </c>
      <c r="J368" t="s">
        <v>2377</v>
      </c>
      <c r="L368" t="s">
        <v>150</v>
      </c>
      <c r="M368" t="s">
        <v>113</v>
      </c>
      <c r="R368" t="s">
        <v>2378</v>
      </c>
      <c r="W368" t="s">
        <v>2376</v>
      </c>
      <c r="X368" t="s">
        <v>2379</v>
      </c>
      <c r="Y368" t="s">
        <v>348</v>
      </c>
      <c r="Z368" t="s">
        <v>117</v>
      </c>
      <c r="AA368" t="str">
        <f>"14043-4783"</f>
        <v>14043-4783</v>
      </c>
      <c r="AB368" t="s">
        <v>118</v>
      </c>
      <c r="AC368" t="s">
        <v>119</v>
      </c>
      <c r="AD368" t="s">
        <v>113</v>
      </c>
      <c r="AE368" t="s">
        <v>120</v>
      </c>
      <c r="AG368" t="s">
        <v>121</v>
      </c>
    </row>
    <row r="369" spans="1:33" x14ac:dyDescent="0.25">
      <c r="A369" t="str">
        <f>"1437292687"</f>
        <v>1437292687</v>
      </c>
      <c r="B369" t="str">
        <f>"02346981"</f>
        <v>02346981</v>
      </c>
      <c r="C369" t="s">
        <v>2380</v>
      </c>
      <c r="D369" t="s">
        <v>2381</v>
      </c>
      <c r="E369" t="s">
        <v>2382</v>
      </c>
      <c r="G369" t="s">
        <v>2383</v>
      </c>
      <c r="H369" t="s">
        <v>2384</v>
      </c>
      <c r="J369" t="s">
        <v>2385</v>
      </c>
      <c r="L369" t="s">
        <v>142</v>
      </c>
      <c r="M369" t="s">
        <v>113</v>
      </c>
      <c r="R369" t="s">
        <v>2386</v>
      </c>
      <c r="W369" t="s">
        <v>2387</v>
      </c>
      <c r="X369" t="s">
        <v>838</v>
      </c>
      <c r="Y369" t="s">
        <v>240</v>
      </c>
      <c r="Z369" t="s">
        <v>117</v>
      </c>
      <c r="AA369" t="str">
        <f>"14221-3647"</f>
        <v>14221-3647</v>
      </c>
      <c r="AB369" t="s">
        <v>528</v>
      </c>
      <c r="AC369" t="s">
        <v>119</v>
      </c>
      <c r="AD369" t="s">
        <v>113</v>
      </c>
      <c r="AE369" t="s">
        <v>120</v>
      </c>
      <c r="AG369" t="s">
        <v>121</v>
      </c>
    </row>
    <row r="370" spans="1:33" x14ac:dyDescent="0.25">
      <c r="A370" t="str">
        <f>"1437304722"</f>
        <v>1437304722</v>
      </c>
      <c r="B370" t="str">
        <f>"03579444"</f>
        <v>03579444</v>
      </c>
      <c r="C370" t="s">
        <v>2388</v>
      </c>
      <c r="D370" t="s">
        <v>2389</v>
      </c>
      <c r="E370" t="s">
        <v>2390</v>
      </c>
      <c r="G370" t="s">
        <v>2388</v>
      </c>
      <c r="H370" t="s">
        <v>2391</v>
      </c>
      <c r="J370" t="s">
        <v>2392</v>
      </c>
      <c r="L370" t="s">
        <v>112</v>
      </c>
      <c r="M370" t="s">
        <v>113</v>
      </c>
      <c r="R370" t="s">
        <v>2390</v>
      </c>
      <c r="W370" t="s">
        <v>2390</v>
      </c>
      <c r="X370" t="s">
        <v>216</v>
      </c>
      <c r="Y370" t="s">
        <v>116</v>
      </c>
      <c r="Z370" t="s">
        <v>117</v>
      </c>
      <c r="AA370" t="str">
        <f>"14222-2006"</f>
        <v>14222-2006</v>
      </c>
      <c r="AB370" t="s">
        <v>118</v>
      </c>
      <c r="AC370" t="s">
        <v>119</v>
      </c>
      <c r="AD370" t="s">
        <v>113</v>
      </c>
      <c r="AE370" t="s">
        <v>120</v>
      </c>
      <c r="AG370" t="s">
        <v>121</v>
      </c>
    </row>
    <row r="371" spans="1:33" x14ac:dyDescent="0.25">
      <c r="A371" t="str">
        <f>"1437311024"</f>
        <v>1437311024</v>
      </c>
      <c r="B371" t="str">
        <f>"03101273"</f>
        <v>03101273</v>
      </c>
      <c r="C371" t="s">
        <v>2393</v>
      </c>
      <c r="D371" t="s">
        <v>2394</v>
      </c>
      <c r="E371" t="s">
        <v>2395</v>
      </c>
      <c r="G371" t="s">
        <v>2393</v>
      </c>
      <c r="H371" t="s">
        <v>2396</v>
      </c>
      <c r="J371" t="s">
        <v>2397</v>
      </c>
      <c r="L371" t="s">
        <v>112</v>
      </c>
      <c r="M371" t="s">
        <v>113</v>
      </c>
      <c r="R371" t="s">
        <v>2398</v>
      </c>
      <c r="W371" t="s">
        <v>2395</v>
      </c>
      <c r="X371" t="s">
        <v>136</v>
      </c>
      <c r="Y371" t="s">
        <v>116</v>
      </c>
      <c r="Z371" t="s">
        <v>117</v>
      </c>
      <c r="AA371" t="str">
        <f>"14209-1120"</f>
        <v>14209-1120</v>
      </c>
      <c r="AB371" t="s">
        <v>118</v>
      </c>
      <c r="AC371" t="s">
        <v>119</v>
      </c>
      <c r="AD371" t="s">
        <v>113</v>
      </c>
      <c r="AE371" t="s">
        <v>120</v>
      </c>
      <c r="AG371" t="s">
        <v>121</v>
      </c>
    </row>
    <row r="372" spans="1:33" x14ac:dyDescent="0.25">
      <c r="A372" t="str">
        <f>"1437312683"</f>
        <v>1437312683</v>
      </c>
      <c r="B372" t="str">
        <f>"03823916"</f>
        <v>03823916</v>
      </c>
      <c r="C372" t="s">
        <v>2399</v>
      </c>
      <c r="D372" t="s">
        <v>2400</v>
      </c>
      <c r="E372" t="s">
        <v>2401</v>
      </c>
      <c r="G372" t="s">
        <v>2399</v>
      </c>
      <c r="H372" t="s">
        <v>2402</v>
      </c>
      <c r="J372" t="s">
        <v>2403</v>
      </c>
      <c r="L372" t="s">
        <v>1033</v>
      </c>
      <c r="M372" t="s">
        <v>113</v>
      </c>
      <c r="R372" t="s">
        <v>2404</v>
      </c>
      <c r="W372" t="s">
        <v>2401</v>
      </c>
      <c r="X372" t="s">
        <v>2405</v>
      </c>
      <c r="Y372" t="s">
        <v>116</v>
      </c>
      <c r="Z372" t="s">
        <v>117</v>
      </c>
      <c r="AA372" t="str">
        <f>"14215-3021"</f>
        <v>14215-3021</v>
      </c>
      <c r="AB372" t="s">
        <v>118</v>
      </c>
      <c r="AC372" t="s">
        <v>119</v>
      </c>
      <c r="AD372" t="s">
        <v>113</v>
      </c>
      <c r="AE372" t="s">
        <v>120</v>
      </c>
      <c r="AG372" t="s">
        <v>121</v>
      </c>
    </row>
    <row r="373" spans="1:33" x14ac:dyDescent="0.25">
      <c r="A373" t="str">
        <f>"1437315215"</f>
        <v>1437315215</v>
      </c>
      <c r="B373" t="str">
        <f>"03234402"</f>
        <v>03234402</v>
      </c>
      <c r="C373" t="s">
        <v>2406</v>
      </c>
      <c r="D373" t="s">
        <v>2407</v>
      </c>
      <c r="E373" t="s">
        <v>2408</v>
      </c>
      <c r="G373" t="s">
        <v>2406</v>
      </c>
      <c r="H373" t="s">
        <v>172</v>
      </c>
      <c r="J373" t="s">
        <v>2409</v>
      </c>
      <c r="L373" t="s">
        <v>150</v>
      </c>
      <c r="M373" t="s">
        <v>113</v>
      </c>
      <c r="R373" t="s">
        <v>2410</v>
      </c>
      <c r="W373" t="s">
        <v>2408</v>
      </c>
      <c r="X373" t="s">
        <v>682</v>
      </c>
      <c r="Y373" t="s">
        <v>326</v>
      </c>
      <c r="Z373" t="s">
        <v>117</v>
      </c>
      <c r="AA373" t="str">
        <f>"14127-1934"</f>
        <v>14127-1934</v>
      </c>
      <c r="AB373" t="s">
        <v>118</v>
      </c>
      <c r="AC373" t="s">
        <v>119</v>
      </c>
      <c r="AD373" t="s">
        <v>113</v>
      </c>
      <c r="AE373" t="s">
        <v>120</v>
      </c>
      <c r="AG373" t="s">
        <v>121</v>
      </c>
    </row>
    <row r="374" spans="1:33" x14ac:dyDescent="0.25">
      <c r="A374" t="str">
        <f>"1477629715"</f>
        <v>1477629715</v>
      </c>
      <c r="C374" t="s">
        <v>2411</v>
      </c>
      <c r="G374" t="s">
        <v>2411</v>
      </c>
      <c r="H374" t="s">
        <v>590</v>
      </c>
      <c r="J374" t="s">
        <v>2412</v>
      </c>
      <c r="K374" t="s">
        <v>303</v>
      </c>
      <c r="L374" t="s">
        <v>229</v>
      </c>
      <c r="M374" t="s">
        <v>113</v>
      </c>
      <c r="R374" t="s">
        <v>2413</v>
      </c>
      <c r="S374" t="s">
        <v>2414</v>
      </c>
      <c r="T374" t="s">
        <v>116</v>
      </c>
      <c r="U374" t="s">
        <v>117</v>
      </c>
      <c r="V374" t="str">
        <f>"142090424"</f>
        <v>142090424</v>
      </c>
      <c r="AC374" t="s">
        <v>119</v>
      </c>
      <c r="AD374" t="s">
        <v>113</v>
      </c>
      <c r="AE374" t="s">
        <v>306</v>
      </c>
      <c r="AG374" t="s">
        <v>121</v>
      </c>
    </row>
    <row r="375" spans="1:33" x14ac:dyDescent="0.25">
      <c r="A375" t="str">
        <f>"1477636645"</f>
        <v>1477636645</v>
      </c>
      <c r="B375" t="str">
        <f>"01830304"</f>
        <v>01830304</v>
      </c>
      <c r="C375" t="s">
        <v>2415</v>
      </c>
      <c r="D375" t="s">
        <v>2416</v>
      </c>
      <c r="E375" t="s">
        <v>2417</v>
      </c>
      <c r="L375" t="s">
        <v>142</v>
      </c>
      <c r="M375" t="s">
        <v>113</v>
      </c>
      <c r="R375" t="s">
        <v>2418</v>
      </c>
      <c r="W375" t="s">
        <v>2417</v>
      </c>
      <c r="X375" t="s">
        <v>2419</v>
      </c>
      <c r="Y375" t="s">
        <v>305</v>
      </c>
      <c r="Z375" t="s">
        <v>117</v>
      </c>
      <c r="AA375" t="str">
        <f>"14760-1598"</f>
        <v>14760-1598</v>
      </c>
      <c r="AB375" t="s">
        <v>118</v>
      </c>
      <c r="AC375" t="s">
        <v>119</v>
      </c>
      <c r="AD375" t="s">
        <v>113</v>
      </c>
      <c r="AE375" t="s">
        <v>120</v>
      </c>
      <c r="AG375" t="s">
        <v>121</v>
      </c>
    </row>
    <row r="376" spans="1:33" x14ac:dyDescent="0.25">
      <c r="A376" t="str">
        <f>"1477644508"</f>
        <v>1477644508</v>
      </c>
      <c r="B376" t="str">
        <f>"01816059"</f>
        <v>01816059</v>
      </c>
      <c r="C376" t="s">
        <v>2420</v>
      </c>
      <c r="D376" t="s">
        <v>2421</v>
      </c>
      <c r="E376" t="s">
        <v>2422</v>
      </c>
      <c r="G376" t="s">
        <v>2423</v>
      </c>
      <c r="H376" t="s">
        <v>2424</v>
      </c>
      <c r="J376" t="s">
        <v>2425</v>
      </c>
      <c r="L376" t="s">
        <v>142</v>
      </c>
      <c r="M376" t="s">
        <v>113</v>
      </c>
      <c r="R376" t="s">
        <v>2426</v>
      </c>
      <c r="W376" t="s">
        <v>2427</v>
      </c>
      <c r="X376" t="s">
        <v>176</v>
      </c>
      <c r="Y376" t="s">
        <v>116</v>
      </c>
      <c r="Z376" t="s">
        <v>117</v>
      </c>
      <c r="AA376" t="str">
        <f>"14203-1126"</f>
        <v>14203-1126</v>
      </c>
      <c r="AB376" t="s">
        <v>118</v>
      </c>
      <c r="AC376" t="s">
        <v>119</v>
      </c>
      <c r="AD376" t="s">
        <v>113</v>
      </c>
      <c r="AE376" t="s">
        <v>120</v>
      </c>
      <c r="AG376" t="s">
        <v>121</v>
      </c>
    </row>
    <row r="377" spans="1:33" x14ac:dyDescent="0.25">
      <c r="A377" t="str">
        <f>"1477644912"</f>
        <v>1477644912</v>
      </c>
      <c r="C377" t="s">
        <v>2428</v>
      </c>
      <c r="G377" t="s">
        <v>2429</v>
      </c>
      <c r="H377" t="s">
        <v>2125</v>
      </c>
      <c r="J377" t="s">
        <v>2430</v>
      </c>
      <c r="K377" t="s">
        <v>303</v>
      </c>
      <c r="L377" t="s">
        <v>229</v>
      </c>
      <c r="M377" t="s">
        <v>113</v>
      </c>
      <c r="R377" t="s">
        <v>2431</v>
      </c>
      <c r="S377" t="s">
        <v>2128</v>
      </c>
      <c r="T377" t="s">
        <v>986</v>
      </c>
      <c r="U377" t="s">
        <v>117</v>
      </c>
      <c r="V377" t="str">
        <f>"147015502"</f>
        <v>147015502</v>
      </c>
      <c r="AC377" t="s">
        <v>119</v>
      </c>
      <c r="AD377" t="s">
        <v>113</v>
      </c>
      <c r="AE377" t="s">
        <v>306</v>
      </c>
      <c r="AG377" t="s">
        <v>121</v>
      </c>
    </row>
    <row r="378" spans="1:33" x14ac:dyDescent="0.25">
      <c r="A378" t="str">
        <f>"1477652113"</f>
        <v>1477652113</v>
      </c>
      <c r="B378" t="str">
        <f>"01078477"</f>
        <v>01078477</v>
      </c>
      <c r="C378" t="s">
        <v>2432</v>
      </c>
      <c r="D378" t="s">
        <v>2433</v>
      </c>
      <c r="E378" t="s">
        <v>2434</v>
      </c>
      <c r="G378" t="s">
        <v>2435</v>
      </c>
      <c r="H378" t="s">
        <v>2436</v>
      </c>
      <c r="J378" t="s">
        <v>2437</v>
      </c>
      <c r="L378" t="s">
        <v>21</v>
      </c>
      <c r="M378" t="s">
        <v>113</v>
      </c>
      <c r="R378" t="s">
        <v>2432</v>
      </c>
      <c r="W378" t="s">
        <v>2434</v>
      </c>
      <c r="X378" t="s">
        <v>2438</v>
      </c>
      <c r="Y378" t="s">
        <v>663</v>
      </c>
      <c r="Z378" t="s">
        <v>117</v>
      </c>
      <c r="AA378" t="str">
        <f>"14094-1231"</f>
        <v>14094-1231</v>
      </c>
      <c r="AB378" t="s">
        <v>1146</v>
      </c>
      <c r="AC378" t="s">
        <v>119</v>
      </c>
      <c r="AD378" t="s">
        <v>113</v>
      </c>
      <c r="AE378" t="s">
        <v>120</v>
      </c>
      <c r="AG378" t="s">
        <v>121</v>
      </c>
    </row>
    <row r="379" spans="1:33" x14ac:dyDescent="0.25">
      <c r="A379" t="str">
        <f>"1598071938"</f>
        <v>1598071938</v>
      </c>
      <c r="B379" t="str">
        <f>"01568592"</f>
        <v>01568592</v>
      </c>
      <c r="C379" t="s">
        <v>2439</v>
      </c>
      <c r="D379" t="s">
        <v>2440</v>
      </c>
      <c r="E379" t="s">
        <v>2441</v>
      </c>
      <c r="G379" t="s">
        <v>2439</v>
      </c>
      <c r="H379" t="s">
        <v>2442</v>
      </c>
      <c r="J379" t="s">
        <v>2443</v>
      </c>
      <c r="L379" t="s">
        <v>142</v>
      </c>
      <c r="M379" t="s">
        <v>113</v>
      </c>
      <c r="R379" t="s">
        <v>2444</v>
      </c>
      <c r="W379" t="s">
        <v>2441</v>
      </c>
      <c r="X379" t="s">
        <v>216</v>
      </c>
      <c r="Y379" t="s">
        <v>116</v>
      </c>
      <c r="Z379" t="s">
        <v>117</v>
      </c>
      <c r="AA379" t="str">
        <f>"14222-2006"</f>
        <v>14222-2006</v>
      </c>
      <c r="AB379" t="s">
        <v>118</v>
      </c>
      <c r="AC379" t="s">
        <v>119</v>
      </c>
      <c r="AD379" t="s">
        <v>113</v>
      </c>
      <c r="AE379" t="s">
        <v>120</v>
      </c>
      <c r="AG379" t="s">
        <v>121</v>
      </c>
    </row>
    <row r="380" spans="1:33" x14ac:dyDescent="0.25">
      <c r="A380" t="str">
        <f>"1598089278"</f>
        <v>1598089278</v>
      </c>
      <c r="B380" t="str">
        <f>"03869803"</f>
        <v>03869803</v>
      </c>
      <c r="C380" t="s">
        <v>2445</v>
      </c>
      <c r="D380" t="s">
        <v>2446</v>
      </c>
      <c r="E380" t="s">
        <v>2447</v>
      </c>
      <c r="G380" t="s">
        <v>2448</v>
      </c>
      <c r="J380" t="s">
        <v>2449</v>
      </c>
      <c r="L380" t="s">
        <v>142</v>
      </c>
      <c r="M380" t="s">
        <v>113</v>
      </c>
      <c r="R380" t="s">
        <v>2450</v>
      </c>
      <c r="W380" t="s">
        <v>2447</v>
      </c>
      <c r="X380" t="s">
        <v>2451</v>
      </c>
      <c r="Y380" t="s">
        <v>326</v>
      </c>
      <c r="Z380" t="s">
        <v>117</v>
      </c>
      <c r="AA380" t="str">
        <f>"14127-1582"</f>
        <v>14127-1582</v>
      </c>
      <c r="AB380" t="s">
        <v>118</v>
      </c>
      <c r="AC380" t="s">
        <v>119</v>
      </c>
      <c r="AD380" t="s">
        <v>113</v>
      </c>
      <c r="AE380" t="s">
        <v>120</v>
      </c>
      <c r="AG380" t="s">
        <v>121</v>
      </c>
    </row>
    <row r="381" spans="1:33" x14ac:dyDescent="0.25">
      <c r="A381" t="str">
        <f>"1598098634"</f>
        <v>1598098634</v>
      </c>
      <c r="C381" t="s">
        <v>2452</v>
      </c>
      <c r="G381" t="s">
        <v>2452</v>
      </c>
      <c r="H381" t="s">
        <v>590</v>
      </c>
      <c r="J381" t="s">
        <v>2453</v>
      </c>
      <c r="K381" t="s">
        <v>303</v>
      </c>
      <c r="L381" t="s">
        <v>229</v>
      </c>
      <c r="M381" t="s">
        <v>113</v>
      </c>
      <c r="R381" t="s">
        <v>2454</v>
      </c>
      <c r="S381" t="s">
        <v>846</v>
      </c>
      <c r="T381" t="s">
        <v>847</v>
      </c>
      <c r="U381" t="s">
        <v>117</v>
      </c>
      <c r="V381" t="str">
        <f>"145691326"</f>
        <v>145691326</v>
      </c>
      <c r="AC381" t="s">
        <v>119</v>
      </c>
      <c r="AD381" t="s">
        <v>113</v>
      </c>
      <c r="AE381" t="s">
        <v>306</v>
      </c>
      <c r="AG381" t="s">
        <v>121</v>
      </c>
    </row>
    <row r="382" spans="1:33" x14ac:dyDescent="0.25">
      <c r="A382" t="str">
        <f>"1598172421"</f>
        <v>1598172421</v>
      </c>
      <c r="C382" t="s">
        <v>2455</v>
      </c>
      <c r="G382" t="s">
        <v>2456</v>
      </c>
      <c r="H382" t="s">
        <v>443</v>
      </c>
      <c r="K382" t="s">
        <v>303</v>
      </c>
      <c r="L382" t="s">
        <v>229</v>
      </c>
      <c r="M382" t="s">
        <v>113</v>
      </c>
      <c r="R382" t="s">
        <v>2457</v>
      </c>
      <c r="S382" t="s">
        <v>409</v>
      </c>
      <c r="T382" t="s">
        <v>116</v>
      </c>
      <c r="U382" t="s">
        <v>117</v>
      </c>
      <c r="V382" t="str">
        <f>"142152814"</f>
        <v>142152814</v>
      </c>
      <c r="AC382" t="s">
        <v>119</v>
      </c>
      <c r="AD382" t="s">
        <v>113</v>
      </c>
      <c r="AE382" t="s">
        <v>306</v>
      </c>
      <c r="AG382" t="s">
        <v>121</v>
      </c>
    </row>
    <row r="383" spans="1:33" x14ac:dyDescent="0.25">
      <c r="A383" t="str">
        <f>"1598181125"</f>
        <v>1598181125</v>
      </c>
      <c r="C383" t="s">
        <v>2458</v>
      </c>
      <c r="G383" t="s">
        <v>2459</v>
      </c>
      <c r="H383" t="s">
        <v>351</v>
      </c>
      <c r="J383" t="s">
        <v>352</v>
      </c>
      <c r="K383" t="s">
        <v>303</v>
      </c>
      <c r="L383" t="s">
        <v>229</v>
      </c>
      <c r="M383" t="s">
        <v>113</v>
      </c>
      <c r="R383" t="s">
        <v>2460</v>
      </c>
      <c r="S383" t="s">
        <v>354</v>
      </c>
      <c r="T383" t="s">
        <v>116</v>
      </c>
      <c r="U383" t="s">
        <v>117</v>
      </c>
      <c r="V383" t="str">
        <f>"142152814"</f>
        <v>142152814</v>
      </c>
      <c r="AC383" t="s">
        <v>119</v>
      </c>
      <c r="AD383" t="s">
        <v>113</v>
      </c>
      <c r="AE383" t="s">
        <v>306</v>
      </c>
      <c r="AG383" t="s">
        <v>121</v>
      </c>
    </row>
    <row r="384" spans="1:33" x14ac:dyDescent="0.25">
      <c r="A384" t="str">
        <f>"1598700650"</f>
        <v>1598700650</v>
      </c>
      <c r="B384" t="str">
        <f>"00722409"</f>
        <v>00722409</v>
      </c>
      <c r="C384" t="s">
        <v>2461</v>
      </c>
      <c r="D384" t="s">
        <v>2462</v>
      </c>
      <c r="E384" t="s">
        <v>2463</v>
      </c>
      <c r="G384" t="s">
        <v>2461</v>
      </c>
      <c r="H384" t="s">
        <v>2464</v>
      </c>
      <c r="J384" t="s">
        <v>2465</v>
      </c>
      <c r="L384" t="s">
        <v>142</v>
      </c>
      <c r="M384" t="s">
        <v>113</v>
      </c>
      <c r="R384" t="s">
        <v>2466</v>
      </c>
      <c r="W384" t="s">
        <v>2463</v>
      </c>
      <c r="X384" t="s">
        <v>784</v>
      </c>
      <c r="Y384" t="s">
        <v>116</v>
      </c>
      <c r="Z384" t="s">
        <v>117</v>
      </c>
      <c r="AA384" t="str">
        <f>"14209-1194"</f>
        <v>14209-1194</v>
      </c>
      <c r="AB384" t="s">
        <v>118</v>
      </c>
      <c r="AC384" t="s">
        <v>119</v>
      </c>
      <c r="AD384" t="s">
        <v>113</v>
      </c>
      <c r="AE384" t="s">
        <v>120</v>
      </c>
      <c r="AG384" t="s">
        <v>121</v>
      </c>
    </row>
    <row r="385" spans="1:33" x14ac:dyDescent="0.25">
      <c r="A385" t="str">
        <f>"1598712754"</f>
        <v>1598712754</v>
      </c>
      <c r="B385" t="str">
        <f>"03021890"</f>
        <v>03021890</v>
      </c>
      <c r="C385" t="s">
        <v>2467</v>
      </c>
      <c r="D385" t="s">
        <v>2468</v>
      </c>
      <c r="E385" t="s">
        <v>2469</v>
      </c>
      <c r="G385" t="s">
        <v>2467</v>
      </c>
      <c r="H385" t="s">
        <v>2470</v>
      </c>
      <c r="J385" t="s">
        <v>2471</v>
      </c>
      <c r="L385" t="s">
        <v>150</v>
      </c>
      <c r="M385" t="s">
        <v>113</v>
      </c>
      <c r="R385" t="s">
        <v>2472</v>
      </c>
      <c r="W385" t="s">
        <v>2473</v>
      </c>
      <c r="X385" t="s">
        <v>2474</v>
      </c>
      <c r="Y385" t="s">
        <v>116</v>
      </c>
      <c r="Z385" t="s">
        <v>117</v>
      </c>
      <c r="AA385" t="str">
        <f>"14215-3021"</f>
        <v>14215-3021</v>
      </c>
      <c r="AB385" t="s">
        <v>118</v>
      </c>
      <c r="AC385" t="s">
        <v>119</v>
      </c>
      <c r="AD385" t="s">
        <v>113</v>
      </c>
      <c r="AE385" t="s">
        <v>120</v>
      </c>
      <c r="AG385" t="s">
        <v>121</v>
      </c>
    </row>
    <row r="386" spans="1:33" x14ac:dyDescent="0.25">
      <c r="A386" t="str">
        <f>"1598720815"</f>
        <v>1598720815</v>
      </c>
      <c r="B386" t="str">
        <f>"02383773"</f>
        <v>02383773</v>
      </c>
      <c r="C386" t="s">
        <v>2475</v>
      </c>
      <c r="D386" t="s">
        <v>2476</v>
      </c>
      <c r="E386" t="s">
        <v>2477</v>
      </c>
      <c r="G386" t="s">
        <v>2478</v>
      </c>
      <c r="H386" t="s">
        <v>2479</v>
      </c>
      <c r="J386" t="s">
        <v>2480</v>
      </c>
      <c r="L386" t="s">
        <v>142</v>
      </c>
      <c r="M386" t="s">
        <v>113</v>
      </c>
      <c r="R386" t="s">
        <v>2481</v>
      </c>
      <c r="W386" t="s">
        <v>2477</v>
      </c>
      <c r="X386" t="s">
        <v>2482</v>
      </c>
      <c r="Y386" t="s">
        <v>116</v>
      </c>
      <c r="Z386" t="s">
        <v>117</v>
      </c>
      <c r="AA386" t="str">
        <f>"14267-0001"</f>
        <v>14267-0001</v>
      </c>
      <c r="AB386" t="s">
        <v>118</v>
      </c>
      <c r="AC386" t="s">
        <v>119</v>
      </c>
      <c r="AD386" t="s">
        <v>113</v>
      </c>
      <c r="AE386" t="s">
        <v>120</v>
      </c>
      <c r="AG386" t="s">
        <v>121</v>
      </c>
    </row>
    <row r="387" spans="1:33" x14ac:dyDescent="0.25">
      <c r="A387" t="str">
        <f>"1598723017"</f>
        <v>1598723017</v>
      </c>
      <c r="B387" t="str">
        <f>"01607547"</f>
        <v>01607547</v>
      </c>
      <c r="C387" t="s">
        <v>2483</v>
      </c>
      <c r="D387" t="s">
        <v>2484</v>
      </c>
      <c r="E387" t="s">
        <v>2485</v>
      </c>
      <c r="G387" t="s">
        <v>2483</v>
      </c>
      <c r="L387" t="s">
        <v>142</v>
      </c>
      <c r="M387" t="s">
        <v>113</v>
      </c>
      <c r="R387" t="s">
        <v>2486</v>
      </c>
      <c r="W387" t="s">
        <v>2485</v>
      </c>
      <c r="X387" t="s">
        <v>784</v>
      </c>
      <c r="Y387" t="s">
        <v>116</v>
      </c>
      <c r="Z387" t="s">
        <v>117</v>
      </c>
      <c r="AA387" t="str">
        <f>"14209-1194"</f>
        <v>14209-1194</v>
      </c>
      <c r="AB387" t="s">
        <v>118</v>
      </c>
      <c r="AC387" t="s">
        <v>119</v>
      </c>
      <c r="AD387" t="s">
        <v>113</v>
      </c>
      <c r="AE387" t="s">
        <v>120</v>
      </c>
      <c r="AG387" t="s">
        <v>121</v>
      </c>
    </row>
    <row r="388" spans="1:33" x14ac:dyDescent="0.25">
      <c r="A388" t="str">
        <f>"1598726804"</f>
        <v>1598726804</v>
      </c>
      <c r="B388" t="str">
        <f>"00843747"</f>
        <v>00843747</v>
      </c>
      <c r="C388" t="s">
        <v>2487</v>
      </c>
      <c r="D388" t="s">
        <v>2488</v>
      </c>
      <c r="E388" t="s">
        <v>2489</v>
      </c>
      <c r="G388" t="s">
        <v>2487</v>
      </c>
      <c r="H388" t="s">
        <v>2490</v>
      </c>
      <c r="J388" t="s">
        <v>2491</v>
      </c>
      <c r="L388" t="s">
        <v>142</v>
      </c>
      <c r="M388" t="s">
        <v>113</v>
      </c>
      <c r="R388" t="s">
        <v>2492</v>
      </c>
      <c r="W388" t="s">
        <v>2489</v>
      </c>
      <c r="X388" t="s">
        <v>253</v>
      </c>
      <c r="Y388" t="s">
        <v>116</v>
      </c>
      <c r="Z388" t="s">
        <v>117</v>
      </c>
      <c r="AA388" t="str">
        <f>"14215-3021"</f>
        <v>14215-3021</v>
      </c>
      <c r="AB388" t="s">
        <v>118</v>
      </c>
      <c r="AC388" t="s">
        <v>119</v>
      </c>
      <c r="AD388" t="s">
        <v>113</v>
      </c>
      <c r="AE388" t="s">
        <v>120</v>
      </c>
      <c r="AG388" t="s">
        <v>121</v>
      </c>
    </row>
    <row r="389" spans="1:33" x14ac:dyDescent="0.25">
      <c r="A389" t="str">
        <f>"1568420677"</f>
        <v>1568420677</v>
      </c>
      <c r="B389" t="str">
        <f>"01460957"</f>
        <v>01460957</v>
      </c>
      <c r="C389" t="s">
        <v>2493</v>
      </c>
      <c r="D389" t="s">
        <v>2494</v>
      </c>
      <c r="E389" t="s">
        <v>2495</v>
      </c>
      <c r="G389" t="s">
        <v>2496</v>
      </c>
      <c r="H389" t="s">
        <v>213</v>
      </c>
      <c r="J389" t="s">
        <v>2497</v>
      </c>
      <c r="L389" t="s">
        <v>728</v>
      </c>
      <c r="M389" t="s">
        <v>113</v>
      </c>
      <c r="R389" t="s">
        <v>2498</v>
      </c>
      <c r="W389" t="s">
        <v>2495</v>
      </c>
      <c r="X389" t="s">
        <v>176</v>
      </c>
      <c r="Y389" t="s">
        <v>116</v>
      </c>
      <c r="Z389" t="s">
        <v>117</v>
      </c>
      <c r="AA389" t="str">
        <f>"14203-1126"</f>
        <v>14203-1126</v>
      </c>
      <c r="AB389" t="s">
        <v>118</v>
      </c>
      <c r="AC389" t="s">
        <v>119</v>
      </c>
      <c r="AD389" t="s">
        <v>113</v>
      </c>
      <c r="AE389" t="s">
        <v>120</v>
      </c>
      <c r="AG389" t="s">
        <v>121</v>
      </c>
    </row>
    <row r="390" spans="1:33" x14ac:dyDescent="0.25">
      <c r="A390" t="str">
        <f>"1568420925"</f>
        <v>1568420925</v>
      </c>
      <c r="B390" t="str">
        <f>"00894931"</f>
        <v>00894931</v>
      </c>
      <c r="C390" t="s">
        <v>2499</v>
      </c>
      <c r="D390" t="s">
        <v>2500</v>
      </c>
      <c r="E390" t="s">
        <v>2501</v>
      </c>
      <c r="G390" t="s">
        <v>2499</v>
      </c>
      <c r="H390" t="s">
        <v>2502</v>
      </c>
      <c r="J390" t="s">
        <v>2503</v>
      </c>
      <c r="L390" t="s">
        <v>728</v>
      </c>
      <c r="M390" t="s">
        <v>113</v>
      </c>
      <c r="R390" t="s">
        <v>2504</v>
      </c>
      <c r="W390" t="s">
        <v>2505</v>
      </c>
      <c r="X390" t="s">
        <v>2506</v>
      </c>
      <c r="Y390" t="s">
        <v>240</v>
      </c>
      <c r="Z390" t="s">
        <v>117</v>
      </c>
      <c r="AA390" t="str">
        <f>"14221-2723"</f>
        <v>14221-2723</v>
      </c>
      <c r="AB390" t="s">
        <v>118</v>
      </c>
      <c r="AC390" t="s">
        <v>119</v>
      </c>
      <c r="AD390" t="s">
        <v>113</v>
      </c>
      <c r="AE390" t="s">
        <v>120</v>
      </c>
      <c r="AG390" t="s">
        <v>121</v>
      </c>
    </row>
    <row r="391" spans="1:33" x14ac:dyDescent="0.25">
      <c r="A391" t="str">
        <f>"1568426344"</f>
        <v>1568426344</v>
      </c>
      <c r="B391" t="str">
        <f>"00788207"</f>
        <v>00788207</v>
      </c>
      <c r="C391" t="s">
        <v>2507</v>
      </c>
      <c r="D391" t="s">
        <v>2508</v>
      </c>
      <c r="E391" t="s">
        <v>2509</v>
      </c>
      <c r="G391" t="s">
        <v>2507</v>
      </c>
      <c r="H391" t="s">
        <v>2510</v>
      </c>
      <c r="J391" t="s">
        <v>2511</v>
      </c>
      <c r="L391" t="s">
        <v>150</v>
      </c>
      <c r="M391" t="s">
        <v>113</v>
      </c>
      <c r="R391" t="s">
        <v>2512</v>
      </c>
      <c r="W391" t="s">
        <v>2509</v>
      </c>
      <c r="X391" t="s">
        <v>784</v>
      </c>
      <c r="Y391" t="s">
        <v>116</v>
      </c>
      <c r="Z391" t="s">
        <v>117</v>
      </c>
      <c r="AA391" t="str">
        <f>"14209-1194"</f>
        <v>14209-1194</v>
      </c>
      <c r="AB391" t="s">
        <v>118</v>
      </c>
      <c r="AC391" t="s">
        <v>119</v>
      </c>
      <c r="AD391" t="s">
        <v>113</v>
      </c>
      <c r="AE391" t="s">
        <v>120</v>
      </c>
      <c r="AG391" t="s">
        <v>121</v>
      </c>
    </row>
    <row r="392" spans="1:33" x14ac:dyDescent="0.25">
      <c r="A392" t="str">
        <f>"1568432656"</f>
        <v>1568432656</v>
      </c>
      <c r="B392" t="str">
        <f>"03723879"</f>
        <v>03723879</v>
      </c>
      <c r="C392" t="s">
        <v>2513</v>
      </c>
      <c r="D392" t="s">
        <v>2514</v>
      </c>
      <c r="E392" t="s">
        <v>2515</v>
      </c>
      <c r="G392" t="s">
        <v>2513</v>
      </c>
      <c r="H392" t="s">
        <v>2516</v>
      </c>
      <c r="J392" t="s">
        <v>2517</v>
      </c>
      <c r="L392" t="s">
        <v>150</v>
      </c>
      <c r="M392" t="s">
        <v>113</v>
      </c>
      <c r="R392" t="s">
        <v>2518</v>
      </c>
      <c r="W392" t="s">
        <v>2515</v>
      </c>
      <c r="X392" t="s">
        <v>2519</v>
      </c>
      <c r="Y392" t="s">
        <v>958</v>
      </c>
      <c r="Z392" t="s">
        <v>117</v>
      </c>
      <c r="AA392" t="str">
        <f>"14226-1727"</f>
        <v>14226-1727</v>
      </c>
      <c r="AB392" t="s">
        <v>118</v>
      </c>
      <c r="AC392" t="s">
        <v>119</v>
      </c>
      <c r="AD392" t="s">
        <v>113</v>
      </c>
      <c r="AE392" t="s">
        <v>120</v>
      </c>
      <c r="AG392" t="s">
        <v>121</v>
      </c>
    </row>
    <row r="393" spans="1:33" x14ac:dyDescent="0.25">
      <c r="A393" t="str">
        <f>"1679549711"</f>
        <v>1679549711</v>
      </c>
      <c r="B393" t="str">
        <f>"01538485"</f>
        <v>01538485</v>
      </c>
      <c r="C393" t="s">
        <v>2520</v>
      </c>
      <c r="D393" t="s">
        <v>2521</v>
      </c>
      <c r="E393" t="s">
        <v>2522</v>
      </c>
      <c r="G393" t="s">
        <v>859</v>
      </c>
      <c r="H393" t="s">
        <v>2523</v>
      </c>
      <c r="J393" t="s">
        <v>861</v>
      </c>
      <c r="L393" t="s">
        <v>142</v>
      </c>
      <c r="M393" t="s">
        <v>113</v>
      </c>
      <c r="R393" t="s">
        <v>2524</v>
      </c>
      <c r="W393" t="s">
        <v>2522</v>
      </c>
      <c r="Y393" t="s">
        <v>116</v>
      </c>
      <c r="Z393" t="s">
        <v>117</v>
      </c>
      <c r="AA393" t="str">
        <f>"14222-2099"</f>
        <v>14222-2099</v>
      </c>
      <c r="AB393" t="s">
        <v>118</v>
      </c>
      <c r="AC393" t="s">
        <v>119</v>
      </c>
      <c r="AD393" t="s">
        <v>113</v>
      </c>
      <c r="AE393" t="s">
        <v>120</v>
      </c>
      <c r="AG393" t="s">
        <v>121</v>
      </c>
    </row>
    <row r="394" spans="1:33" x14ac:dyDescent="0.25">
      <c r="A394" t="str">
        <f>"1679559934"</f>
        <v>1679559934</v>
      </c>
      <c r="B394" t="str">
        <f>"00823143"</f>
        <v>00823143</v>
      </c>
      <c r="C394" t="s">
        <v>2525</v>
      </c>
      <c r="D394" t="s">
        <v>2526</v>
      </c>
      <c r="E394" t="s">
        <v>2527</v>
      </c>
      <c r="G394" t="s">
        <v>2525</v>
      </c>
      <c r="H394" t="s">
        <v>2528</v>
      </c>
      <c r="J394" t="s">
        <v>2529</v>
      </c>
      <c r="L394" t="s">
        <v>150</v>
      </c>
      <c r="M394" t="s">
        <v>113</v>
      </c>
      <c r="R394" t="s">
        <v>2530</v>
      </c>
      <c r="W394" t="s">
        <v>2527</v>
      </c>
      <c r="X394" t="s">
        <v>2531</v>
      </c>
      <c r="Y394" t="s">
        <v>240</v>
      </c>
      <c r="Z394" t="s">
        <v>117</v>
      </c>
      <c r="AA394" t="str">
        <f>"14221-5438"</f>
        <v>14221-5438</v>
      </c>
      <c r="AB394" t="s">
        <v>118</v>
      </c>
      <c r="AC394" t="s">
        <v>119</v>
      </c>
      <c r="AD394" t="s">
        <v>113</v>
      </c>
      <c r="AE394" t="s">
        <v>120</v>
      </c>
      <c r="AG394" t="s">
        <v>121</v>
      </c>
    </row>
    <row r="395" spans="1:33" x14ac:dyDescent="0.25">
      <c r="A395" t="str">
        <f>"1710086475"</f>
        <v>1710086475</v>
      </c>
      <c r="B395" t="str">
        <f>"03406044"</f>
        <v>03406044</v>
      </c>
      <c r="C395" t="s">
        <v>2532</v>
      </c>
      <c r="D395" t="s">
        <v>2533</v>
      </c>
      <c r="E395" t="s">
        <v>2534</v>
      </c>
      <c r="G395" t="s">
        <v>2532</v>
      </c>
      <c r="H395" t="s">
        <v>2535</v>
      </c>
      <c r="L395" t="s">
        <v>69</v>
      </c>
      <c r="M395" t="s">
        <v>113</v>
      </c>
      <c r="R395" t="s">
        <v>2532</v>
      </c>
      <c r="W395" t="s">
        <v>2534</v>
      </c>
      <c r="X395" t="s">
        <v>2536</v>
      </c>
      <c r="Y395" t="s">
        <v>153</v>
      </c>
      <c r="Z395" t="s">
        <v>117</v>
      </c>
      <c r="AA395" t="str">
        <f>"14304-3727"</f>
        <v>14304-3727</v>
      </c>
      <c r="AB395" t="s">
        <v>1263</v>
      </c>
      <c r="AC395" t="s">
        <v>119</v>
      </c>
      <c r="AD395" t="s">
        <v>113</v>
      </c>
      <c r="AE395" t="s">
        <v>120</v>
      </c>
      <c r="AG395" t="s">
        <v>121</v>
      </c>
    </row>
    <row r="396" spans="1:33" x14ac:dyDescent="0.25">
      <c r="A396" t="str">
        <f>"1710093695"</f>
        <v>1710093695</v>
      </c>
      <c r="B396" t="str">
        <f>"03444777"</f>
        <v>03444777</v>
      </c>
      <c r="C396" t="s">
        <v>2537</v>
      </c>
      <c r="D396" t="s">
        <v>2538</v>
      </c>
      <c r="E396" t="s">
        <v>2539</v>
      </c>
      <c r="G396" t="s">
        <v>2540</v>
      </c>
      <c r="H396" t="s">
        <v>2541</v>
      </c>
      <c r="J396" t="s">
        <v>2542</v>
      </c>
      <c r="L396" t="s">
        <v>112</v>
      </c>
      <c r="M396" t="s">
        <v>113</v>
      </c>
      <c r="R396" t="s">
        <v>2543</v>
      </c>
      <c r="W396" t="s">
        <v>2539</v>
      </c>
      <c r="X396" t="s">
        <v>216</v>
      </c>
      <c r="Y396" t="s">
        <v>116</v>
      </c>
      <c r="Z396" t="s">
        <v>117</v>
      </c>
      <c r="AA396" t="str">
        <f>"14222-2006"</f>
        <v>14222-2006</v>
      </c>
      <c r="AB396" t="s">
        <v>118</v>
      </c>
      <c r="AC396" t="s">
        <v>119</v>
      </c>
      <c r="AD396" t="s">
        <v>113</v>
      </c>
      <c r="AE396" t="s">
        <v>120</v>
      </c>
      <c r="AG396" t="s">
        <v>121</v>
      </c>
    </row>
    <row r="397" spans="1:33" x14ac:dyDescent="0.25">
      <c r="A397" t="str">
        <f>"1710111729"</f>
        <v>1710111729</v>
      </c>
      <c r="B397" t="str">
        <f>"03734847"</f>
        <v>03734847</v>
      </c>
      <c r="C397" t="s">
        <v>2544</v>
      </c>
      <c r="D397" t="s">
        <v>2545</v>
      </c>
      <c r="E397" t="s">
        <v>2546</v>
      </c>
      <c r="G397" t="s">
        <v>2547</v>
      </c>
      <c r="H397" t="s">
        <v>2548</v>
      </c>
      <c r="J397" t="s">
        <v>2549</v>
      </c>
      <c r="L397" t="s">
        <v>142</v>
      </c>
      <c r="M397" t="s">
        <v>113</v>
      </c>
      <c r="R397" t="s">
        <v>2550</v>
      </c>
      <c r="W397" t="s">
        <v>2546</v>
      </c>
      <c r="X397" t="s">
        <v>176</v>
      </c>
      <c r="Y397" t="s">
        <v>116</v>
      </c>
      <c r="Z397" t="s">
        <v>117</v>
      </c>
      <c r="AA397" t="str">
        <f>"14203-1126"</f>
        <v>14203-1126</v>
      </c>
      <c r="AB397" t="s">
        <v>118</v>
      </c>
      <c r="AC397" t="s">
        <v>119</v>
      </c>
      <c r="AD397" t="s">
        <v>113</v>
      </c>
      <c r="AE397" t="s">
        <v>120</v>
      </c>
      <c r="AG397" t="s">
        <v>121</v>
      </c>
    </row>
    <row r="398" spans="1:33" x14ac:dyDescent="0.25">
      <c r="A398" t="str">
        <f>"1710113436"</f>
        <v>1710113436</v>
      </c>
      <c r="B398" t="str">
        <f>"03136376"</f>
        <v>03136376</v>
      </c>
      <c r="C398" t="s">
        <v>2551</v>
      </c>
      <c r="D398" t="s">
        <v>2552</v>
      </c>
      <c r="E398" t="s">
        <v>2553</v>
      </c>
      <c r="G398" t="s">
        <v>2554</v>
      </c>
      <c r="H398" t="s">
        <v>272</v>
      </c>
      <c r="J398" t="s">
        <v>2555</v>
      </c>
      <c r="L398" t="s">
        <v>1033</v>
      </c>
      <c r="M398" t="s">
        <v>113</v>
      </c>
      <c r="R398" t="s">
        <v>2556</v>
      </c>
      <c r="W398" t="s">
        <v>2557</v>
      </c>
      <c r="X398" t="s">
        <v>966</v>
      </c>
      <c r="Y398" t="s">
        <v>116</v>
      </c>
      <c r="Z398" t="s">
        <v>117</v>
      </c>
      <c r="AA398" t="str">
        <f>"14207-1816"</f>
        <v>14207-1816</v>
      </c>
      <c r="AB398" t="s">
        <v>621</v>
      </c>
      <c r="AC398" t="s">
        <v>119</v>
      </c>
      <c r="AD398" t="s">
        <v>113</v>
      </c>
      <c r="AE398" t="s">
        <v>120</v>
      </c>
      <c r="AG398" t="s">
        <v>121</v>
      </c>
    </row>
    <row r="399" spans="1:33" x14ac:dyDescent="0.25">
      <c r="A399" t="str">
        <f>"1710116496"</f>
        <v>1710116496</v>
      </c>
      <c r="B399" t="str">
        <f>"03278686"</f>
        <v>03278686</v>
      </c>
      <c r="C399" t="s">
        <v>2558</v>
      </c>
      <c r="D399" t="s">
        <v>2559</v>
      </c>
      <c r="E399" t="s">
        <v>2560</v>
      </c>
      <c r="G399" t="s">
        <v>2561</v>
      </c>
      <c r="H399" t="s">
        <v>2562</v>
      </c>
      <c r="J399" t="s">
        <v>2563</v>
      </c>
      <c r="L399" t="s">
        <v>142</v>
      </c>
      <c r="M399" t="s">
        <v>113</v>
      </c>
      <c r="R399" t="s">
        <v>2564</v>
      </c>
      <c r="W399" t="s">
        <v>2560</v>
      </c>
      <c r="X399" t="s">
        <v>253</v>
      </c>
      <c r="Y399" t="s">
        <v>116</v>
      </c>
      <c r="Z399" t="s">
        <v>117</v>
      </c>
      <c r="AA399" t="str">
        <f>"14215-3021"</f>
        <v>14215-3021</v>
      </c>
      <c r="AB399" t="s">
        <v>634</v>
      </c>
      <c r="AC399" t="s">
        <v>119</v>
      </c>
      <c r="AD399" t="s">
        <v>113</v>
      </c>
      <c r="AE399" t="s">
        <v>120</v>
      </c>
      <c r="AG399" t="s">
        <v>121</v>
      </c>
    </row>
    <row r="400" spans="1:33" x14ac:dyDescent="0.25">
      <c r="A400" t="str">
        <f>"1710142591"</f>
        <v>1710142591</v>
      </c>
      <c r="B400" t="str">
        <f>"03057054"</f>
        <v>03057054</v>
      </c>
      <c r="C400" t="s">
        <v>2565</v>
      </c>
      <c r="D400" t="s">
        <v>2566</v>
      </c>
      <c r="E400" t="s">
        <v>2567</v>
      </c>
      <c r="G400" t="s">
        <v>2565</v>
      </c>
      <c r="H400" t="s">
        <v>2568</v>
      </c>
      <c r="J400" t="s">
        <v>2569</v>
      </c>
      <c r="L400" t="s">
        <v>112</v>
      </c>
      <c r="M400" t="s">
        <v>113</v>
      </c>
      <c r="R400" t="s">
        <v>2570</v>
      </c>
      <c r="W400" t="s">
        <v>2571</v>
      </c>
      <c r="X400" t="s">
        <v>838</v>
      </c>
      <c r="Y400" t="s">
        <v>240</v>
      </c>
      <c r="Z400" t="s">
        <v>117</v>
      </c>
      <c r="AA400" t="str">
        <f>"14221-3647"</f>
        <v>14221-3647</v>
      </c>
      <c r="AB400" t="s">
        <v>118</v>
      </c>
      <c r="AC400" t="s">
        <v>119</v>
      </c>
      <c r="AD400" t="s">
        <v>113</v>
      </c>
      <c r="AE400" t="s">
        <v>120</v>
      </c>
      <c r="AG400" t="s">
        <v>121</v>
      </c>
    </row>
    <row r="401" spans="1:33" x14ac:dyDescent="0.25">
      <c r="A401" t="str">
        <f>"1710142807"</f>
        <v>1710142807</v>
      </c>
      <c r="B401" t="str">
        <f>"03811341"</f>
        <v>03811341</v>
      </c>
      <c r="C401" t="s">
        <v>2572</v>
      </c>
      <c r="D401" t="s">
        <v>2573</v>
      </c>
      <c r="E401" t="s">
        <v>2574</v>
      </c>
      <c r="G401" t="s">
        <v>2572</v>
      </c>
      <c r="H401" t="s">
        <v>532</v>
      </c>
      <c r="J401" t="s">
        <v>2575</v>
      </c>
      <c r="L401" t="s">
        <v>112</v>
      </c>
      <c r="M401" t="s">
        <v>113</v>
      </c>
      <c r="R401" t="s">
        <v>2574</v>
      </c>
      <c r="W401" t="s">
        <v>2574</v>
      </c>
      <c r="X401" t="s">
        <v>176</v>
      </c>
      <c r="Y401" t="s">
        <v>116</v>
      </c>
      <c r="Z401" t="s">
        <v>117</v>
      </c>
      <c r="AA401" t="str">
        <f>"14203-1126"</f>
        <v>14203-1126</v>
      </c>
      <c r="AB401" t="s">
        <v>118</v>
      </c>
      <c r="AC401" t="s">
        <v>119</v>
      </c>
      <c r="AD401" t="s">
        <v>113</v>
      </c>
      <c r="AE401" t="s">
        <v>120</v>
      </c>
      <c r="AG401" t="s">
        <v>121</v>
      </c>
    </row>
    <row r="402" spans="1:33" x14ac:dyDescent="0.25">
      <c r="A402" t="str">
        <f>"1710146956"</f>
        <v>1710146956</v>
      </c>
      <c r="C402" t="s">
        <v>2576</v>
      </c>
      <c r="G402" t="s">
        <v>2577</v>
      </c>
      <c r="H402" t="s">
        <v>351</v>
      </c>
      <c r="J402" t="s">
        <v>352</v>
      </c>
      <c r="K402" t="s">
        <v>303</v>
      </c>
      <c r="L402" t="s">
        <v>229</v>
      </c>
      <c r="M402" t="s">
        <v>113</v>
      </c>
      <c r="R402" t="s">
        <v>2578</v>
      </c>
      <c r="S402" t="s">
        <v>1091</v>
      </c>
      <c r="T402" t="s">
        <v>116</v>
      </c>
      <c r="U402" t="s">
        <v>117</v>
      </c>
      <c r="V402" t="str">
        <f>"142072341"</f>
        <v>142072341</v>
      </c>
      <c r="AC402" t="s">
        <v>119</v>
      </c>
      <c r="AD402" t="s">
        <v>113</v>
      </c>
      <c r="AE402" t="s">
        <v>306</v>
      </c>
      <c r="AG402" t="s">
        <v>121</v>
      </c>
    </row>
    <row r="403" spans="1:33" x14ac:dyDescent="0.25">
      <c r="A403" t="str">
        <f>"1235266057"</f>
        <v>1235266057</v>
      </c>
      <c r="B403" t="str">
        <f>"01561311"</f>
        <v>01561311</v>
      </c>
      <c r="C403" t="s">
        <v>24527</v>
      </c>
      <c r="D403" t="s">
        <v>24528</v>
      </c>
      <c r="E403" t="s">
        <v>24529</v>
      </c>
      <c r="G403" t="s">
        <v>24530</v>
      </c>
      <c r="H403" t="s">
        <v>24531</v>
      </c>
      <c r="J403" t="s">
        <v>24532</v>
      </c>
      <c r="L403" t="s">
        <v>19</v>
      </c>
      <c r="M403" t="s">
        <v>199</v>
      </c>
      <c r="R403" t="s">
        <v>24533</v>
      </c>
      <c r="W403" t="s">
        <v>24529</v>
      </c>
      <c r="X403" t="s">
        <v>24534</v>
      </c>
      <c r="Y403" t="s">
        <v>3955</v>
      </c>
      <c r="Z403" t="s">
        <v>117</v>
      </c>
      <c r="AA403" t="str">
        <f>"14744-8706"</f>
        <v>14744-8706</v>
      </c>
      <c r="AB403" t="s">
        <v>282</v>
      </c>
      <c r="AC403" t="s">
        <v>119</v>
      </c>
      <c r="AD403" t="s">
        <v>113</v>
      </c>
      <c r="AE403" t="s">
        <v>120</v>
      </c>
      <c r="AG403" t="s">
        <v>121</v>
      </c>
    </row>
    <row r="404" spans="1:33" x14ac:dyDescent="0.25">
      <c r="A404" t="str">
        <f>"1710175971"</f>
        <v>1710175971</v>
      </c>
      <c r="B404" t="str">
        <f>"03082253"</f>
        <v>03082253</v>
      </c>
      <c r="C404" t="s">
        <v>2587</v>
      </c>
      <c r="D404" t="s">
        <v>2588</v>
      </c>
      <c r="E404" t="s">
        <v>2589</v>
      </c>
      <c r="G404" t="s">
        <v>2590</v>
      </c>
      <c r="H404" t="s">
        <v>2591</v>
      </c>
      <c r="J404" t="s">
        <v>2592</v>
      </c>
      <c r="L404" t="s">
        <v>112</v>
      </c>
      <c r="M404" t="s">
        <v>113</v>
      </c>
      <c r="R404" t="s">
        <v>2593</v>
      </c>
      <c r="W404" t="s">
        <v>2594</v>
      </c>
      <c r="X404" t="s">
        <v>1845</v>
      </c>
      <c r="Y404" t="s">
        <v>816</v>
      </c>
      <c r="Z404" t="s">
        <v>117</v>
      </c>
      <c r="AA404" t="str">
        <f>"14120-6150"</f>
        <v>14120-6150</v>
      </c>
      <c r="AB404" t="s">
        <v>118</v>
      </c>
      <c r="AC404" t="s">
        <v>119</v>
      </c>
      <c r="AD404" t="s">
        <v>113</v>
      </c>
      <c r="AE404" t="s">
        <v>120</v>
      </c>
      <c r="AG404" t="s">
        <v>121</v>
      </c>
    </row>
    <row r="405" spans="1:33" x14ac:dyDescent="0.25">
      <c r="A405" t="str">
        <f>"1710180641"</f>
        <v>1710180641</v>
      </c>
      <c r="B405" t="str">
        <f>"03837616"</f>
        <v>03837616</v>
      </c>
      <c r="C405" t="s">
        <v>2595</v>
      </c>
      <c r="D405" t="s">
        <v>2596</v>
      </c>
      <c r="E405" t="s">
        <v>2597</v>
      </c>
      <c r="G405" t="s">
        <v>2595</v>
      </c>
      <c r="H405" t="s">
        <v>2598</v>
      </c>
      <c r="J405" t="s">
        <v>2599</v>
      </c>
      <c r="L405" t="s">
        <v>112</v>
      </c>
      <c r="M405" t="s">
        <v>113</v>
      </c>
      <c r="R405" t="s">
        <v>2600</v>
      </c>
      <c r="W405" t="s">
        <v>2597</v>
      </c>
      <c r="X405" t="s">
        <v>2601</v>
      </c>
      <c r="Y405" t="s">
        <v>153</v>
      </c>
      <c r="Z405" t="s">
        <v>117</v>
      </c>
      <c r="AA405" t="str">
        <f>"14304-3072"</f>
        <v>14304-3072</v>
      </c>
      <c r="AB405" t="s">
        <v>118</v>
      </c>
      <c r="AC405" t="s">
        <v>119</v>
      </c>
      <c r="AD405" t="s">
        <v>113</v>
      </c>
      <c r="AE405" t="s">
        <v>120</v>
      </c>
      <c r="AG405" t="s">
        <v>121</v>
      </c>
    </row>
    <row r="406" spans="1:33" x14ac:dyDescent="0.25">
      <c r="A406" t="str">
        <f>"1710292982"</f>
        <v>1710292982</v>
      </c>
      <c r="B406" t="str">
        <f>"03740094"</f>
        <v>03740094</v>
      </c>
      <c r="C406" t="s">
        <v>2602</v>
      </c>
      <c r="D406" t="s">
        <v>2603</v>
      </c>
      <c r="E406" t="s">
        <v>2604</v>
      </c>
      <c r="G406" t="s">
        <v>2602</v>
      </c>
      <c r="H406" t="s">
        <v>205</v>
      </c>
      <c r="J406" t="s">
        <v>2605</v>
      </c>
      <c r="L406" t="s">
        <v>112</v>
      </c>
      <c r="M406" t="s">
        <v>113</v>
      </c>
      <c r="R406" t="s">
        <v>2606</v>
      </c>
      <c r="W406" t="s">
        <v>2604</v>
      </c>
      <c r="X406" t="s">
        <v>2607</v>
      </c>
      <c r="Y406" t="s">
        <v>116</v>
      </c>
      <c r="Z406" t="s">
        <v>117</v>
      </c>
      <c r="AA406" t="str">
        <f>"14203-1149"</f>
        <v>14203-1149</v>
      </c>
      <c r="AB406" t="s">
        <v>118</v>
      </c>
      <c r="AC406" t="s">
        <v>119</v>
      </c>
      <c r="AD406" t="s">
        <v>113</v>
      </c>
      <c r="AE406" t="s">
        <v>120</v>
      </c>
      <c r="AG406" t="s">
        <v>121</v>
      </c>
    </row>
    <row r="407" spans="1:33" x14ac:dyDescent="0.25">
      <c r="A407" t="str">
        <f>"1710297205"</f>
        <v>1710297205</v>
      </c>
      <c r="B407" t="str">
        <f>"03317291"</f>
        <v>03317291</v>
      </c>
      <c r="C407" t="s">
        <v>2608</v>
      </c>
      <c r="D407" t="s">
        <v>2609</v>
      </c>
      <c r="E407" t="s">
        <v>2610</v>
      </c>
      <c r="G407" t="s">
        <v>2611</v>
      </c>
      <c r="H407" t="s">
        <v>2612</v>
      </c>
      <c r="J407" t="s">
        <v>1387</v>
      </c>
      <c r="L407" t="s">
        <v>142</v>
      </c>
      <c r="M407" t="s">
        <v>113</v>
      </c>
      <c r="R407" t="s">
        <v>2613</v>
      </c>
      <c r="W407" t="s">
        <v>2610</v>
      </c>
      <c r="X407" t="s">
        <v>1098</v>
      </c>
      <c r="Y407" t="s">
        <v>305</v>
      </c>
      <c r="Z407" t="s">
        <v>117</v>
      </c>
      <c r="AA407" t="str">
        <f>"14760-1513"</f>
        <v>14760-1513</v>
      </c>
      <c r="AB407" t="s">
        <v>118</v>
      </c>
      <c r="AC407" t="s">
        <v>119</v>
      </c>
      <c r="AD407" t="s">
        <v>113</v>
      </c>
      <c r="AE407" t="s">
        <v>120</v>
      </c>
      <c r="AG407" t="s">
        <v>121</v>
      </c>
    </row>
    <row r="408" spans="1:33" x14ac:dyDescent="0.25">
      <c r="A408" t="str">
        <f>"1508802620"</f>
        <v>1508802620</v>
      </c>
      <c r="B408" t="str">
        <f>"02776272"</f>
        <v>02776272</v>
      </c>
      <c r="C408" t="s">
        <v>2614</v>
      </c>
      <c r="D408" t="s">
        <v>2615</v>
      </c>
      <c r="E408" t="s">
        <v>2616</v>
      </c>
      <c r="G408" t="s">
        <v>2614</v>
      </c>
      <c r="H408" t="s">
        <v>744</v>
      </c>
      <c r="J408" t="s">
        <v>2617</v>
      </c>
      <c r="L408" t="s">
        <v>150</v>
      </c>
      <c r="M408" t="s">
        <v>113</v>
      </c>
      <c r="R408" t="s">
        <v>2618</v>
      </c>
      <c r="W408" t="s">
        <v>2616</v>
      </c>
      <c r="X408" t="s">
        <v>2619</v>
      </c>
      <c r="Y408" t="s">
        <v>116</v>
      </c>
      <c r="Z408" t="s">
        <v>117</v>
      </c>
      <c r="AA408" t="str">
        <f>"14228-2044"</f>
        <v>14228-2044</v>
      </c>
      <c r="AB408" t="s">
        <v>118</v>
      </c>
      <c r="AC408" t="s">
        <v>119</v>
      </c>
      <c r="AD408" t="s">
        <v>113</v>
      </c>
      <c r="AE408" t="s">
        <v>120</v>
      </c>
      <c r="AG408" t="s">
        <v>121</v>
      </c>
    </row>
    <row r="409" spans="1:33" x14ac:dyDescent="0.25">
      <c r="A409" t="str">
        <f>"1508810581"</f>
        <v>1508810581</v>
      </c>
      <c r="B409" t="str">
        <f>"02064964"</f>
        <v>02064964</v>
      </c>
      <c r="C409" t="s">
        <v>2620</v>
      </c>
      <c r="D409" t="s">
        <v>2621</v>
      </c>
      <c r="E409" t="s">
        <v>2622</v>
      </c>
      <c r="G409" t="s">
        <v>2620</v>
      </c>
      <c r="H409" t="s">
        <v>2286</v>
      </c>
      <c r="J409" t="s">
        <v>2623</v>
      </c>
      <c r="L409" t="s">
        <v>112</v>
      </c>
      <c r="M409" t="s">
        <v>113</v>
      </c>
      <c r="R409" t="s">
        <v>2624</v>
      </c>
      <c r="W409" t="s">
        <v>2622</v>
      </c>
      <c r="X409" t="s">
        <v>115</v>
      </c>
      <c r="Y409" t="s">
        <v>116</v>
      </c>
      <c r="Z409" t="s">
        <v>117</v>
      </c>
      <c r="AA409" t="str">
        <f>"14209-2087"</f>
        <v>14209-2087</v>
      </c>
      <c r="AB409" t="s">
        <v>118</v>
      </c>
      <c r="AC409" t="s">
        <v>119</v>
      </c>
      <c r="AD409" t="s">
        <v>113</v>
      </c>
      <c r="AE409" t="s">
        <v>120</v>
      </c>
      <c r="AG409" t="s">
        <v>121</v>
      </c>
    </row>
    <row r="410" spans="1:33" x14ac:dyDescent="0.25">
      <c r="A410" t="str">
        <f>"1508810821"</f>
        <v>1508810821</v>
      </c>
      <c r="B410" t="str">
        <f>"01245596"</f>
        <v>01245596</v>
      </c>
      <c r="C410" t="s">
        <v>2625</v>
      </c>
      <c r="D410" t="s">
        <v>2626</v>
      </c>
      <c r="E410" t="s">
        <v>2627</v>
      </c>
      <c r="G410" t="s">
        <v>2625</v>
      </c>
      <c r="H410" t="s">
        <v>2628</v>
      </c>
      <c r="J410" t="s">
        <v>2629</v>
      </c>
      <c r="L410" t="s">
        <v>142</v>
      </c>
      <c r="M410" t="s">
        <v>113</v>
      </c>
      <c r="R410" t="s">
        <v>2630</v>
      </c>
      <c r="W410" t="s">
        <v>2627</v>
      </c>
      <c r="Y410" t="s">
        <v>116</v>
      </c>
      <c r="Z410" t="s">
        <v>117</v>
      </c>
      <c r="AA410" t="str">
        <f>"14222-2099"</f>
        <v>14222-2099</v>
      </c>
      <c r="AB410" t="s">
        <v>118</v>
      </c>
      <c r="AC410" t="s">
        <v>119</v>
      </c>
      <c r="AD410" t="s">
        <v>113</v>
      </c>
      <c r="AE410" t="s">
        <v>120</v>
      </c>
      <c r="AG410" t="s">
        <v>121</v>
      </c>
    </row>
    <row r="411" spans="1:33" x14ac:dyDescent="0.25">
      <c r="A411" t="str">
        <f>"1972567808"</f>
        <v>1972567808</v>
      </c>
      <c r="B411" t="str">
        <f>"02346418"</f>
        <v>02346418</v>
      </c>
      <c r="C411" t="s">
        <v>2631</v>
      </c>
      <c r="D411" t="s">
        <v>2632</v>
      </c>
      <c r="E411" t="s">
        <v>2633</v>
      </c>
      <c r="G411" t="s">
        <v>2634</v>
      </c>
      <c r="H411" t="s">
        <v>2635</v>
      </c>
      <c r="J411" t="s">
        <v>2636</v>
      </c>
      <c r="L411" t="s">
        <v>112</v>
      </c>
      <c r="M411" t="s">
        <v>113</v>
      </c>
      <c r="R411" t="s">
        <v>2637</v>
      </c>
      <c r="W411" t="s">
        <v>2633</v>
      </c>
      <c r="X411" t="s">
        <v>2638</v>
      </c>
      <c r="Y411" t="s">
        <v>318</v>
      </c>
      <c r="Z411" t="s">
        <v>117</v>
      </c>
      <c r="AA411" t="str">
        <f>"14227-1416"</f>
        <v>14227-1416</v>
      </c>
      <c r="AB411" t="s">
        <v>118</v>
      </c>
      <c r="AC411" t="s">
        <v>119</v>
      </c>
      <c r="AD411" t="s">
        <v>113</v>
      </c>
      <c r="AE411" t="s">
        <v>120</v>
      </c>
      <c r="AG411" t="s">
        <v>121</v>
      </c>
    </row>
    <row r="412" spans="1:33" x14ac:dyDescent="0.25">
      <c r="A412" t="str">
        <f>"1972568517"</f>
        <v>1972568517</v>
      </c>
      <c r="B412" t="str">
        <f>"01494893"</f>
        <v>01494893</v>
      </c>
      <c r="C412" t="s">
        <v>2639</v>
      </c>
      <c r="D412" t="s">
        <v>2640</v>
      </c>
      <c r="E412" t="s">
        <v>2641</v>
      </c>
      <c r="G412" t="s">
        <v>2639</v>
      </c>
      <c r="H412" t="s">
        <v>205</v>
      </c>
      <c r="J412" t="s">
        <v>2642</v>
      </c>
      <c r="L412" t="s">
        <v>150</v>
      </c>
      <c r="M412" t="s">
        <v>113</v>
      </c>
      <c r="R412" t="s">
        <v>2643</v>
      </c>
      <c r="W412" t="s">
        <v>2641</v>
      </c>
      <c r="X412" t="s">
        <v>2607</v>
      </c>
      <c r="Y412" t="s">
        <v>116</v>
      </c>
      <c r="Z412" t="s">
        <v>117</v>
      </c>
      <c r="AA412" t="str">
        <f>"14203-1149"</f>
        <v>14203-1149</v>
      </c>
      <c r="AB412" t="s">
        <v>118</v>
      </c>
      <c r="AC412" t="s">
        <v>119</v>
      </c>
      <c r="AD412" t="s">
        <v>113</v>
      </c>
      <c r="AE412" t="s">
        <v>120</v>
      </c>
      <c r="AG412" t="s">
        <v>121</v>
      </c>
    </row>
    <row r="413" spans="1:33" x14ac:dyDescent="0.25">
      <c r="A413" t="str">
        <f>"1972583169"</f>
        <v>1972583169</v>
      </c>
      <c r="B413" t="str">
        <f>"02778590"</f>
        <v>02778590</v>
      </c>
      <c r="C413" t="s">
        <v>2644</v>
      </c>
      <c r="D413" t="s">
        <v>2645</v>
      </c>
      <c r="E413" t="s">
        <v>2646</v>
      </c>
      <c r="G413" t="s">
        <v>2647</v>
      </c>
      <c r="H413" t="s">
        <v>2648</v>
      </c>
      <c r="J413" t="s">
        <v>2649</v>
      </c>
      <c r="L413" t="s">
        <v>112</v>
      </c>
      <c r="M413" t="s">
        <v>113</v>
      </c>
      <c r="R413" t="s">
        <v>2650</v>
      </c>
      <c r="W413" t="s">
        <v>2651</v>
      </c>
      <c r="X413" t="s">
        <v>216</v>
      </c>
      <c r="Y413" t="s">
        <v>116</v>
      </c>
      <c r="Z413" t="s">
        <v>117</v>
      </c>
      <c r="AA413" t="str">
        <f>"14222-2006"</f>
        <v>14222-2006</v>
      </c>
      <c r="AB413" t="s">
        <v>118</v>
      </c>
      <c r="AC413" t="s">
        <v>119</v>
      </c>
      <c r="AD413" t="s">
        <v>113</v>
      </c>
      <c r="AE413" t="s">
        <v>120</v>
      </c>
      <c r="AG413" t="s">
        <v>121</v>
      </c>
    </row>
    <row r="414" spans="1:33" x14ac:dyDescent="0.25">
      <c r="A414" t="str">
        <f>"1972584639"</f>
        <v>1972584639</v>
      </c>
      <c r="B414" t="str">
        <f>"01195555"</f>
        <v>01195555</v>
      </c>
      <c r="C414" t="s">
        <v>2652</v>
      </c>
      <c r="D414" t="s">
        <v>2653</v>
      </c>
      <c r="E414" t="s">
        <v>2654</v>
      </c>
      <c r="G414" t="s">
        <v>2655</v>
      </c>
      <c r="H414" t="s">
        <v>213</v>
      </c>
      <c r="J414" t="s">
        <v>2656</v>
      </c>
      <c r="L414" t="s">
        <v>150</v>
      </c>
      <c r="M414" t="s">
        <v>199</v>
      </c>
      <c r="R414" t="s">
        <v>2657</v>
      </c>
      <c r="W414" t="s">
        <v>2654</v>
      </c>
      <c r="X414" t="s">
        <v>216</v>
      </c>
      <c r="Y414" t="s">
        <v>116</v>
      </c>
      <c r="Z414" t="s">
        <v>117</v>
      </c>
      <c r="AA414" t="str">
        <f>"14222-2006"</f>
        <v>14222-2006</v>
      </c>
      <c r="AB414" t="s">
        <v>118</v>
      </c>
      <c r="AC414" t="s">
        <v>119</v>
      </c>
      <c r="AD414" t="s">
        <v>113</v>
      </c>
      <c r="AE414" t="s">
        <v>120</v>
      </c>
      <c r="AG414" t="s">
        <v>121</v>
      </c>
    </row>
    <row r="415" spans="1:33" x14ac:dyDescent="0.25">
      <c r="A415" t="str">
        <f>"1972589083"</f>
        <v>1972589083</v>
      </c>
      <c r="B415" t="str">
        <f>"01980872"</f>
        <v>01980872</v>
      </c>
      <c r="C415" t="s">
        <v>2658</v>
      </c>
      <c r="D415" t="s">
        <v>2659</v>
      </c>
      <c r="E415" t="s">
        <v>2660</v>
      </c>
      <c r="G415" t="s">
        <v>2658</v>
      </c>
      <c r="H415" t="s">
        <v>1006</v>
      </c>
      <c r="J415" t="s">
        <v>2661</v>
      </c>
      <c r="L415" t="s">
        <v>142</v>
      </c>
      <c r="M415" t="s">
        <v>113</v>
      </c>
      <c r="R415" t="s">
        <v>2662</v>
      </c>
      <c r="W415" t="s">
        <v>2660</v>
      </c>
      <c r="X415" t="s">
        <v>2663</v>
      </c>
      <c r="Y415" t="s">
        <v>145</v>
      </c>
      <c r="Z415" t="s">
        <v>117</v>
      </c>
      <c r="AA415" t="str">
        <f>"14051-2610"</f>
        <v>14051-2610</v>
      </c>
      <c r="AB415" t="s">
        <v>118</v>
      </c>
      <c r="AC415" t="s">
        <v>119</v>
      </c>
      <c r="AD415" t="s">
        <v>113</v>
      </c>
      <c r="AE415" t="s">
        <v>120</v>
      </c>
      <c r="AG415" t="s">
        <v>121</v>
      </c>
    </row>
    <row r="416" spans="1:33" x14ac:dyDescent="0.25">
      <c r="A416" t="str">
        <f>"1972589893"</f>
        <v>1972589893</v>
      </c>
      <c r="B416" t="str">
        <f>"03552343"</f>
        <v>03552343</v>
      </c>
      <c r="C416" t="s">
        <v>2664</v>
      </c>
      <c r="D416" t="s">
        <v>2665</v>
      </c>
      <c r="E416" t="s">
        <v>2666</v>
      </c>
      <c r="G416" t="s">
        <v>2664</v>
      </c>
      <c r="H416" t="s">
        <v>2667</v>
      </c>
      <c r="J416" t="s">
        <v>2668</v>
      </c>
      <c r="L416" t="s">
        <v>142</v>
      </c>
      <c r="M416" t="s">
        <v>113</v>
      </c>
      <c r="R416" t="s">
        <v>2669</v>
      </c>
      <c r="W416" t="s">
        <v>2666</v>
      </c>
      <c r="X416" t="s">
        <v>838</v>
      </c>
      <c r="Y416" t="s">
        <v>240</v>
      </c>
      <c r="Z416" t="s">
        <v>117</v>
      </c>
      <c r="AA416" t="str">
        <f>"14221-3647"</f>
        <v>14221-3647</v>
      </c>
      <c r="AB416" t="s">
        <v>118</v>
      </c>
      <c r="AC416" t="s">
        <v>119</v>
      </c>
      <c r="AD416" t="s">
        <v>113</v>
      </c>
      <c r="AE416" t="s">
        <v>120</v>
      </c>
      <c r="AG416" t="s">
        <v>121</v>
      </c>
    </row>
    <row r="417" spans="1:33" x14ac:dyDescent="0.25">
      <c r="A417" t="str">
        <f>"1972593903"</f>
        <v>1972593903</v>
      </c>
      <c r="B417" t="str">
        <f>"01795500"</f>
        <v>01795500</v>
      </c>
      <c r="C417" t="s">
        <v>2670</v>
      </c>
      <c r="D417" t="s">
        <v>2671</v>
      </c>
      <c r="E417" t="s">
        <v>2672</v>
      </c>
      <c r="G417" t="s">
        <v>2670</v>
      </c>
      <c r="H417" t="s">
        <v>2673</v>
      </c>
      <c r="J417" t="s">
        <v>2674</v>
      </c>
      <c r="L417" t="s">
        <v>150</v>
      </c>
      <c r="M417" t="s">
        <v>113</v>
      </c>
      <c r="R417" t="s">
        <v>2675</v>
      </c>
      <c r="W417" t="s">
        <v>2672</v>
      </c>
      <c r="X417" t="s">
        <v>2676</v>
      </c>
      <c r="Y417" t="s">
        <v>816</v>
      </c>
      <c r="Z417" t="s">
        <v>117</v>
      </c>
      <c r="AA417" t="str">
        <f>"14120-4631"</f>
        <v>14120-4631</v>
      </c>
      <c r="AB417" t="s">
        <v>118</v>
      </c>
      <c r="AC417" t="s">
        <v>119</v>
      </c>
      <c r="AD417" t="s">
        <v>113</v>
      </c>
      <c r="AE417" t="s">
        <v>120</v>
      </c>
      <c r="AG417" t="s">
        <v>121</v>
      </c>
    </row>
    <row r="418" spans="1:33" x14ac:dyDescent="0.25">
      <c r="A418" t="str">
        <f>"1972596229"</f>
        <v>1972596229</v>
      </c>
      <c r="B418" t="str">
        <f>"00603778"</f>
        <v>00603778</v>
      </c>
      <c r="C418" t="s">
        <v>2677</v>
      </c>
      <c r="D418" t="s">
        <v>2678</v>
      </c>
      <c r="E418" t="s">
        <v>2679</v>
      </c>
      <c r="G418" t="s">
        <v>2200</v>
      </c>
      <c r="H418" t="s">
        <v>2680</v>
      </c>
      <c r="J418" t="s">
        <v>2202</v>
      </c>
      <c r="L418" t="s">
        <v>150</v>
      </c>
      <c r="M418" t="s">
        <v>113</v>
      </c>
      <c r="R418" t="s">
        <v>2681</v>
      </c>
      <c r="W418" t="s">
        <v>2679</v>
      </c>
      <c r="X418" t="s">
        <v>2682</v>
      </c>
      <c r="Y418" t="s">
        <v>2683</v>
      </c>
      <c r="Z418" t="s">
        <v>117</v>
      </c>
      <c r="AA418" t="str">
        <f>"14009-1626"</f>
        <v>14009-1626</v>
      </c>
      <c r="AB418" t="s">
        <v>118</v>
      </c>
      <c r="AC418" t="s">
        <v>119</v>
      </c>
      <c r="AD418" t="s">
        <v>113</v>
      </c>
      <c r="AE418" t="s">
        <v>120</v>
      </c>
      <c r="AG418" t="s">
        <v>121</v>
      </c>
    </row>
    <row r="419" spans="1:33" x14ac:dyDescent="0.25">
      <c r="A419" t="str">
        <f>"1447235783"</f>
        <v>1447235783</v>
      </c>
      <c r="B419" t="str">
        <f>"03255552"</f>
        <v>03255552</v>
      </c>
      <c r="C419" t="s">
        <v>2684</v>
      </c>
      <c r="D419" t="s">
        <v>2685</v>
      </c>
      <c r="E419" t="s">
        <v>2686</v>
      </c>
      <c r="G419" t="s">
        <v>2684</v>
      </c>
      <c r="H419" t="s">
        <v>227</v>
      </c>
      <c r="J419" t="s">
        <v>2687</v>
      </c>
      <c r="L419" t="s">
        <v>142</v>
      </c>
      <c r="M419" t="s">
        <v>113</v>
      </c>
      <c r="R419" t="s">
        <v>2688</v>
      </c>
      <c r="W419" t="s">
        <v>2686</v>
      </c>
      <c r="X419" t="s">
        <v>2689</v>
      </c>
      <c r="Y419" t="s">
        <v>2690</v>
      </c>
      <c r="Z419" t="s">
        <v>117</v>
      </c>
      <c r="AA419" t="str">
        <f>"10451"</f>
        <v>10451</v>
      </c>
      <c r="AB419" t="s">
        <v>118</v>
      </c>
      <c r="AC419" t="s">
        <v>119</v>
      </c>
      <c r="AD419" t="s">
        <v>113</v>
      </c>
      <c r="AE419" t="s">
        <v>120</v>
      </c>
      <c r="AG419" t="s">
        <v>121</v>
      </c>
    </row>
    <row r="420" spans="1:33" x14ac:dyDescent="0.25">
      <c r="A420" t="str">
        <f>"1447241088"</f>
        <v>1447241088</v>
      </c>
      <c r="B420" t="str">
        <f>"00955720"</f>
        <v>00955720</v>
      </c>
      <c r="C420" t="s">
        <v>2691</v>
      </c>
      <c r="D420" t="s">
        <v>2692</v>
      </c>
      <c r="E420" t="s">
        <v>2693</v>
      </c>
      <c r="G420" t="s">
        <v>2694</v>
      </c>
      <c r="H420" t="s">
        <v>2695</v>
      </c>
      <c r="J420" t="s">
        <v>2696</v>
      </c>
      <c r="L420" t="s">
        <v>2697</v>
      </c>
      <c r="M420" t="s">
        <v>113</v>
      </c>
      <c r="R420" t="s">
        <v>2691</v>
      </c>
      <c r="W420" t="s">
        <v>2693</v>
      </c>
      <c r="X420" t="s">
        <v>2698</v>
      </c>
      <c r="Y420" t="s">
        <v>318</v>
      </c>
      <c r="Z420" t="s">
        <v>117</v>
      </c>
      <c r="AA420" t="str">
        <f>"14227-1416"</f>
        <v>14227-1416</v>
      </c>
      <c r="AB420" t="s">
        <v>1146</v>
      </c>
      <c r="AC420" t="s">
        <v>119</v>
      </c>
      <c r="AD420" t="s">
        <v>113</v>
      </c>
      <c r="AE420" t="s">
        <v>120</v>
      </c>
      <c r="AG420" t="s">
        <v>121</v>
      </c>
    </row>
    <row r="421" spans="1:33" x14ac:dyDescent="0.25">
      <c r="A421" t="str">
        <f>"1356335194"</f>
        <v>1356335194</v>
      </c>
      <c r="B421" t="str">
        <f>"00611532"</f>
        <v>00611532</v>
      </c>
      <c r="C421" t="s">
        <v>2699</v>
      </c>
      <c r="D421" t="s">
        <v>2700</v>
      </c>
      <c r="E421" t="s">
        <v>2701</v>
      </c>
      <c r="G421" t="s">
        <v>2699</v>
      </c>
      <c r="H421" t="s">
        <v>2702</v>
      </c>
      <c r="J421" t="s">
        <v>2703</v>
      </c>
      <c r="L421" t="s">
        <v>142</v>
      </c>
      <c r="M421" t="s">
        <v>113</v>
      </c>
      <c r="R421" t="s">
        <v>2704</v>
      </c>
      <c r="W421" t="s">
        <v>2701</v>
      </c>
      <c r="X421" t="s">
        <v>2705</v>
      </c>
      <c r="Y421" t="s">
        <v>116</v>
      </c>
      <c r="Z421" t="s">
        <v>117</v>
      </c>
      <c r="AA421" t="str">
        <f>"14215-1433"</f>
        <v>14215-1433</v>
      </c>
      <c r="AB421" t="s">
        <v>118</v>
      </c>
      <c r="AC421" t="s">
        <v>119</v>
      </c>
      <c r="AD421" t="s">
        <v>113</v>
      </c>
      <c r="AE421" t="s">
        <v>120</v>
      </c>
      <c r="AG421" t="s">
        <v>121</v>
      </c>
    </row>
    <row r="422" spans="1:33" x14ac:dyDescent="0.25">
      <c r="A422" t="str">
        <f>"1356349740"</f>
        <v>1356349740</v>
      </c>
      <c r="B422" t="str">
        <f>"03061112"</f>
        <v>03061112</v>
      </c>
      <c r="C422" t="s">
        <v>2706</v>
      </c>
      <c r="D422" t="s">
        <v>2707</v>
      </c>
      <c r="E422" t="s">
        <v>2708</v>
      </c>
      <c r="G422" t="s">
        <v>2709</v>
      </c>
      <c r="H422" t="s">
        <v>2252</v>
      </c>
      <c r="J422" t="s">
        <v>2710</v>
      </c>
      <c r="L422" t="s">
        <v>229</v>
      </c>
      <c r="M422" t="s">
        <v>113</v>
      </c>
      <c r="R422" t="s">
        <v>2711</v>
      </c>
      <c r="W422" t="s">
        <v>2712</v>
      </c>
      <c r="X422" t="s">
        <v>2713</v>
      </c>
      <c r="Y422" t="s">
        <v>318</v>
      </c>
      <c r="Z422" t="s">
        <v>117</v>
      </c>
      <c r="AA422" t="str">
        <f>"14227-1461"</f>
        <v>14227-1461</v>
      </c>
      <c r="AB422" t="s">
        <v>118</v>
      </c>
      <c r="AC422" t="s">
        <v>119</v>
      </c>
      <c r="AD422" t="s">
        <v>113</v>
      </c>
      <c r="AE422" t="s">
        <v>120</v>
      </c>
      <c r="AG422" t="s">
        <v>121</v>
      </c>
    </row>
    <row r="423" spans="1:33" x14ac:dyDescent="0.25">
      <c r="A423" t="str">
        <f>"1356388029"</f>
        <v>1356388029</v>
      </c>
      <c r="B423" t="str">
        <f>"02273274"</f>
        <v>02273274</v>
      </c>
      <c r="C423" t="s">
        <v>2714</v>
      </c>
      <c r="D423" t="s">
        <v>2715</v>
      </c>
      <c r="E423" t="s">
        <v>2716</v>
      </c>
      <c r="G423" t="s">
        <v>2717</v>
      </c>
      <c r="H423" t="s">
        <v>2718</v>
      </c>
      <c r="J423" t="s">
        <v>2719</v>
      </c>
      <c r="L423" t="s">
        <v>150</v>
      </c>
      <c r="M423" t="s">
        <v>113</v>
      </c>
      <c r="R423" t="s">
        <v>2720</v>
      </c>
      <c r="W423" t="s">
        <v>2716</v>
      </c>
      <c r="X423" t="s">
        <v>2721</v>
      </c>
      <c r="Y423" t="s">
        <v>326</v>
      </c>
      <c r="Z423" t="s">
        <v>117</v>
      </c>
      <c r="AA423" t="str">
        <f>"14127-1853"</f>
        <v>14127-1853</v>
      </c>
      <c r="AB423" t="s">
        <v>118</v>
      </c>
      <c r="AC423" t="s">
        <v>119</v>
      </c>
      <c r="AD423" t="s">
        <v>113</v>
      </c>
      <c r="AE423" t="s">
        <v>120</v>
      </c>
      <c r="AG423" t="s">
        <v>121</v>
      </c>
    </row>
    <row r="424" spans="1:33" x14ac:dyDescent="0.25">
      <c r="A424" t="str">
        <f>"1356390918"</f>
        <v>1356390918</v>
      </c>
      <c r="B424" t="str">
        <f>"02995357"</f>
        <v>02995357</v>
      </c>
      <c r="C424" t="s">
        <v>2722</v>
      </c>
      <c r="D424" t="s">
        <v>2723</v>
      </c>
      <c r="E424" t="s">
        <v>2724</v>
      </c>
      <c r="H424" t="s">
        <v>2725</v>
      </c>
      <c r="L424" t="s">
        <v>2726</v>
      </c>
      <c r="M424" t="s">
        <v>199</v>
      </c>
      <c r="R424" t="s">
        <v>2722</v>
      </c>
      <c r="W424" t="s">
        <v>2727</v>
      </c>
      <c r="X424" t="s">
        <v>2728</v>
      </c>
      <c r="Y424" t="s">
        <v>116</v>
      </c>
      <c r="Z424" t="s">
        <v>117</v>
      </c>
      <c r="AA424" t="str">
        <f>"14201-2398"</f>
        <v>14201-2398</v>
      </c>
      <c r="AB424" t="s">
        <v>1460</v>
      </c>
      <c r="AC424" t="s">
        <v>119</v>
      </c>
      <c r="AD424" t="s">
        <v>113</v>
      </c>
      <c r="AE424" t="s">
        <v>120</v>
      </c>
      <c r="AG424" t="s">
        <v>121</v>
      </c>
    </row>
    <row r="425" spans="1:33" x14ac:dyDescent="0.25">
      <c r="A425" t="str">
        <f>"1356413314"</f>
        <v>1356413314</v>
      </c>
      <c r="B425" t="str">
        <f>"01893627"</f>
        <v>01893627</v>
      </c>
      <c r="C425" t="s">
        <v>2729</v>
      </c>
      <c r="D425" t="s">
        <v>2730</v>
      </c>
      <c r="E425" t="s">
        <v>2731</v>
      </c>
      <c r="G425" t="s">
        <v>2729</v>
      </c>
      <c r="H425" t="s">
        <v>272</v>
      </c>
      <c r="J425" t="s">
        <v>2732</v>
      </c>
      <c r="L425" t="s">
        <v>142</v>
      </c>
      <c r="M425" t="s">
        <v>113</v>
      </c>
      <c r="R425" t="s">
        <v>2733</v>
      </c>
      <c r="W425" t="s">
        <v>2731</v>
      </c>
      <c r="X425" t="s">
        <v>2734</v>
      </c>
      <c r="Y425" t="s">
        <v>116</v>
      </c>
      <c r="Z425" t="s">
        <v>117</v>
      </c>
      <c r="AA425" t="str">
        <f>"14207-1816"</f>
        <v>14207-1816</v>
      </c>
      <c r="AB425" t="s">
        <v>118</v>
      </c>
      <c r="AC425" t="s">
        <v>119</v>
      </c>
      <c r="AD425" t="s">
        <v>113</v>
      </c>
      <c r="AE425" t="s">
        <v>120</v>
      </c>
      <c r="AG425" t="s">
        <v>121</v>
      </c>
    </row>
    <row r="426" spans="1:33" x14ac:dyDescent="0.25">
      <c r="A426" t="str">
        <f>"1356430417"</f>
        <v>1356430417</v>
      </c>
      <c r="B426" t="str">
        <f>"03689530"</f>
        <v>03689530</v>
      </c>
      <c r="C426" t="s">
        <v>2735</v>
      </c>
      <c r="D426" t="s">
        <v>2736</v>
      </c>
      <c r="E426" t="s">
        <v>2737</v>
      </c>
      <c r="G426" t="s">
        <v>2738</v>
      </c>
      <c r="H426" t="s">
        <v>2739</v>
      </c>
      <c r="L426" t="s">
        <v>142</v>
      </c>
      <c r="M426" t="s">
        <v>113</v>
      </c>
      <c r="R426" t="s">
        <v>2738</v>
      </c>
      <c r="W426" t="s">
        <v>2737</v>
      </c>
      <c r="X426" t="s">
        <v>2740</v>
      </c>
      <c r="Y426" t="s">
        <v>2741</v>
      </c>
      <c r="Z426" t="s">
        <v>117</v>
      </c>
      <c r="AA426" t="str">
        <f>"14062-9714"</f>
        <v>14062-9714</v>
      </c>
      <c r="AB426" t="s">
        <v>118</v>
      </c>
      <c r="AC426" t="s">
        <v>119</v>
      </c>
      <c r="AD426" t="s">
        <v>113</v>
      </c>
      <c r="AE426" t="s">
        <v>120</v>
      </c>
      <c r="AG426" t="s">
        <v>121</v>
      </c>
    </row>
    <row r="427" spans="1:33" x14ac:dyDescent="0.25">
      <c r="A427" t="str">
        <f>"1356440614"</f>
        <v>1356440614</v>
      </c>
      <c r="B427" t="str">
        <f>"02186592"</f>
        <v>02186592</v>
      </c>
      <c r="C427" t="s">
        <v>2742</v>
      </c>
      <c r="D427" t="s">
        <v>2743</v>
      </c>
      <c r="E427" t="s">
        <v>2744</v>
      </c>
      <c r="G427" t="s">
        <v>2742</v>
      </c>
      <c r="H427" t="s">
        <v>2745</v>
      </c>
      <c r="J427" t="s">
        <v>2746</v>
      </c>
      <c r="L427" t="s">
        <v>1033</v>
      </c>
      <c r="M427" t="s">
        <v>113</v>
      </c>
      <c r="R427" t="s">
        <v>2747</v>
      </c>
      <c r="W427" t="s">
        <v>2744</v>
      </c>
      <c r="X427" t="s">
        <v>1845</v>
      </c>
      <c r="Y427" t="s">
        <v>816</v>
      </c>
      <c r="Z427" t="s">
        <v>117</v>
      </c>
      <c r="AA427" t="str">
        <f>"14120-6150"</f>
        <v>14120-6150</v>
      </c>
      <c r="AB427" t="s">
        <v>2359</v>
      </c>
      <c r="AC427" t="s">
        <v>119</v>
      </c>
      <c r="AD427" t="s">
        <v>113</v>
      </c>
      <c r="AE427" t="s">
        <v>120</v>
      </c>
      <c r="AG427" t="s">
        <v>121</v>
      </c>
    </row>
    <row r="428" spans="1:33" x14ac:dyDescent="0.25">
      <c r="A428" t="str">
        <f>"1356485742"</f>
        <v>1356485742</v>
      </c>
      <c r="B428" t="str">
        <f>"03574247"</f>
        <v>03574247</v>
      </c>
      <c r="C428" t="s">
        <v>2748</v>
      </c>
      <c r="D428" t="s">
        <v>2749</v>
      </c>
      <c r="E428" t="s">
        <v>2750</v>
      </c>
      <c r="G428" t="s">
        <v>2748</v>
      </c>
      <c r="H428" t="s">
        <v>2751</v>
      </c>
      <c r="J428" t="s">
        <v>2752</v>
      </c>
      <c r="L428" t="s">
        <v>142</v>
      </c>
      <c r="M428" t="s">
        <v>113</v>
      </c>
      <c r="R428" t="s">
        <v>2750</v>
      </c>
      <c r="W428" t="s">
        <v>2750</v>
      </c>
      <c r="X428" t="s">
        <v>2519</v>
      </c>
      <c r="Y428" t="s">
        <v>958</v>
      </c>
      <c r="Z428" t="s">
        <v>117</v>
      </c>
      <c r="AA428" t="str">
        <f>"14226-1727"</f>
        <v>14226-1727</v>
      </c>
      <c r="AB428" t="s">
        <v>118</v>
      </c>
      <c r="AC428" t="s">
        <v>119</v>
      </c>
      <c r="AD428" t="s">
        <v>113</v>
      </c>
      <c r="AE428" t="s">
        <v>120</v>
      </c>
      <c r="AG428" t="s">
        <v>121</v>
      </c>
    </row>
    <row r="429" spans="1:33" x14ac:dyDescent="0.25">
      <c r="A429" t="str">
        <f>"1356509129"</f>
        <v>1356509129</v>
      </c>
      <c r="B429" t="str">
        <f>"03076120"</f>
        <v>03076120</v>
      </c>
      <c r="C429" t="s">
        <v>2753</v>
      </c>
      <c r="D429" t="s">
        <v>2754</v>
      </c>
      <c r="E429" t="s">
        <v>2755</v>
      </c>
      <c r="G429" t="s">
        <v>2756</v>
      </c>
      <c r="H429" t="s">
        <v>2757</v>
      </c>
      <c r="J429" t="s">
        <v>2758</v>
      </c>
      <c r="L429" t="s">
        <v>112</v>
      </c>
      <c r="M429" t="s">
        <v>113</v>
      </c>
      <c r="R429" t="s">
        <v>2759</v>
      </c>
      <c r="W429" t="s">
        <v>2760</v>
      </c>
      <c r="X429" t="s">
        <v>2761</v>
      </c>
      <c r="Y429" t="s">
        <v>2762</v>
      </c>
      <c r="Z429" t="s">
        <v>117</v>
      </c>
      <c r="AA429" t="str">
        <f>"14642-0001"</f>
        <v>14642-0001</v>
      </c>
      <c r="AB429" t="s">
        <v>118</v>
      </c>
      <c r="AC429" t="s">
        <v>119</v>
      </c>
      <c r="AD429" t="s">
        <v>113</v>
      </c>
      <c r="AE429" t="s">
        <v>120</v>
      </c>
      <c r="AG429" t="s">
        <v>121</v>
      </c>
    </row>
    <row r="430" spans="1:33" x14ac:dyDescent="0.25">
      <c r="A430" t="str">
        <f>"1356523062"</f>
        <v>1356523062</v>
      </c>
      <c r="B430" t="str">
        <f>"01198594"</f>
        <v>01198594</v>
      </c>
      <c r="C430" t="s">
        <v>2763</v>
      </c>
      <c r="D430" t="s">
        <v>2764</v>
      </c>
      <c r="E430" t="s">
        <v>2765</v>
      </c>
      <c r="G430" t="s">
        <v>2763</v>
      </c>
      <c r="H430" t="s">
        <v>2766</v>
      </c>
      <c r="J430" t="s">
        <v>2767</v>
      </c>
      <c r="L430" t="s">
        <v>142</v>
      </c>
      <c r="M430" t="s">
        <v>113</v>
      </c>
      <c r="R430" t="s">
        <v>2768</v>
      </c>
      <c r="W430" t="s">
        <v>2765</v>
      </c>
      <c r="X430" t="s">
        <v>966</v>
      </c>
      <c r="Y430" t="s">
        <v>116</v>
      </c>
      <c r="Z430" t="s">
        <v>117</v>
      </c>
      <c r="AA430" t="str">
        <f>"14207-1816"</f>
        <v>14207-1816</v>
      </c>
      <c r="AB430" t="s">
        <v>1755</v>
      </c>
      <c r="AC430" t="s">
        <v>119</v>
      </c>
      <c r="AD430" t="s">
        <v>113</v>
      </c>
      <c r="AE430" t="s">
        <v>120</v>
      </c>
      <c r="AG430" t="s">
        <v>121</v>
      </c>
    </row>
    <row r="431" spans="1:33" x14ac:dyDescent="0.25">
      <c r="A431" t="str">
        <f>"1083979025"</f>
        <v>1083979025</v>
      </c>
      <c r="B431" t="str">
        <f>"00475030"</f>
        <v>00475030</v>
      </c>
      <c r="C431" t="s">
        <v>17184</v>
      </c>
      <c r="D431" t="s">
        <v>17185</v>
      </c>
      <c r="E431" t="s">
        <v>17184</v>
      </c>
      <c r="G431" t="s">
        <v>17186</v>
      </c>
      <c r="H431" t="s">
        <v>17187</v>
      </c>
      <c r="I431">
        <v>13</v>
      </c>
      <c r="J431" t="s">
        <v>17188</v>
      </c>
      <c r="L431" t="s">
        <v>19</v>
      </c>
      <c r="M431" t="s">
        <v>199</v>
      </c>
      <c r="R431" t="s">
        <v>17184</v>
      </c>
      <c r="W431" t="s">
        <v>17189</v>
      </c>
      <c r="X431" t="s">
        <v>1509</v>
      </c>
      <c r="Y431" t="s">
        <v>153</v>
      </c>
      <c r="Z431" t="s">
        <v>117</v>
      </c>
      <c r="AA431" t="str">
        <f>"14301-1136"</f>
        <v>14301-1136</v>
      </c>
      <c r="AB431" t="s">
        <v>282</v>
      </c>
      <c r="AC431" t="s">
        <v>119</v>
      </c>
      <c r="AD431" t="s">
        <v>113</v>
      </c>
      <c r="AE431" t="s">
        <v>120</v>
      </c>
      <c r="AG431" t="s">
        <v>121</v>
      </c>
    </row>
    <row r="432" spans="1:33" x14ac:dyDescent="0.25">
      <c r="A432" t="str">
        <f>"1467730101"</f>
        <v>1467730101</v>
      </c>
      <c r="B432" t="str">
        <f>"03382212"</f>
        <v>03382212</v>
      </c>
      <c r="C432" t="s">
        <v>2776</v>
      </c>
      <c r="D432" t="s">
        <v>2777</v>
      </c>
      <c r="E432" t="s">
        <v>2778</v>
      </c>
      <c r="G432" t="s">
        <v>2779</v>
      </c>
      <c r="H432" t="s">
        <v>478</v>
      </c>
      <c r="J432" t="s">
        <v>2780</v>
      </c>
      <c r="L432" t="s">
        <v>142</v>
      </c>
      <c r="M432" t="s">
        <v>113</v>
      </c>
      <c r="R432" t="s">
        <v>2781</v>
      </c>
      <c r="W432" t="s">
        <v>2778</v>
      </c>
      <c r="X432" t="s">
        <v>1304</v>
      </c>
      <c r="Y432" t="s">
        <v>116</v>
      </c>
      <c r="Z432" t="s">
        <v>117</v>
      </c>
      <c r="AA432" t="str">
        <f>"14220-2039"</f>
        <v>14220-2039</v>
      </c>
      <c r="AB432" t="s">
        <v>118</v>
      </c>
      <c r="AC432" t="s">
        <v>119</v>
      </c>
      <c r="AD432" t="s">
        <v>113</v>
      </c>
      <c r="AE432" t="s">
        <v>120</v>
      </c>
      <c r="AG432" t="s">
        <v>121</v>
      </c>
    </row>
    <row r="433" spans="1:33" x14ac:dyDescent="0.25">
      <c r="A433" t="str">
        <f>"1467758250"</f>
        <v>1467758250</v>
      </c>
      <c r="C433" t="s">
        <v>2782</v>
      </c>
      <c r="G433" t="s">
        <v>2783</v>
      </c>
      <c r="J433" t="s">
        <v>438</v>
      </c>
      <c r="K433" t="s">
        <v>303</v>
      </c>
      <c r="L433" t="s">
        <v>229</v>
      </c>
      <c r="M433" t="s">
        <v>113</v>
      </c>
      <c r="R433" t="s">
        <v>2784</v>
      </c>
      <c r="S433" t="s">
        <v>2785</v>
      </c>
      <c r="T433" t="s">
        <v>2786</v>
      </c>
      <c r="U433" t="s">
        <v>117</v>
      </c>
      <c r="V433" t="str">
        <f>"140261044"</f>
        <v>140261044</v>
      </c>
      <c r="AC433" t="s">
        <v>119</v>
      </c>
      <c r="AD433" t="s">
        <v>113</v>
      </c>
      <c r="AE433" t="s">
        <v>306</v>
      </c>
      <c r="AG433" t="s">
        <v>121</v>
      </c>
    </row>
    <row r="434" spans="1:33" x14ac:dyDescent="0.25">
      <c r="A434" t="str">
        <f>"1467770636"</f>
        <v>1467770636</v>
      </c>
      <c r="B434" t="str">
        <f>"03236808"</f>
        <v>03236808</v>
      </c>
      <c r="C434" t="s">
        <v>2787</v>
      </c>
      <c r="D434" t="s">
        <v>2788</v>
      </c>
      <c r="E434" t="s">
        <v>2789</v>
      </c>
      <c r="G434" t="s">
        <v>2789</v>
      </c>
      <c r="L434" t="s">
        <v>112</v>
      </c>
      <c r="M434" t="s">
        <v>113</v>
      </c>
      <c r="R434" t="s">
        <v>2789</v>
      </c>
      <c r="W434" t="s">
        <v>2789</v>
      </c>
      <c r="X434" t="s">
        <v>152</v>
      </c>
      <c r="Y434" t="s">
        <v>153</v>
      </c>
      <c r="Z434" t="s">
        <v>117</v>
      </c>
      <c r="AA434" t="str">
        <f>"14301-1813"</f>
        <v>14301-1813</v>
      </c>
      <c r="AB434" t="s">
        <v>118</v>
      </c>
      <c r="AC434" t="s">
        <v>119</v>
      </c>
      <c r="AD434" t="s">
        <v>113</v>
      </c>
      <c r="AE434" t="s">
        <v>120</v>
      </c>
      <c r="AG434" t="s">
        <v>121</v>
      </c>
    </row>
    <row r="435" spans="1:33" x14ac:dyDescent="0.25">
      <c r="A435" t="str">
        <f>"1467799148"</f>
        <v>1467799148</v>
      </c>
      <c r="B435" t="str">
        <f>"03809414"</f>
        <v>03809414</v>
      </c>
      <c r="C435" t="s">
        <v>2790</v>
      </c>
      <c r="D435" t="s">
        <v>2791</v>
      </c>
      <c r="E435" t="s">
        <v>2792</v>
      </c>
      <c r="G435" t="s">
        <v>2790</v>
      </c>
      <c r="H435" t="s">
        <v>2793</v>
      </c>
      <c r="J435" t="s">
        <v>2794</v>
      </c>
      <c r="L435" t="s">
        <v>112</v>
      </c>
      <c r="M435" t="s">
        <v>113</v>
      </c>
      <c r="R435" t="s">
        <v>2792</v>
      </c>
      <c r="W435" t="s">
        <v>2795</v>
      </c>
      <c r="X435" t="s">
        <v>253</v>
      </c>
      <c r="Y435" t="s">
        <v>116</v>
      </c>
      <c r="Z435" t="s">
        <v>117</v>
      </c>
      <c r="AA435" t="str">
        <f>"14215-3021"</f>
        <v>14215-3021</v>
      </c>
      <c r="AB435" t="s">
        <v>118</v>
      </c>
      <c r="AC435" t="s">
        <v>119</v>
      </c>
      <c r="AD435" t="s">
        <v>113</v>
      </c>
      <c r="AE435" t="s">
        <v>120</v>
      </c>
      <c r="AG435" t="s">
        <v>121</v>
      </c>
    </row>
    <row r="436" spans="1:33" x14ac:dyDescent="0.25">
      <c r="A436" t="str">
        <f>"1467868026"</f>
        <v>1467868026</v>
      </c>
      <c r="C436" t="s">
        <v>2796</v>
      </c>
      <c r="G436" t="s">
        <v>2797</v>
      </c>
      <c r="H436" t="s">
        <v>2798</v>
      </c>
      <c r="J436" t="s">
        <v>438</v>
      </c>
      <c r="K436" t="s">
        <v>303</v>
      </c>
      <c r="L436" t="s">
        <v>229</v>
      </c>
      <c r="M436" t="s">
        <v>113</v>
      </c>
      <c r="R436" t="s">
        <v>2799</v>
      </c>
      <c r="S436" t="s">
        <v>2800</v>
      </c>
      <c r="T436" t="s">
        <v>318</v>
      </c>
      <c r="U436" t="s">
        <v>117</v>
      </c>
      <c r="V436" t="str">
        <f>"142254985"</f>
        <v>142254985</v>
      </c>
      <c r="AC436" t="s">
        <v>119</v>
      </c>
      <c r="AD436" t="s">
        <v>113</v>
      </c>
      <c r="AE436" t="s">
        <v>306</v>
      </c>
      <c r="AG436" t="s">
        <v>121</v>
      </c>
    </row>
    <row r="437" spans="1:33" x14ac:dyDescent="0.25">
      <c r="A437" t="str">
        <f>"1477500304"</f>
        <v>1477500304</v>
      </c>
      <c r="B437" t="str">
        <f>"00600702"</f>
        <v>00600702</v>
      </c>
      <c r="C437" t="s">
        <v>2801</v>
      </c>
      <c r="D437" t="s">
        <v>2802</v>
      </c>
      <c r="E437" t="s">
        <v>2803</v>
      </c>
      <c r="G437" t="s">
        <v>2804</v>
      </c>
      <c r="H437" t="s">
        <v>2805</v>
      </c>
      <c r="L437" t="s">
        <v>150</v>
      </c>
      <c r="M437" t="s">
        <v>113</v>
      </c>
      <c r="R437" t="s">
        <v>2806</v>
      </c>
      <c r="W437" t="s">
        <v>2807</v>
      </c>
      <c r="X437" t="s">
        <v>2014</v>
      </c>
      <c r="Y437" t="s">
        <v>2015</v>
      </c>
      <c r="Z437" t="s">
        <v>117</v>
      </c>
      <c r="AA437" t="str">
        <f>"14723"</f>
        <v>14723</v>
      </c>
      <c r="AB437" t="s">
        <v>118</v>
      </c>
      <c r="AC437" t="s">
        <v>119</v>
      </c>
      <c r="AD437" t="s">
        <v>113</v>
      </c>
      <c r="AE437" t="s">
        <v>120</v>
      </c>
      <c r="AG437" t="s">
        <v>121</v>
      </c>
    </row>
    <row r="438" spans="1:33" x14ac:dyDescent="0.25">
      <c r="A438" t="str">
        <f>"1477506251"</f>
        <v>1477506251</v>
      </c>
      <c r="B438" t="str">
        <f>"02317866"</f>
        <v>02317866</v>
      </c>
      <c r="C438" t="s">
        <v>2808</v>
      </c>
      <c r="D438" t="s">
        <v>2809</v>
      </c>
      <c r="E438" t="s">
        <v>2810</v>
      </c>
      <c r="G438" t="s">
        <v>2811</v>
      </c>
      <c r="H438" t="s">
        <v>2812</v>
      </c>
      <c r="J438" t="s">
        <v>2813</v>
      </c>
      <c r="L438" t="s">
        <v>142</v>
      </c>
      <c r="M438" t="s">
        <v>113</v>
      </c>
      <c r="R438" t="s">
        <v>2814</v>
      </c>
      <c r="W438" t="s">
        <v>2810</v>
      </c>
      <c r="X438" t="s">
        <v>2815</v>
      </c>
      <c r="Y438" t="s">
        <v>240</v>
      </c>
      <c r="Z438" t="s">
        <v>117</v>
      </c>
      <c r="AA438" t="str">
        <f>"14221-6800"</f>
        <v>14221-6800</v>
      </c>
      <c r="AB438" t="s">
        <v>118</v>
      </c>
      <c r="AC438" t="s">
        <v>119</v>
      </c>
      <c r="AD438" t="s">
        <v>113</v>
      </c>
      <c r="AE438" t="s">
        <v>120</v>
      </c>
      <c r="AG438" t="s">
        <v>121</v>
      </c>
    </row>
    <row r="439" spans="1:33" x14ac:dyDescent="0.25">
      <c r="A439" t="str">
        <f>"1477519023"</f>
        <v>1477519023</v>
      </c>
      <c r="B439" t="str">
        <f>"01966370"</f>
        <v>01966370</v>
      </c>
      <c r="C439" t="s">
        <v>2816</v>
      </c>
      <c r="D439" t="s">
        <v>2817</v>
      </c>
      <c r="E439" t="s">
        <v>2818</v>
      </c>
      <c r="G439" t="s">
        <v>2819</v>
      </c>
      <c r="H439" t="s">
        <v>213</v>
      </c>
      <c r="J439" t="s">
        <v>2820</v>
      </c>
      <c r="L439" t="s">
        <v>150</v>
      </c>
      <c r="M439" t="s">
        <v>113</v>
      </c>
      <c r="R439" t="s">
        <v>2818</v>
      </c>
      <c r="W439" t="s">
        <v>2818</v>
      </c>
      <c r="X439" t="s">
        <v>216</v>
      </c>
      <c r="Y439" t="s">
        <v>116</v>
      </c>
      <c r="Z439" t="s">
        <v>117</v>
      </c>
      <c r="AA439" t="str">
        <f>"14222-2006"</f>
        <v>14222-2006</v>
      </c>
      <c r="AB439" t="s">
        <v>118</v>
      </c>
      <c r="AC439" t="s">
        <v>119</v>
      </c>
      <c r="AD439" t="s">
        <v>113</v>
      </c>
      <c r="AE439" t="s">
        <v>120</v>
      </c>
      <c r="AG439" t="s">
        <v>121</v>
      </c>
    </row>
    <row r="440" spans="1:33" x14ac:dyDescent="0.25">
      <c r="A440" t="str">
        <f>"1477520203"</f>
        <v>1477520203</v>
      </c>
      <c r="B440" t="str">
        <f>"01193957"</f>
        <v>01193957</v>
      </c>
      <c r="C440" t="s">
        <v>2821</v>
      </c>
      <c r="D440" t="s">
        <v>2822</v>
      </c>
      <c r="E440" t="s">
        <v>2823</v>
      </c>
      <c r="G440" t="s">
        <v>2821</v>
      </c>
      <c r="H440" t="s">
        <v>2824</v>
      </c>
      <c r="J440" t="s">
        <v>2825</v>
      </c>
      <c r="L440" t="s">
        <v>150</v>
      </c>
      <c r="M440" t="s">
        <v>113</v>
      </c>
      <c r="R440" t="s">
        <v>2826</v>
      </c>
      <c r="W440" t="s">
        <v>2823</v>
      </c>
      <c r="X440" t="s">
        <v>2827</v>
      </c>
      <c r="Y440" t="s">
        <v>240</v>
      </c>
      <c r="Z440" t="s">
        <v>117</v>
      </c>
      <c r="AA440" t="str">
        <f>"14221-2780"</f>
        <v>14221-2780</v>
      </c>
      <c r="AB440" t="s">
        <v>118</v>
      </c>
      <c r="AC440" t="s">
        <v>119</v>
      </c>
      <c r="AD440" t="s">
        <v>113</v>
      </c>
      <c r="AE440" t="s">
        <v>120</v>
      </c>
      <c r="AG440" t="s">
        <v>121</v>
      </c>
    </row>
    <row r="441" spans="1:33" x14ac:dyDescent="0.25">
      <c r="A441" t="str">
        <f>"1417985722"</f>
        <v>1417985722</v>
      </c>
      <c r="B441" t="str">
        <f>"02756430"</f>
        <v>02756430</v>
      </c>
      <c r="C441" t="s">
        <v>2828</v>
      </c>
      <c r="D441" t="s">
        <v>2829</v>
      </c>
      <c r="E441" t="s">
        <v>2830</v>
      </c>
      <c r="G441" t="s">
        <v>2831</v>
      </c>
      <c r="H441" t="s">
        <v>213</v>
      </c>
      <c r="J441" t="s">
        <v>2832</v>
      </c>
      <c r="L441" t="s">
        <v>728</v>
      </c>
      <c r="M441" t="s">
        <v>113</v>
      </c>
      <c r="R441" t="s">
        <v>2833</v>
      </c>
      <c r="W441" t="s">
        <v>2830</v>
      </c>
      <c r="X441" t="s">
        <v>216</v>
      </c>
      <c r="Y441" t="s">
        <v>116</v>
      </c>
      <c r="Z441" t="s">
        <v>117</v>
      </c>
      <c r="AA441" t="str">
        <f>"14222-2006"</f>
        <v>14222-2006</v>
      </c>
      <c r="AB441" t="s">
        <v>118</v>
      </c>
      <c r="AC441" t="s">
        <v>119</v>
      </c>
      <c r="AD441" t="s">
        <v>113</v>
      </c>
      <c r="AE441" t="s">
        <v>120</v>
      </c>
      <c r="AG441" t="s">
        <v>121</v>
      </c>
    </row>
    <row r="442" spans="1:33" x14ac:dyDescent="0.25">
      <c r="A442" t="str">
        <f>"1417993601"</f>
        <v>1417993601</v>
      </c>
      <c r="B442" t="str">
        <f>"03431569"</f>
        <v>03431569</v>
      </c>
      <c r="C442" t="s">
        <v>2834</v>
      </c>
      <c r="D442" t="s">
        <v>2835</v>
      </c>
      <c r="E442" t="s">
        <v>2836</v>
      </c>
      <c r="G442" t="s">
        <v>2834</v>
      </c>
      <c r="H442" t="s">
        <v>1964</v>
      </c>
      <c r="J442" t="s">
        <v>2837</v>
      </c>
      <c r="L442" t="s">
        <v>142</v>
      </c>
      <c r="M442" t="s">
        <v>113</v>
      </c>
      <c r="R442" t="s">
        <v>2836</v>
      </c>
      <c r="W442" t="s">
        <v>2836</v>
      </c>
      <c r="X442" t="s">
        <v>176</v>
      </c>
      <c r="Y442" t="s">
        <v>116</v>
      </c>
      <c r="Z442" t="s">
        <v>117</v>
      </c>
      <c r="AA442" t="str">
        <f>"14203-1126"</f>
        <v>14203-1126</v>
      </c>
      <c r="AB442" t="s">
        <v>118</v>
      </c>
      <c r="AC442" t="s">
        <v>119</v>
      </c>
      <c r="AD442" t="s">
        <v>113</v>
      </c>
      <c r="AE442" t="s">
        <v>120</v>
      </c>
      <c r="AG442" t="s">
        <v>121</v>
      </c>
    </row>
    <row r="443" spans="1:33" x14ac:dyDescent="0.25">
      <c r="A443" t="str">
        <f>"1417993643"</f>
        <v>1417993643</v>
      </c>
      <c r="B443" t="str">
        <f>"03777617"</f>
        <v>03777617</v>
      </c>
      <c r="C443" t="s">
        <v>2838</v>
      </c>
      <c r="D443" t="s">
        <v>2839</v>
      </c>
      <c r="E443" t="s">
        <v>2840</v>
      </c>
      <c r="G443" t="s">
        <v>2838</v>
      </c>
      <c r="H443" t="s">
        <v>2841</v>
      </c>
      <c r="J443" t="s">
        <v>2842</v>
      </c>
      <c r="L443" t="s">
        <v>142</v>
      </c>
      <c r="M443" t="s">
        <v>113</v>
      </c>
      <c r="R443" t="s">
        <v>2843</v>
      </c>
      <c r="W443" t="s">
        <v>2840</v>
      </c>
      <c r="X443" t="s">
        <v>216</v>
      </c>
      <c r="Y443" t="s">
        <v>116</v>
      </c>
      <c r="Z443" t="s">
        <v>117</v>
      </c>
      <c r="AA443" t="str">
        <f>"14222-2006"</f>
        <v>14222-2006</v>
      </c>
      <c r="AB443" t="s">
        <v>118</v>
      </c>
      <c r="AC443" t="s">
        <v>119</v>
      </c>
      <c r="AD443" t="s">
        <v>113</v>
      </c>
      <c r="AE443" t="s">
        <v>120</v>
      </c>
      <c r="AG443" t="s">
        <v>121</v>
      </c>
    </row>
    <row r="444" spans="1:33" x14ac:dyDescent="0.25">
      <c r="A444" t="str">
        <f>"1457318354"</f>
        <v>1457318354</v>
      </c>
      <c r="B444" t="str">
        <f>"01413818"</f>
        <v>01413818</v>
      </c>
      <c r="C444" t="s">
        <v>2844</v>
      </c>
      <c r="D444" t="s">
        <v>2845</v>
      </c>
      <c r="E444" t="s">
        <v>2846</v>
      </c>
      <c r="G444" t="s">
        <v>2847</v>
      </c>
      <c r="H444" t="s">
        <v>2848</v>
      </c>
      <c r="J444" t="s">
        <v>2849</v>
      </c>
      <c r="L444" t="s">
        <v>150</v>
      </c>
      <c r="M444" t="s">
        <v>113</v>
      </c>
      <c r="R444" t="s">
        <v>2850</v>
      </c>
      <c r="W444" t="s">
        <v>2846</v>
      </c>
      <c r="X444" t="s">
        <v>2851</v>
      </c>
      <c r="Y444" t="s">
        <v>240</v>
      </c>
      <c r="Z444" t="s">
        <v>117</v>
      </c>
      <c r="AA444" t="str">
        <f>"14221-8053"</f>
        <v>14221-8053</v>
      </c>
      <c r="AB444" t="s">
        <v>118</v>
      </c>
      <c r="AC444" t="s">
        <v>119</v>
      </c>
      <c r="AD444" t="s">
        <v>113</v>
      </c>
      <c r="AE444" t="s">
        <v>120</v>
      </c>
      <c r="AG444" t="s">
        <v>121</v>
      </c>
    </row>
    <row r="445" spans="1:33" x14ac:dyDescent="0.25">
      <c r="A445" t="str">
        <f>"1457319287"</f>
        <v>1457319287</v>
      </c>
      <c r="B445" t="str">
        <f>"01416715"</f>
        <v>01416715</v>
      </c>
      <c r="C445" t="s">
        <v>2852</v>
      </c>
      <c r="D445" t="s">
        <v>2853</v>
      </c>
      <c r="E445" t="s">
        <v>2854</v>
      </c>
      <c r="G445" t="s">
        <v>2855</v>
      </c>
      <c r="H445" t="s">
        <v>213</v>
      </c>
      <c r="J445" t="s">
        <v>2856</v>
      </c>
      <c r="L445" t="s">
        <v>150</v>
      </c>
      <c r="M445" t="s">
        <v>113</v>
      </c>
      <c r="R445" t="s">
        <v>2857</v>
      </c>
      <c r="W445" t="s">
        <v>2854</v>
      </c>
      <c r="X445" t="s">
        <v>216</v>
      </c>
      <c r="Y445" t="s">
        <v>116</v>
      </c>
      <c r="Z445" t="s">
        <v>117</v>
      </c>
      <c r="AA445" t="str">
        <f>"14222-2006"</f>
        <v>14222-2006</v>
      </c>
      <c r="AB445" t="s">
        <v>118</v>
      </c>
      <c r="AC445" t="s">
        <v>119</v>
      </c>
      <c r="AD445" t="s">
        <v>113</v>
      </c>
      <c r="AE445" t="s">
        <v>120</v>
      </c>
      <c r="AG445" t="s">
        <v>121</v>
      </c>
    </row>
    <row r="446" spans="1:33" x14ac:dyDescent="0.25">
      <c r="A446" t="str">
        <f>"1457319899"</f>
        <v>1457319899</v>
      </c>
      <c r="B446" t="str">
        <f>"02165268"</f>
        <v>02165268</v>
      </c>
      <c r="C446" t="s">
        <v>2858</v>
      </c>
      <c r="D446" t="s">
        <v>2859</v>
      </c>
      <c r="E446" t="s">
        <v>2860</v>
      </c>
      <c r="G446" t="s">
        <v>2858</v>
      </c>
      <c r="H446" t="s">
        <v>2861</v>
      </c>
      <c r="J446" t="s">
        <v>2862</v>
      </c>
      <c r="L446" t="s">
        <v>112</v>
      </c>
      <c r="M446" t="s">
        <v>113</v>
      </c>
      <c r="R446" t="s">
        <v>2863</v>
      </c>
      <c r="W446" t="s">
        <v>2860</v>
      </c>
      <c r="X446" t="s">
        <v>2864</v>
      </c>
      <c r="Y446" t="s">
        <v>240</v>
      </c>
      <c r="Z446" t="s">
        <v>117</v>
      </c>
      <c r="AA446" t="str">
        <f>"14221-3698"</f>
        <v>14221-3698</v>
      </c>
      <c r="AB446" t="s">
        <v>118</v>
      </c>
      <c r="AC446" t="s">
        <v>119</v>
      </c>
      <c r="AD446" t="s">
        <v>113</v>
      </c>
      <c r="AE446" t="s">
        <v>120</v>
      </c>
      <c r="AG446" t="s">
        <v>121</v>
      </c>
    </row>
    <row r="447" spans="1:33" x14ac:dyDescent="0.25">
      <c r="A447" t="str">
        <f>"1457322034"</f>
        <v>1457322034</v>
      </c>
      <c r="B447" t="str">
        <f>"02733388"</f>
        <v>02733388</v>
      </c>
      <c r="C447" t="s">
        <v>2865</v>
      </c>
      <c r="D447" t="s">
        <v>2866</v>
      </c>
      <c r="E447" t="s">
        <v>2867</v>
      </c>
      <c r="G447" t="s">
        <v>2868</v>
      </c>
      <c r="H447" t="s">
        <v>366</v>
      </c>
      <c r="J447" t="s">
        <v>2869</v>
      </c>
      <c r="L447" t="s">
        <v>112</v>
      </c>
      <c r="M447" t="s">
        <v>113</v>
      </c>
      <c r="R447" t="s">
        <v>2870</v>
      </c>
      <c r="W447" t="s">
        <v>2867</v>
      </c>
      <c r="X447" t="s">
        <v>2871</v>
      </c>
      <c r="Y447" t="s">
        <v>2872</v>
      </c>
      <c r="Z447" t="s">
        <v>117</v>
      </c>
      <c r="AA447" t="str">
        <f>"14905-1634"</f>
        <v>14905-1634</v>
      </c>
      <c r="AB447" t="s">
        <v>528</v>
      </c>
      <c r="AC447" t="s">
        <v>119</v>
      </c>
      <c r="AD447" t="s">
        <v>113</v>
      </c>
      <c r="AE447" t="s">
        <v>120</v>
      </c>
      <c r="AG447" t="s">
        <v>121</v>
      </c>
    </row>
    <row r="448" spans="1:33" x14ac:dyDescent="0.25">
      <c r="A448" t="str">
        <f>"1457324014"</f>
        <v>1457324014</v>
      </c>
      <c r="B448" t="str">
        <f>"00586883"</f>
        <v>00586883</v>
      </c>
      <c r="C448" t="s">
        <v>2873</v>
      </c>
      <c r="D448" t="s">
        <v>2874</v>
      </c>
      <c r="E448" t="s">
        <v>2875</v>
      </c>
      <c r="G448" t="s">
        <v>2873</v>
      </c>
      <c r="H448" t="s">
        <v>2876</v>
      </c>
      <c r="J448" t="s">
        <v>2877</v>
      </c>
      <c r="L448" t="s">
        <v>150</v>
      </c>
      <c r="M448" t="s">
        <v>113</v>
      </c>
      <c r="R448" t="s">
        <v>2878</v>
      </c>
      <c r="W448" t="s">
        <v>2879</v>
      </c>
      <c r="Y448" t="s">
        <v>512</v>
      </c>
      <c r="Z448" t="s">
        <v>117</v>
      </c>
      <c r="AA448" t="str">
        <f>"14092-1997"</f>
        <v>14092-1997</v>
      </c>
      <c r="AB448" t="s">
        <v>118</v>
      </c>
      <c r="AC448" t="s">
        <v>119</v>
      </c>
      <c r="AD448" t="s">
        <v>113</v>
      </c>
      <c r="AE448" t="s">
        <v>120</v>
      </c>
      <c r="AG448" t="s">
        <v>121</v>
      </c>
    </row>
    <row r="449" spans="1:33" x14ac:dyDescent="0.25">
      <c r="A449" t="str">
        <f>"1598737140"</f>
        <v>1598737140</v>
      </c>
      <c r="B449" t="str">
        <f>"02700214"</f>
        <v>02700214</v>
      </c>
      <c r="C449" t="s">
        <v>2880</v>
      </c>
      <c r="D449" t="s">
        <v>2881</v>
      </c>
      <c r="E449" t="s">
        <v>2882</v>
      </c>
      <c r="G449" t="s">
        <v>2883</v>
      </c>
      <c r="H449" t="s">
        <v>1196</v>
      </c>
      <c r="J449" t="s">
        <v>2884</v>
      </c>
      <c r="L449" t="s">
        <v>142</v>
      </c>
      <c r="M449" t="s">
        <v>113</v>
      </c>
      <c r="R449" t="s">
        <v>2885</v>
      </c>
      <c r="W449" t="s">
        <v>2882</v>
      </c>
      <c r="X449" t="s">
        <v>2886</v>
      </c>
      <c r="Y449" t="s">
        <v>129</v>
      </c>
      <c r="Z449" t="s">
        <v>117</v>
      </c>
      <c r="AA449" t="str">
        <f>"14224-2654"</f>
        <v>14224-2654</v>
      </c>
      <c r="AB449" t="s">
        <v>118</v>
      </c>
      <c r="AC449" t="s">
        <v>119</v>
      </c>
      <c r="AD449" t="s">
        <v>113</v>
      </c>
      <c r="AE449" t="s">
        <v>120</v>
      </c>
      <c r="AG449" t="s">
        <v>121</v>
      </c>
    </row>
    <row r="450" spans="1:33" x14ac:dyDescent="0.25">
      <c r="A450" t="str">
        <f>"1598748774"</f>
        <v>1598748774</v>
      </c>
      <c r="B450" t="str">
        <f>"02663789"</f>
        <v>02663789</v>
      </c>
      <c r="C450" t="s">
        <v>2887</v>
      </c>
      <c r="D450" t="s">
        <v>2888</v>
      </c>
      <c r="E450" t="s">
        <v>2889</v>
      </c>
      <c r="G450" t="s">
        <v>2887</v>
      </c>
      <c r="H450" t="s">
        <v>1013</v>
      </c>
      <c r="J450" t="s">
        <v>2890</v>
      </c>
      <c r="L450" t="s">
        <v>112</v>
      </c>
      <c r="M450" t="s">
        <v>113</v>
      </c>
      <c r="R450" t="s">
        <v>2891</v>
      </c>
      <c r="W450" t="s">
        <v>2889</v>
      </c>
      <c r="X450" t="s">
        <v>2892</v>
      </c>
      <c r="Y450" t="s">
        <v>240</v>
      </c>
      <c r="Z450" t="s">
        <v>117</v>
      </c>
      <c r="AA450" t="str">
        <f>"14221-5838"</f>
        <v>14221-5838</v>
      </c>
      <c r="AB450" t="s">
        <v>118</v>
      </c>
      <c r="AC450" t="s">
        <v>119</v>
      </c>
      <c r="AD450" t="s">
        <v>113</v>
      </c>
      <c r="AE450" t="s">
        <v>120</v>
      </c>
      <c r="AG450" t="s">
        <v>121</v>
      </c>
    </row>
    <row r="451" spans="1:33" x14ac:dyDescent="0.25">
      <c r="A451" t="str">
        <f>"1598751455"</f>
        <v>1598751455</v>
      </c>
      <c r="B451" t="str">
        <f>"03924774"</f>
        <v>03924774</v>
      </c>
      <c r="C451" t="s">
        <v>2893</v>
      </c>
      <c r="D451" t="s">
        <v>2894</v>
      </c>
      <c r="E451" t="s">
        <v>2895</v>
      </c>
      <c r="G451" t="s">
        <v>2896</v>
      </c>
      <c r="H451" t="s">
        <v>2897</v>
      </c>
      <c r="J451" t="s">
        <v>2898</v>
      </c>
      <c r="L451" t="s">
        <v>229</v>
      </c>
      <c r="M451" t="s">
        <v>113</v>
      </c>
      <c r="R451" t="s">
        <v>2899</v>
      </c>
      <c r="W451" t="s">
        <v>2900</v>
      </c>
      <c r="X451" t="s">
        <v>216</v>
      </c>
      <c r="Y451" t="s">
        <v>116</v>
      </c>
      <c r="Z451" t="s">
        <v>117</v>
      </c>
      <c r="AA451" t="str">
        <f>"14222-2006"</f>
        <v>14222-2006</v>
      </c>
      <c r="AB451" t="s">
        <v>118</v>
      </c>
      <c r="AC451" t="s">
        <v>119</v>
      </c>
      <c r="AD451" t="s">
        <v>113</v>
      </c>
      <c r="AE451" t="s">
        <v>120</v>
      </c>
      <c r="AG451" t="s">
        <v>121</v>
      </c>
    </row>
    <row r="452" spans="1:33" x14ac:dyDescent="0.25">
      <c r="A452" t="str">
        <f>"1598761561"</f>
        <v>1598761561</v>
      </c>
      <c r="B452" t="str">
        <f>"01110943"</f>
        <v>01110943</v>
      </c>
      <c r="C452" t="s">
        <v>2901</v>
      </c>
      <c r="D452" t="s">
        <v>2902</v>
      </c>
      <c r="E452" t="s">
        <v>2903</v>
      </c>
      <c r="G452" t="s">
        <v>2904</v>
      </c>
      <c r="H452" t="s">
        <v>707</v>
      </c>
      <c r="J452" t="s">
        <v>2905</v>
      </c>
      <c r="L452" t="s">
        <v>142</v>
      </c>
      <c r="M452" t="s">
        <v>113</v>
      </c>
      <c r="R452" t="s">
        <v>2906</v>
      </c>
      <c r="W452" t="s">
        <v>2903</v>
      </c>
      <c r="X452" t="s">
        <v>2907</v>
      </c>
      <c r="Y452" t="s">
        <v>2908</v>
      </c>
      <c r="Z452" t="s">
        <v>117</v>
      </c>
      <c r="AA452" t="str">
        <f>"11570-1000"</f>
        <v>11570-1000</v>
      </c>
      <c r="AB452" t="s">
        <v>118</v>
      </c>
      <c r="AC452" t="s">
        <v>119</v>
      </c>
      <c r="AD452" t="s">
        <v>113</v>
      </c>
      <c r="AE452" t="s">
        <v>120</v>
      </c>
      <c r="AG452" t="s">
        <v>121</v>
      </c>
    </row>
    <row r="453" spans="1:33" x14ac:dyDescent="0.25">
      <c r="A453" t="str">
        <f>"1598762320"</f>
        <v>1598762320</v>
      </c>
      <c r="B453" t="str">
        <f>"02422604"</f>
        <v>02422604</v>
      </c>
      <c r="C453" t="s">
        <v>2909</v>
      </c>
      <c r="D453" t="s">
        <v>2910</v>
      </c>
      <c r="E453" t="s">
        <v>2911</v>
      </c>
      <c r="G453" t="s">
        <v>2909</v>
      </c>
      <c r="H453" t="s">
        <v>236</v>
      </c>
      <c r="J453" t="s">
        <v>2912</v>
      </c>
      <c r="L453" t="s">
        <v>142</v>
      </c>
      <c r="M453" t="s">
        <v>113</v>
      </c>
      <c r="R453" t="s">
        <v>2913</v>
      </c>
      <c r="W453" t="s">
        <v>2911</v>
      </c>
      <c r="X453" t="s">
        <v>2911</v>
      </c>
      <c r="Y453" t="s">
        <v>116</v>
      </c>
      <c r="Z453" t="s">
        <v>117</v>
      </c>
      <c r="AA453" t="str">
        <f>"14215-1436"</f>
        <v>14215-1436</v>
      </c>
      <c r="AB453" t="s">
        <v>118</v>
      </c>
      <c r="AC453" t="s">
        <v>119</v>
      </c>
      <c r="AD453" t="s">
        <v>113</v>
      </c>
      <c r="AE453" t="s">
        <v>120</v>
      </c>
      <c r="AG453" t="s">
        <v>121</v>
      </c>
    </row>
    <row r="454" spans="1:33" x14ac:dyDescent="0.25">
      <c r="A454" t="str">
        <f>"1598764433"</f>
        <v>1598764433</v>
      </c>
      <c r="B454" t="str">
        <f>"02273114"</f>
        <v>02273114</v>
      </c>
      <c r="C454" t="s">
        <v>2914</v>
      </c>
      <c r="D454" t="s">
        <v>2915</v>
      </c>
      <c r="E454" t="s">
        <v>2916</v>
      </c>
      <c r="G454" t="s">
        <v>2914</v>
      </c>
      <c r="H454" t="s">
        <v>2917</v>
      </c>
      <c r="J454" t="s">
        <v>2918</v>
      </c>
      <c r="L454" t="s">
        <v>112</v>
      </c>
      <c r="M454" t="s">
        <v>113</v>
      </c>
      <c r="R454" t="s">
        <v>2916</v>
      </c>
      <c r="W454" t="s">
        <v>2916</v>
      </c>
      <c r="X454" t="s">
        <v>2916</v>
      </c>
      <c r="Y454" t="s">
        <v>240</v>
      </c>
      <c r="Z454" t="s">
        <v>117</v>
      </c>
      <c r="AA454" t="str">
        <f>"14221-3573"</f>
        <v>14221-3573</v>
      </c>
      <c r="AB454" t="s">
        <v>118</v>
      </c>
      <c r="AC454" t="s">
        <v>119</v>
      </c>
      <c r="AD454" t="s">
        <v>113</v>
      </c>
      <c r="AE454" t="s">
        <v>120</v>
      </c>
      <c r="AG454" t="s">
        <v>121</v>
      </c>
    </row>
    <row r="455" spans="1:33" x14ac:dyDescent="0.25">
      <c r="A455" t="str">
        <f>"1730232026"</f>
        <v>1730232026</v>
      </c>
      <c r="B455" t="str">
        <f>"03772401"</f>
        <v>03772401</v>
      </c>
      <c r="C455" t="s">
        <v>2919</v>
      </c>
      <c r="D455" t="s">
        <v>2920</v>
      </c>
      <c r="E455" t="s">
        <v>2921</v>
      </c>
      <c r="G455" t="s">
        <v>2922</v>
      </c>
      <c r="H455" t="s">
        <v>1071</v>
      </c>
      <c r="J455" t="s">
        <v>2923</v>
      </c>
      <c r="L455" t="s">
        <v>112</v>
      </c>
      <c r="M455" t="s">
        <v>113</v>
      </c>
      <c r="R455" t="s">
        <v>2924</v>
      </c>
      <c r="W455" t="s">
        <v>2921</v>
      </c>
      <c r="X455" t="s">
        <v>474</v>
      </c>
      <c r="Y455" t="s">
        <v>116</v>
      </c>
      <c r="Z455" t="s">
        <v>117</v>
      </c>
      <c r="AA455" t="str">
        <f>"14214-1316"</f>
        <v>14214-1316</v>
      </c>
      <c r="AB455" t="s">
        <v>621</v>
      </c>
      <c r="AC455" t="s">
        <v>119</v>
      </c>
      <c r="AD455" t="s">
        <v>113</v>
      </c>
      <c r="AE455" t="s">
        <v>120</v>
      </c>
      <c r="AG455" t="s">
        <v>121</v>
      </c>
    </row>
    <row r="456" spans="1:33" x14ac:dyDescent="0.25">
      <c r="A456" t="str">
        <f>"1730239443"</f>
        <v>1730239443</v>
      </c>
      <c r="B456" t="str">
        <f>"02399604"</f>
        <v>02399604</v>
      </c>
      <c r="C456" t="s">
        <v>2925</v>
      </c>
      <c r="D456" t="s">
        <v>2926</v>
      </c>
      <c r="E456" t="s">
        <v>2927</v>
      </c>
      <c r="G456" t="s">
        <v>2928</v>
      </c>
      <c r="H456" t="s">
        <v>2929</v>
      </c>
      <c r="J456" t="s">
        <v>2930</v>
      </c>
      <c r="L456" t="s">
        <v>1033</v>
      </c>
      <c r="M456" t="s">
        <v>113</v>
      </c>
      <c r="R456" t="s">
        <v>2931</v>
      </c>
      <c r="W456" t="s">
        <v>2932</v>
      </c>
      <c r="X456" t="s">
        <v>2933</v>
      </c>
      <c r="Y456" t="s">
        <v>153</v>
      </c>
      <c r="Z456" t="s">
        <v>117</v>
      </c>
      <c r="AA456" t="str">
        <f>"14301-1201"</f>
        <v>14301-1201</v>
      </c>
      <c r="AB456" t="s">
        <v>621</v>
      </c>
      <c r="AC456" t="s">
        <v>119</v>
      </c>
      <c r="AD456" t="s">
        <v>113</v>
      </c>
      <c r="AE456" t="s">
        <v>120</v>
      </c>
      <c r="AG456" t="s">
        <v>121</v>
      </c>
    </row>
    <row r="457" spans="1:33" x14ac:dyDescent="0.25">
      <c r="A457" t="str">
        <f>"1730243254"</f>
        <v>1730243254</v>
      </c>
      <c r="C457" t="s">
        <v>2934</v>
      </c>
      <c r="G457" t="s">
        <v>2935</v>
      </c>
      <c r="H457" t="s">
        <v>1227</v>
      </c>
      <c r="J457" t="s">
        <v>2936</v>
      </c>
      <c r="K457" t="s">
        <v>303</v>
      </c>
      <c r="L457" t="s">
        <v>229</v>
      </c>
      <c r="M457" t="s">
        <v>113</v>
      </c>
      <c r="R457" t="s">
        <v>2937</v>
      </c>
      <c r="S457" t="s">
        <v>2938</v>
      </c>
      <c r="T457" t="s">
        <v>958</v>
      </c>
      <c r="U457" t="s">
        <v>117</v>
      </c>
      <c r="V457" t="str">
        <f>"142261727"</f>
        <v>142261727</v>
      </c>
      <c r="AC457" t="s">
        <v>119</v>
      </c>
      <c r="AD457" t="s">
        <v>113</v>
      </c>
      <c r="AE457" t="s">
        <v>306</v>
      </c>
      <c r="AG457" t="s">
        <v>121</v>
      </c>
    </row>
    <row r="458" spans="1:33" x14ac:dyDescent="0.25">
      <c r="A458" t="str">
        <f>"1730243585"</f>
        <v>1730243585</v>
      </c>
      <c r="B458" t="str">
        <f>"02559204"</f>
        <v>02559204</v>
      </c>
      <c r="C458" t="s">
        <v>2939</v>
      </c>
      <c r="D458" t="s">
        <v>2940</v>
      </c>
      <c r="E458" t="s">
        <v>2941</v>
      </c>
      <c r="G458" t="s">
        <v>2942</v>
      </c>
      <c r="H458" t="s">
        <v>2943</v>
      </c>
      <c r="J458" t="s">
        <v>2944</v>
      </c>
      <c r="L458" t="s">
        <v>229</v>
      </c>
      <c r="M458" t="s">
        <v>113</v>
      </c>
      <c r="R458" t="s">
        <v>2941</v>
      </c>
      <c r="W458" t="s">
        <v>2941</v>
      </c>
      <c r="X458" t="s">
        <v>2945</v>
      </c>
      <c r="Y458" t="s">
        <v>2946</v>
      </c>
      <c r="Z458" t="s">
        <v>117</v>
      </c>
      <c r="AA458" t="str">
        <f>"14075-5025"</f>
        <v>14075-5025</v>
      </c>
      <c r="AB458" t="s">
        <v>118</v>
      </c>
      <c r="AC458" t="s">
        <v>119</v>
      </c>
      <c r="AD458" t="s">
        <v>113</v>
      </c>
      <c r="AE458" t="s">
        <v>120</v>
      </c>
      <c r="AG458" t="s">
        <v>121</v>
      </c>
    </row>
    <row r="459" spans="1:33" x14ac:dyDescent="0.25">
      <c r="A459" t="str">
        <f>"1386601888"</f>
        <v>1386601888</v>
      </c>
      <c r="C459" t="s">
        <v>2947</v>
      </c>
      <c r="G459" t="s">
        <v>2947</v>
      </c>
      <c r="H459" t="s">
        <v>2948</v>
      </c>
      <c r="J459" t="s">
        <v>2949</v>
      </c>
      <c r="K459" t="s">
        <v>303</v>
      </c>
      <c r="L459" t="s">
        <v>229</v>
      </c>
      <c r="M459" t="s">
        <v>113</v>
      </c>
      <c r="R459" t="s">
        <v>2950</v>
      </c>
      <c r="S459" t="s">
        <v>2951</v>
      </c>
      <c r="T459" t="s">
        <v>2952</v>
      </c>
      <c r="U459" t="s">
        <v>2953</v>
      </c>
      <c r="V459" t="str">
        <f>"392164500"</f>
        <v>392164500</v>
      </c>
      <c r="AC459" t="s">
        <v>119</v>
      </c>
      <c r="AD459" t="s">
        <v>113</v>
      </c>
      <c r="AE459" t="s">
        <v>306</v>
      </c>
      <c r="AG459" t="s">
        <v>121</v>
      </c>
    </row>
    <row r="460" spans="1:33" x14ac:dyDescent="0.25">
      <c r="A460" t="str">
        <f>"1386607273"</f>
        <v>1386607273</v>
      </c>
      <c r="B460" t="str">
        <f>"00490322"</f>
        <v>00490322</v>
      </c>
      <c r="C460" t="s">
        <v>2954</v>
      </c>
      <c r="D460" t="s">
        <v>2955</v>
      </c>
      <c r="E460" t="s">
        <v>2956</v>
      </c>
      <c r="G460" t="s">
        <v>2954</v>
      </c>
      <c r="H460" t="s">
        <v>2957</v>
      </c>
      <c r="J460" t="s">
        <v>2958</v>
      </c>
      <c r="L460" t="s">
        <v>150</v>
      </c>
      <c r="M460" t="s">
        <v>113</v>
      </c>
      <c r="R460" t="s">
        <v>2959</v>
      </c>
      <c r="W460" t="s">
        <v>2956</v>
      </c>
      <c r="Y460" t="s">
        <v>116</v>
      </c>
      <c r="Z460" t="s">
        <v>117</v>
      </c>
      <c r="AA460" t="str">
        <f>"14222-2099"</f>
        <v>14222-2099</v>
      </c>
      <c r="AB460" t="s">
        <v>118</v>
      </c>
      <c r="AC460" t="s">
        <v>119</v>
      </c>
      <c r="AD460" t="s">
        <v>113</v>
      </c>
      <c r="AE460" t="s">
        <v>120</v>
      </c>
      <c r="AG460" t="s">
        <v>121</v>
      </c>
    </row>
    <row r="461" spans="1:33" x14ac:dyDescent="0.25">
      <c r="A461" t="str">
        <f>"1386608123"</f>
        <v>1386608123</v>
      </c>
      <c r="B461" t="str">
        <f>"01469103"</f>
        <v>01469103</v>
      </c>
      <c r="C461" t="s">
        <v>2960</v>
      </c>
      <c r="D461" t="s">
        <v>2961</v>
      </c>
      <c r="E461" t="s">
        <v>2962</v>
      </c>
      <c r="G461" t="s">
        <v>2960</v>
      </c>
      <c r="H461" t="s">
        <v>2963</v>
      </c>
      <c r="J461" t="s">
        <v>2964</v>
      </c>
      <c r="L461" t="s">
        <v>150</v>
      </c>
      <c r="M461" t="s">
        <v>113</v>
      </c>
      <c r="R461" t="s">
        <v>2965</v>
      </c>
      <c r="W461" t="s">
        <v>2962</v>
      </c>
      <c r="X461" t="s">
        <v>339</v>
      </c>
      <c r="Y461" t="s">
        <v>240</v>
      </c>
      <c r="Z461" t="s">
        <v>117</v>
      </c>
      <c r="AA461" t="str">
        <f>"14221-6883"</f>
        <v>14221-6883</v>
      </c>
      <c r="AB461" t="s">
        <v>118</v>
      </c>
      <c r="AC461" t="s">
        <v>119</v>
      </c>
      <c r="AD461" t="s">
        <v>113</v>
      </c>
      <c r="AE461" t="s">
        <v>120</v>
      </c>
      <c r="AG461" t="s">
        <v>121</v>
      </c>
    </row>
    <row r="462" spans="1:33" x14ac:dyDescent="0.25">
      <c r="A462" t="str">
        <f>"1386608339"</f>
        <v>1386608339</v>
      </c>
      <c r="B462" t="str">
        <f>"01657107"</f>
        <v>01657107</v>
      </c>
      <c r="C462" t="s">
        <v>2966</v>
      </c>
      <c r="D462" t="s">
        <v>2967</v>
      </c>
      <c r="E462" t="s">
        <v>2968</v>
      </c>
      <c r="G462" t="s">
        <v>2966</v>
      </c>
      <c r="H462" t="s">
        <v>2969</v>
      </c>
      <c r="J462" t="s">
        <v>2970</v>
      </c>
      <c r="L462" t="s">
        <v>150</v>
      </c>
      <c r="M462" t="s">
        <v>113</v>
      </c>
      <c r="R462" t="s">
        <v>2971</v>
      </c>
      <c r="W462" t="s">
        <v>2968</v>
      </c>
      <c r="X462" t="s">
        <v>376</v>
      </c>
      <c r="Y462" t="s">
        <v>377</v>
      </c>
      <c r="Z462" t="s">
        <v>117</v>
      </c>
      <c r="AA462" t="str">
        <f>"14217"</f>
        <v>14217</v>
      </c>
      <c r="AB462" t="s">
        <v>118</v>
      </c>
      <c r="AC462" t="s">
        <v>119</v>
      </c>
      <c r="AD462" t="s">
        <v>113</v>
      </c>
      <c r="AE462" t="s">
        <v>120</v>
      </c>
      <c r="AG462" t="s">
        <v>121</v>
      </c>
    </row>
    <row r="463" spans="1:33" x14ac:dyDescent="0.25">
      <c r="A463" t="str">
        <f>"1386625598"</f>
        <v>1386625598</v>
      </c>
      <c r="B463" t="str">
        <f>"02432002"</f>
        <v>02432002</v>
      </c>
      <c r="C463" t="s">
        <v>2972</v>
      </c>
      <c r="D463" t="s">
        <v>2973</v>
      </c>
      <c r="E463" t="s">
        <v>2974</v>
      </c>
      <c r="G463" t="s">
        <v>2972</v>
      </c>
      <c r="H463" t="s">
        <v>707</v>
      </c>
      <c r="J463" t="s">
        <v>2975</v>
      </c>
      <c r="L463" t="s">
        <v>142</v>
      </c>
      <c r="M463" t="s">
        <v>113</v>
      </c>
      <c r="R463" t="s">
        <v>2976</v>
      </c>
      <c r="W463" t="s">
        <v>2974</v>
      </c>
      <c r="X463" t="s">
        <v>709</v>
      </c>
      <c r="Y463" t="s">
        <v>116</v>
      </c>
      <c r="Z463" t="s">
        <v>117</v>
      </c>
      <c r="AA463" t="str">
        <f>"14263-0001"</f>
        <v>14263-0001</v>
      </c>
      <c r="AB463" t="s">
        <v>118</v>
      </c>
      <c r="AC463" t="s">
        <v>119</v>
      </c>
      <c r="AD463" t="s">
        <v>113</v>
      </c>
      <c r="AE463" t="s">
        <v>120</v>
      </c>
      <c r="AG463" t="s">
        <v>121</v>
      </c>
    </row>
    <row r="464" spans="1:33" x14ac:dyDescent="0.25">
      <c r="A464" t="str">
        <f>"1548225097"</f>
        <v>1548225097</v>
      </c>
      <c r="B464" t="str">
        <f>"02658964"</f>
        <v>02658964</v>
      </c>
      <c r="C464" t="s">
        <v>2977</v>
      </c>
      <c r="D464" t="s">
        <v>2978</v>
      </c>
      <c r="E464" t="s">
        <v>2979</v>
      </c>
      <c r="G464" t="s">
        <v>2977</v>
      </c>
      <c r="H464" t="s">
        <v>2510</v>
      </c>
      <c r="J464" t="s">
        <v>2980</v>
      </c>
      <c r="L464" t="s">
        <v>142</v>
      </c>
      <c r="M464" t="s">
        <v>113</v>
      </c>
      <c r="R464" t="s">
        <v>2981</v>
      </c>
      <c r="W464" t="s">
        <v>2982</v>
      </c>
      <c r="X464" t="s">
        <v>2983</v>
      </c>
      <c r="Y464" t="s">
        <v>318</v>
      </c>
      <c r="Z464" t="s">
        <v>117</v>
      </c>
      <c r="AA464" t="str">
        <f>"14225-4018"</f>
        <v>14225-4018</v>
      </c>
      <c r="AB464" t="s">
        <v>118</v>
      </c>
      <c r="AC464" t="s">
        <v>119</v>
      </c>
      <c r="AD464" t="s">
        <v>113</v>
      </c>
      <c r="AE464" t="s">
        <v>120</v>
      </c>
      <c r="AG464" t="s">
        <v>121</v>
      </c>
    </row>
    <row r="465" spans="1:33" x14ac:dyDescent="0.25">
      <c r="A465" t="str">
        <f>"1548231822"</f>
        <v>1548231822</v>
      </c>
      <c r="B465" t="str">
        <f>"01177206"</f>
        <v>01177206</v>
      </c>
      <c r="C465" t="s">
        <v>2984</v>
      </c>
      <c r="D465" t="s">
        <v>2985</v>
      </c>
      <c r="E465" t="s">
        <v>2986</v>
      </c>
      <c r="G465" t="s">
        <v>2984</v>
      </c>
      <c r="H465" t="s">
        <v>2193</v>
      </c>
      <c r="J465" t="s">
        <v>2987</v>
      </c>
      <c r="L465" t="s">
        <v>142</v>
      </c>
      <c r="M465" t="s">
        <v>113</v>
      </c>
      <c r="R465" t="s">
        <v>2988</v>
      </c>
      <c r="W465" t="s">
        <v>2986</v>
      </c>
      <c r="X465" t="s">
        <v>2989</v>
      </c>
      <c r="Y465" t="s">
        <v>318</v>
      </c>
      <c r="Z465" t="s">
        <v>117</v>
      </c>
      <c r="AA465" t="str">
        <f>"14225-5070"</f>
        <v>14225-5070</v>
      </c>
      <c r="AB465" t="s">
        <v>1755</v>
      </c>
      <c r="AC465" t="s">
        <v>119</v>
      </c>
      <c r="AD465" t="s">
        <v>113</v>
      </c>
      <c r="AE465" t="s">
        <v>120</v>
      </c>
      <c r="AG465" t="s">
        <v>121</v>
      </c>
    </row>
    <row r="466" spans="1:33" x14ac:dyDescent="0.25">
      <c r="A466" t="str">
        <f>"1548238538"</f>
        <v>1548238538</v>
      </c>
      <c r="B466" t="str">
        <f>"02670042"</f>
        <v>02670042</v>
      </c>
      <c r="C466" t="s">
        <v>2990</v>
      </c>
      <c r="D466" t="s">
        <v>2991</v>
      </c>
      <c r="E466" t="s">
        <v>2992</v>
      </c>
      <c r="G466" t="s">
        <v>2993</v>
      </c>
      <c r="H466" t="s">
        <v>2994</v>
      </c>
      <c r="J466" t="s">
        <v>2995</v>
      </c>
      <c r="L466" t="s">
        <v>150</v>
      </c>
      <c r="M466" t="s">
        <v>199</v>
      </c>
      <c r="R466" t="s">
        <v>2996</v>
      </c>
      <c r="W466" t="s">
        <v>2992</v>
      </c>
      <c r="X466" t="s">
        <v>2997</v>
      </c>
      <c r="Y466" t="s">
        <v>326</v>
      </c>
      <c r="Z466" t="s">
        <v>117</v>
      </c>
      <c r="AA466" t="str">
        <f>"14127-1963"</f>
        <v>14127-1963</v>
      </c>
      <c r="AB466" t="s">
        <v>118</v>
      </c>
      <c r="AC466" t="s">
        <v>119</v>
      </c>
      <c r="AD466" t="s">
        <v>113</v>
      </c>
      <c r="AE466" t="s">
        <v>120</v>
      </c>
      <c r="AG466" t="s">
        <v>121</v>
      </c>
    </row>
    <row r="467" spans="1:33" x14ac:dyDescent="0.25">
      <c r="A467" t="str">
        <f>"1568891265"</f>
        <v>1568891265</v>
      </c>
      <c r="B467" t="str">
        <f>"03707559"</f>
        <v>03707559</v>
      </c>
      <c r="C467" t="s">
        <v>2998</v>
      </c>
      <c r="D467" t="s">
        <v>2999</v>
      </c>
      <c r="E467" t="s">
        <v>3000</v>
      </c>
      <c r="G467" t="s">
        <v>2998</v>
      </c>
      <c r="H467" t="s">
        <v>590</v>
      </c>
      <c r="J467" t="s">
        <v>3001</v>
      </c>
      <c r="L467" t="s">
        <v>112</v>
      </c>
      <c r="M467" t="s">
        <v>113</v>
      </c>
      <c r="R467" t="s">
        <v>3002</v>
      </c>
      <c r="W467" t="s">
        <v>3003</v>
      </c>
      <c r="X467" t="s">
        <v>3004</v>
      </c>
      <c r="Y467" t="s">
        <v>116</v>
      </c>
      <c r="Z467" t="s">
        <v>117</v>
      </c>
      <c r="AA467" t="str">
        <f>"14209-2111"</f>
        <v>14209-2111</v>
      </c>
      <c r="AB467" t="s">
        <v>528</v>
      </c>
      <c r="AC467" t="s">
        <v>119</v>
      </c>
      <c r="AD467" t="s">
        <v>113</v>
      </c>
      <c r="AE467" t="s">
        <v>120</v>
      </c>
      <c r="AG467" t="s">
        <v>121</v>
      </c>
    </row>
    <row r="468" spans="1:33" x14ac:dyDescent="0.25">
      <c r="A468" t="str">
        <f>"1578503728"</f>
        <v>1578503728</v>
      </c>
      <c r="B468" t="str">
        <f>"00843370"</f>
        <v>00843370</v>
      </c>
      <c r="C468" t="s">
        <v>3005</v>
      </c>
      <c r="D468" t="s">
        <v>3006</v>
      </c>
      <c r="E468" t="s">
        <v>3007</v>
      </c>
      <c r="G468" t="s">
        <v>3005</v>
      </c>
      <c r="H468" t="s">
        <v>3008</v>
      </c>
      <c r="J468" t="s">
        <v>3009</v>
      </c>
      <c r="L468" t="s">
        <v>150</v>
      </c>
      <c r="M468" t="s">
        <v>113</v>
      </c>
      <c r="R468" t="s">
        <v>3010</v>
      </c>
      <c r="W468" t="s">
        <v>3007</v>
      </c>
      <c r="X468" t="s">
        <v>3011</v>
      </c>
      <c r="Y468" t="s">
        <v>3012</v>
      </c>
      <c r="Z468" t="s">
        <v>117</v>
      </c>
      <c r="AA468" t="str">
        <f>"14052-2203"</f>
        <v>14052-2203</v>
      </c>
      <c r="AB468" t="s">
        <v>118</v>
      </c>
      <c r="AC468" t="s">
        <v>119</v>
      </c>
      <c r="AD468" t="s">
        <v>113</v>
      </c>
      <c r="AE468" t="s">
        <v>120</v>
      </c>
      <c r="AG468" t="s">
        <v>121</v>
      </c>
    </row>
    <row r="469" spans="1:33" x14ac:dyDescent="0.25">
      <c r="A469" t="str">
        <f>"1578521811"</f>
        <v>1578521811</v>
      </c>
      <c r="B469" t="str">
        <f>"03099718"</f>
        <v>03099718</v>
      </c>
      <c r="C469" t="s">
        <v>3013</v>
      </c>
      <c r="D469" t="s">
        <v>3014</v>
      </c>
      <c r="E469" t="s">
        <v>3015</v>
      </c>
      <c r="G469" t="s">
        <v>3013</v>
      </c>
      <c r="H469" t="s">
        <v>3016</v>
      </c>
      <c r="J469" t="s">
        <v>3017</v>
      </c>
      <c r="L469" t="s">
        <v>142</v>
      </c>
      <c r="M469" t="s">
        <v>113</v>
      </c>
      <c r="R469" t="s">
        <v>3018</v>
      </c>
      <c r="W469" t="s">
        <v>3019</v>
      </c>
      <c r="X469" t="s">
        <v>216</v>
      </c>
      <c r="Y469" t="s">
        <v>116</v>
      </c>
      <c r="Z469" t="s">
        <v>117</v>
      </c>
      <c r="AA469" t="str">
        <f>"14222-2006"</f>
        <v>14222-2006</v>
      </c>
      <c r="AB469" t="s">
        <v>118</v>
      </c>
      <c r="AC469" t="s">
        <v>119</v>
      </c>
      <c r="AD469" t="s">
        <v>113</v>
      </c>
      <c r="AE469" t="s">
        <v>120</v>
      </c>
      <c r="AG469" t="s">
        <v>121</v>
      </c>
    </row>
    <row r="470" spans="1:33" x14ac:dyDescent="0.25">
      <c r="A470" t="str">
        <f>"1578535258"</f>
        <v>1578535258</v>
      </c>
      <c r="B470" t="str">
        <f>"01824597"</f>
        <v>01824597</v>
      </c>
      <c r="C470" t="s">
        <v>3020</v>
      </c>
      <c r="D470" t="s">
        <v>3021</v>
      </c>
      <c r="E470" t="s">
        <v>3022</v>
      </c>
      <c r="L470" t="s">
        <v>150</v>
      </c>
      <c r="M470" t="s">
        <v>199</v>
      </c>
      <c r="R470" t="s">
        <v>3023</v>
      </c>
      <c r="W470" t="s">
        <v>3023</v>
      </c>
      <c r="X470" t="s">
        <v>3024</v>
      </c>
      <c r="Y470" t="s">
        <v>305</v>
      </c>
      <c r="Z470" t="s">
        <v>117</v>
      </c>
      <c r="AA470" t="str">
        <f>"14760-2736"</f>
        <v>14760-2736</v>
      </c>
      <c r="AB470" t="s">
        <v>118</v>
      </c>
      <c r="AC470" t="s">
        <v>119</v>
      </c>
      <c r="AD470" t="s">
        <v>113</v>
      </c>
      <c r="AE470" t="s">
        <v>120</v>
      </c>
      <c r="AG470" t="s">
        <v>121</v>
      </c>
    </row>
    <row r="471" spans="1:33" x14ac:dyDescent="0.25">
      <c r="A471" t="str">
        <f>"1578539243"</f>
        <v>1578539243</v>
      </c>
      <c r="B471" t="str">
        <f>"00967542"</f>
        <v>00967542</v>
      </c>
      <c r="C471" t="s">
        <v>3025</v>
      </c>
      <c r="D471" t="s">
        <v>3026</v>
      </c>
      <c r="E471" t="s">
        <v>3027</v>
      </c>
      <c r="G471" t="s">
        <v>3025</v>
      </c>
      <c r="H471" t="s">
        <v>3028</v>
      </c>
      <c r="J471" t="s">
        <v>3029</v>
      </c>
      <c r="L471" t="s">
        <v>112</v>
      </c>
      <c r="M471" t="s">
        <v>199</v>
      </c>
      <c r="R471" t="s">
        <v>3030</v>
      </c>
      <c r="W471" t="s">
        <v>3027</v>
      </c>
      <c r="X471" t="s">
        <v>216</v>
      </c>
      <c r="Y471" t="s">
        <v>116</v>
      </c>
      <c r="Z471" t="s">
        <v>117</v>
      </c>
      <c r="AA471" t="str">
        <f>"14222-2006"</f>
        <v>14222-2006</v>
      </c>
      <c r="AB471" t="s">
        <v>118</v>
      </c>
      <c r="AC471" t="s">
        <v>119</v>
      </c>
      <c r="AD471" t="s">
        <v>113</v>
      </c>
      <c r="AE471" t="s">
        <v>120</v>
      </c>
      <c r="AG471" t="s">
        <v>121</v>
      </c>
    </row>
    <row r="472" spans="1:33" x14ac:dyDescent="0.25">
      <c r="A472" t="str">
        <f>"1578546669"</f>
        <v>1578546669</v>
      </c>
      <c r="B472" t="str">
        <f>"02059332"</f>
        <v>02059332</v>
      </c>
      <c r="C472" t="s">
        <v>3031</v>
      </c>
      <c r="D472" t="s">
        <v>3032</v>
      </c>
      <c r="E472" t="s">
        <v>3033</v>
      </c>
      <c r="G472" t="s">
        <v>3034</v>
      </c>
      <c r="H472" t="s">
        <v>1013</v>
      </c>
      <c r="J472" t="s">
        <v>3035</v>
      </c>
      <c r="L472" t="s">
        <v>112</v>
      </c>
      <c r="M472" t="s">
        <v>113</v>
      </c>
      <c r="R472" t="s">
        <v>3036</v>
      </c>
      <c r="W472" t="s">
        <v>3033</v>
      </c>
      <c r="X472" t="s">
        <v>3037</v>
      </c>
      <c r="Y472" t="s">
        <v>240</v>
      </c>
      <c r="Z472" t="s">
        <v>117</v>
      </c>
      <c r="AA472" t="str">
        <f>"14221-5329"</f>
        <v>14221-5329</v>
      </c>
      <c r="AB472" t="s">
        <v>118</v>
      </c>
      <c r="AC472" t="s">
        <v>119</v>
      </c>
      <c r="AD472" t="s">
        <v>113</v>
      </c>
      <c r="AE472" t="s">
        <v>120</v>
      </c>
      <c r="AG472" t="s">
        <v>121</v>
      </c>
    </row>
    <row r="473" spans="1:33" x14ac:dyDescent="0.25">
      <c r="A473" t="str">
        <f>"1578548533"</f>
        <v>1578548533</v>
      </c>
      <c r="B473" t="str">
        <f>"02530385"</f>
        <v>02530385</v>
      </c>
      <c r="C473" t="s">
        <v>3038</v>
      </c>
      <c r="D473" t="s">
        <v>3039</v>
      </c>
      <c r="E473" t="s">
        <v>3040</v>
      </c>
      <c r="G473" t="s">
        <v>3038</v>
      </c>
      <c r="H473" t="s">
        <v>227</v>
      </c>
      <c r="J473" t="s">
        <v>3041</v>
      </c>
      <c r="L473" t="s">
        <v>142</v>
      </c>
      <c r="M473" t="s">
        <v>113</v>
      </c>
      <c r="R473" t="s">
        <v>3042</v>
      </c>
      <c r="W473" t="s">
        <v>3040</v>
      </c>
      <c r="X473" t="s">
        <v>3043</v>
      </c>
      <c r="Y473" t="s">
        <v>3044</v>
      </c>
      <c r="Z473" t="s">
        <v>3045</v>
      </c>
      <c r="AA473" t="str">
        <f>"98335-6857"</f>
        <v>98335-6857</v>
      </c>
      <c r="AB473" t="s">
        <v>118</v>
      </c>
      <c r="AC473" t="s">
        <v>119</v>
      </c>
      <c r="AD473" t="s">
        <v>113</v>
      </c>
      <c r="AE473" t="s">
        <v>120</v>
      </c>
      <c r="AG473" t="s">
        <v>121</v>
      </c>
    </row>
    <row r="474" spans="1:33" x14ac:dyDescent="0.25">
      <c r="A474" t="str">
        <f>"1578554127"</f>
        <v>1578554127</v>
      </c>
      <c r="B474" t="str">
        <f>"01563708"</f>
        <v>01563708</v>
      </c>
      <c r="C474" t="s">
        <v>3046</v>
      </c>
      <c r="D474" t="s">
        <v>3047</v>
      </c>
      <c r="E474" t="s">
        <v>3048</v>
      </c>
      <c r="G474" t="s">
        <v>3046</v>
      </c>
      <c r="H474" t="s">
        <v>768</v>
      </c>
      <c r="J474" t="s">
        <v>3049</v>
      </c>
      <c r="L474" t="s">
        <v>150</v>
      </c>
      <c r="M474" t="s">
        <v>113</v>
      </c>
      <c r="R474" t="s">
        <v>3050</v>
      </c>
      <c r="W474" t="s">
        <v>3051</v>
      </c>
      <c r="X474" t="s">
        <v>3052</v>
      </c>
      <c r="Y474" t="s">
        <v>240</v>
      </c>
      <c r="Z474" t="s">
        <v>117</v>
      </c>
      <c r="AA474" t="str">
        <f>"14221-4695"</f>
        <v>14221-4695</v>
      </c>
      <c r="AB474" t="s">
        <v>118</v>
      </c>
      <c r="AC474" t="s">
        <v>119</v>
      </c>
      <c r="AD474" t="s">
        <v>113</v>
      </c>
      <c r="AE474" t="s">
        <v>120</v>
      </c>
      <c r="AG474" t="s">
        <v>121</v>
      </c>
    </row>
    <row r="475" spans="1:33" x14ac:dyDescent="0.25">
      <c r="A475" t="str">
        <f>"1578557302"</f>
        <v>1578557302</v>
      </c>
      <c r="B475" t="str">
        <f>"02129082"</f>
        <v>02129082</v>
      </c>
      <c r="C475" t="s">
        <v>3053</v>
      </c>
      <c r="D475" t="s">
        <v>3054</v>
      </c>
      <c r="E475" t="s">
        <v>3055</v>
      </c>
      <c r="G475" t="s">
        <v>3053</v>
      </c>
      <c r="H475" t="s">
        <v>2702</v>
      </c>
      <c r="J475" t="s">
        <v>3056</v>
      </c>
      <c r="L475" t="s">
        <v>142</v>
      </c>
      <c r="M475" t="s">
        <v>113</v>
      </c>
      <c r="R475" t="s">
        <v>3057</v>
      </c>
      <c r="W475" t="s">
        <v>3055</v>
      </c>
      <c r="X475" t="s">
        <v>3058</v>
      </c>
      <c r="Y475" t="s">
        <v>240</v>
      </c>
      <c r="Z475" t="s">
        <v>117</v>
      </c>
      <c r="AA475" t="str">
        <f>"14221-7889"</f>
        <v>14221-7889</v>
      </c>
      <c r="AB475" t="s">
        <v>118</v>
      </c>
      <c r="AC475" t="s">
        <v>119</v>
      </c>
      <c r="AD475" t="s">
        <v>113</v>
      </c>
      <c r="AE475" t="s">
        <v>120</v>
      </c>
      <c r="AG475" t="s">
        <v>121</v>
      </c>
    </row>
    <row r="476" spans="1:33" x14ac:dyDescent="0.25">
      <c r="A476" t="str">
        <f>"1578560397"</f>
        <v>1578560397</v>
      </c>
      <c r="B476" t="str">
        <f>"02345366"</f>
        <v>02345366</v>
      </c>
      <c r="C476" t="s">
        <v>3059</v>
      </c>
      <c r="D476" t="s">
        <v>3060</v>
      </c>
      <c r="E476" t="s">
        <v>3061</v>
      </c>
      <c r="G476" t="s">
        <v>3059</v>
      </c>
      <c r="H476" t="s">
        <v>1006</v>
      </c>
      <c r="J476" t="s">
        <v>3062</v>
      </c>
      <c r="L476" t="s">
        <v>142</v>
      </c>
      <c r="M476" t="s">
        <v>113</v>
      </c>
      <c r="R476" t="s">
        <v>3063</v>
      </c>
      <c r="W476" t="s">
        <v>3061</v>
      </c>
      <c r="X476" t="s">
        <v>1009</v>
      </c>
      <c r="Y476" t="s">
        <v>240</v>
      </c>
      <c r="Z476" t="s">
        <v>117</v>
      </c>
      <c r="AA476" t="str">
        <f>"14221-2917"</f>
        <v>14221-2917</v>
      </c>
      <c r="AB476" t="s">
        <v>118</v>
      </c>
      <c r="AC476" t="s">
        <v>119</v>
      </c>
      <c r="AD476" t="s">
        <v>113</v>
      </c>
      <c r="AE476" t="s">
        <v>120</v>
      </c>
      <c r="AG476" t="s">
        <v>121</v>
      </c>
    </row>
    <row r="477" spans="1:33" x14ac:dyDescent="0.25">
      <c r="A477" t="str">
        <f>"1578561247"</f>
        <v>1578561247</v>
      </c>
      <c r="B477" t="str">
        <f>"01843241"</f>
        <v>01843241</v>
      </c>
      <c r="C477" t="s">
        <v>3064</v>
      </c>
      <c r="D477" t="s">
        <v>3065</v>
      </c>
      <c r="E477" t="s">
        <v>3066</v>
      </c>
      <c r="G477" t="s">
        <v>3067</v>
      </c>
      <c r="H477" t="s">
        <v>3068</v>
      </c>
      <c r="J477" t="s">
        <v>3069</v>
      </c>
      <c r="L477" t="s">
        <v>112</v>
      </c>
      <c r="M477" t="s">
        <v>113</v>
      </c>
      <c r="R477" t="s">
        <v>3066</v>
      </c>
      <c r="W477" t="s">
        <v>3066</v>
      </c>
      <c r="X477" t="s">
        <v>3066</v>
      </c>
      <c r="Y477" t="s">
        <v>2946</v>
      </c>
      <c r="Z477" t="s">
        <v>117</v>
      </c>
      <c r="AA477" t="str">
        <f>"14075-6200"</f>
        <v>14075-6200</v>
      </c>
      <c r="AB477" t="s">
        <v>118</v>
      </c>
      <c r="AC477" t="s">
        <v>119</v>
      </c>
      <c r="AD477" t="s">
        <v>113</v>
      </c>
      <c r="AE477" t="s">
        <v>120</v>
      </c>
      <c r="AG477" t="s">
        <v>121</v>
      </c>
    </row>
    <row r="478" spans="1:33" x14ac:dyDescent="0.25">
      <c r="A478" t="str">
        <f>"1578563995"</f>
        <v>1578563995</v>
      </c>
      <c r="B478" t="str">
        <f>"01857345"</f>
        <v>01857345</v>
      </c>
      <c r="C478" t="s">
        <v>3070</v>
      </c>
      <c r="D478" t="s">
        <v>3071</v>
      </c>
      <c r="E478" t="s">
        <v>3072</v>
      </c>
      <c r="G478" t="s">
        <v>3070</v>
      </c>
      <c r="H478" t="s">
        <v>1196</v>
      </c>
      <c r="J478" t="s">
        <v>3073</v>
      </c>
      <c r="L478" t="s">
        <v>112</v>
      </c>
      <c r="M478" t="s">
        <v>113</v>
      </c>
      <c r="R478" t="s">
        <v>3074</v>
      </c>
      <c r="W478" t="s">
        <v>3072</v>
      </c>
      <c r="X478" t="s">
        <v>3075</v>
      </c>
      <c r="Y478" t="s">
        <v>116</v>
      </c>
      <c r="Z478" t="s">
        <v>117</v>
      </c>
      <c r="AA478" t="str">
        <f>"14203-1126"</f>
        <v>14203-1126</v>
      </c>
      <c r="AB478" t="s">
        <v>118</v>
      </c>
      <c r="AC478" t="s">
        <v>119</v>
      </c>
      <c r="AD478" t="s">
        <v>113</v>
      </c>
      <c r="AE478" t="s">
        <v>120</v>
      </c>
      <c r="AG478" t="s">
        <v>121</v>
      </c>
    </row>
    <row r="479" spans="1:33" x14ac:dyDescent="0.25">
      <c r="A479" t="str">
        <f>"1437136983"</f>
        <v>1437136983</v>
      </c>
      <c r="C479" t="s">
        <v>3076</v>
      </c>
      <c r="G479" t="s">
        <v>3077</v>
      </c>
      <c r="H479" t="s">
        <v>3078</v>
      </c>
      <c r="J479" t="s">
        <v>3079</v>
      </c>
      <c r="K479" t="s">
        <v>303</v>
      </c>
      <c r="L479" t="s">
        <v>112</v>
      </c>
      <c r="M479" t="s">
        <v>113</v>
      </c>
      <c r="R479" t="s">
        <v>3080</v>
      </c>
      <c r="S479" t="s">
        <v>3081</v>
      </c>
      <c r="T479" t="s">
        <v>986</v>
      </c>
      <c r="U479" t="s">
        <v>117</v>
      </c>
      <c r="V479" t="str">
        <f>"147012828"</f>
        <v>147012828</v>
      </c>
      <c r="AC479" t="s">
        <v>119</v>
      </c>
      <c r="AD479" t="s">
        <v>113</v>
      </c>
      <c r="AE479" t="s">
        <v>306</v>
      </c>
      <c r="AG479" t="s">
        <v>121</v>
      </c>
    </row>
    <row r="480" spans="1:33" x14ac:dyDescent="0.25">
      <c r="A480" t="str">
        <f>"1164771671"</f>
        <v>1164771671</v>
      </c>
      <c r="C480" t="s">
        <v>3082</v>
      </c>
      <c r="G480" t="s">
        <v>3077</v>
      </c>
      <c r="H480" t="s">
        <v>3083</v>
      </c>
      <c r="J480" t="s">
        <v>3079</v>
      </c>
      <c r="K480" t="s">
        <v>303</v>
      </c>
      <c r="L480" t="s">
        <v>112</v>
      </c>
      <c r="M480" t="s">
        <v>113</v>
      </c>
      <c r="R480" t="s">
        <v>3084</v>
      </c>
      <c r="S480" t="s">
        <v>3085</v>
      </c>
      <c r="T480" t="s">
        <v>986</v>
      </c>
      <c r="U480" t="s">
        <v>117</v>
      </c>
      <c r="V480" t="str">
        <f>"147012528"</f>
        <v>147012528</v>
      </c>
      <c r="AC480" t="s">
        <v>119</v>
      </c>
      <c r="AD480" t="s">
        <v>113</v>
      </c>
      <c r="AE480" t="s">
        <v>306</v>
      </c>
      <c r="AG480" t="s">
        <v>121</v>
      </c>
    </row>
    <row r="481" spans="1:33" x14ac:dyDescent="0.25">
      <c r="A481" t="str">
        <f>"1003259797"</f>
        <v>1003259797</v>
      </c>
      <c r="B481" t="str">
        <f>"03602866"</f>
        <v>03602866</v>
      </c>
      <c r="C481" t="s">
        <v>3086</v>
      </c>
      <c r="D481" t="s">
        <v>3087</v>
      </c>
      <c r="E481" t="s">
        <v>3088</v>
      </c>
      <c r="G481" t="s">
        <v>3077</v>
      </c>
      <c r="H481" t="s">
        <v>3089</v>
      </c>
      <c r="J481" t="s">
        <v>3079</v>
      </c>
      <c r="L481" t="s">
        <v>112</v>
      </c>
      <c r="M481" t="s">
        <v>113</v>
      </c>
      <c r="R481" t="s">
        <v>3090</v>
      </c>
      <c r="W481" t="s">
        <v>3088</v>
      </c>
      <c r="X481" t="s">
        <v>3085</v>
      </c>
      <c r="Y481" t="s">
        <v>986</v>
      </c>
      <c r="Z481" t="s">
        <v>117</v>
      </c>
      <c r="AA481" t="str">
        <f>"14701-2528"</f>
        <v>14701-2528</v>
      </c>
      <c r="AB481" t="s">
        <v>634</v>
      </c>
      <c r="AC481" t="s">
        <v>119</v>
      </c>
      <c r="AD481" t="s">
        <v>113</v>
      </c>
      <c r="AE481" t="s">
        <v>120</v>
      </c>
      <c r="AG481" t="s">
        <v>121</v>
      </c>
    </row>
    <row r="482" spans="1:33" x14ac:dyDescent="0.25">
      <c r="C482" t="s">
        <v>3091</v>
      </c>
      <c r="G482" t="s">
        <v>3092</v>
      </c>
      <c r="H482" t="s">
        <v>3093</v>
      </c>
      <c r="J482" t="s">
        <v>3094</v>
      </c>
      <c r="K482" t="s">
        <v>303</v>
      </c>
      <c r="L482" t="s">
        <v>3095</v>
      </c>
      <c r="M482" t="s">
        <v>113</v>
      </c>
      <c r="N482" t="s">
        <v>3096</v>
      </c>
      <c r="O482" t="s">
        <v>3097</v>
      </c>
      <c r="P482" t="s">
        <v>117</v>
      </c>
      <c r="Q482" t="str">
        <f>"14202"</f>
        <v>14202</v>
      </c>
      <c r="AC482" t="s">
        <v>119</v>
      </c>
      <c r="AD482" t="s">
        <v>113</v>
      </c>
      <c r="AE482" t="s">
        <v>3098</v>
      </c>
      <c r="AG482" t="s">
        <v>121</v>
      </c>
    </row>
    <row r="483" spans="1:33" x14ac:dyDescent="0.25">
      <c r="C483" t="s">
        <v>3099</v>
      </c>
      <c r="G483" t="s">
        <v>3100</v>
      </c>
      <c r="H483" t="s">
        <v>3101</v>
      </c>
      <c r="J483" t="s">
        <v>3094</v>
      </c>
      <c r="K483" t="s">
        <v>303</v>
      </c>
      <c r="L483" t="s">
        <v>3095</v>
      </c>
      <c r="M483" t="s">
        <v>113</v>
      </c>
      <c r="N483" t="s">
        <v>3102</v>
      </c>
      <c r="O483" t="s">
        <v>3097</v>
      </c>
      <c r="P483" t="s">
        <v>117</v>
      </c>
      <c r="Q483" t="str">
        <f>"14208"</f>
        <v>14208</v>
      </c>
      <c r="AC483" t="s">
        <v>119</v>
      </c>
      <c r="AD483" t="s">
        <v>113</v>
      </c>
      <c r="AE483" t="s">
        <v>3098</v>
      </c>
      <c r="AG483" t="s">
        <v>121</v>
      </c>
    </row>
    <row r="484" spans="1:33" x14ac:dyDescent="0.25">
      <c r="C484" t="s">
        <v>3103</v>
      </c>
      <c r="G484" t="s">
        <v>3104</v>
      </c>
      <c r="H484" t="s">
        <v>3105</v>
      </c>
      <c r="J484" t="s">
        <v>3094</v>
      </c>
      <c r="K484" t="s">
        <v>303</v>
      </c>
      <c r="L484" t="s">
        <v>3095</v>
      </c>
      <c r="M484" t="s">
        <v>113</v>
      </c>
      <c r="N484" t="s">
        <v>3106</v>
      </c>
      <c r="O484" t="s">
        <v>3097</v>
      </c>
      <c r="P484" t="s">
        <v>117</v>
      </c>
      <c r="Q484" t="str">
        <f>"14208"</f>
        <v>14208</v>
      </c>
      <c r="AC484" t="s">
        <v>119</v>
      </c>
      <c r="AD484" t="s">
        <v>113</v>
      </c>
      <c r="AE484" t="s">
        <v>3098</v>
      </c>
      <c r="AG484" t="s">
        <v>121</v>
      </c>
    </row>
    <row r="485" spans="1:33" x14ac:dyDescent="0.25">
      <c r="C485" t="s">
        <v>3107</v>
      </c>
      <c r="G485" t="s">
        <v>3108</v>
      </c>
      <c r="H485" t="s">
        <v>3109</v>
      </c>
      <c r="J485" t="s">
        <v>3094</v>
      </c>
      <c r="K485" t="s">
        <v>303</v>
      </c>
      <c r="L485" t="s">
        <v>3095</v>
      </c>
      <c r="M485" t="s">
        <v>113</v>
      </c>
      <c r="N485" t="s">
        <v>3110</v>
      </c>
      <c r="O485" t="s">
        <v>3097</v>
      </c>
      <c r="P485" t="s">
        <v>117</v>
      </c>
      <c r="Q485" t="str">
        <f>"14209"</f>
        <v>14209</v>
      </c>
      <c r="AC485" t="s">
        <v>119</v>
      </c>
      <c r="AD485" t="s">
        <v>113</v>
      </c>
      <c r="AE485" t="s">
        <v>3098</v>
      </c>
      <c r="AG485" t="s">
        <v>121</v>
      </c>
    </row>
    <row r="486" spans="1:33" x14ac:dyDescent="0.25">
      <c r="C486" t="s">
        <v>3111</v>
      </c>
      <c r="G486" t="s">
        <v>3112</v>
      </c>
      <c r="H486" t="s">
        <v>3113</v>
      </c>
      <c r="J486" t="s">
        <v>3094</v>
      </c>
      <c r="K486" t="s">
        <v>303</v>
      </c>
      <c r="L486" t="s">
        <v>3095</v>
      </c>
      <c r="M486" t="s">
        <v>113</v>
      </c>
      <c r="N486" t="s">
        <v>3114</v>
      </c>
      <c r="O486" t="s">
        <v>3097</v>
      </c>
      <c r="P486" t="s">
        <v>117</v>
      </c>
      <c r="Q486" t="str">
        <f>"14209"</f>
        <v>14209</v>
      </c>
      <c r="AC486" t="s">
        <v>119</v>
      </c>
      <c r="AD486" t="s">
        <v>113</v>
      </c>
      <c r="AE486" t="s">
        <v>3098</v>
      </c>
      <c r="AG486" t="s">
        <v>121</v>
      </c>
    </row>
    <row r="487" spans="1:33" x14ac:dyDescent="0.25">
      <c r="C487" t="s">
        <v>3115</v>
      </c>
      <c r="G487" t="s">
        <v>3116</v>
      </c>
      <c r="H487" t="s">
        <v>3117</v>
      </c>
      <c r="J487" t="s">
        <v>3094</v>
      </c>
      <c r="K487" t="s">
        <v>303</v>
      </c>
      <c r="L487" t="s">
        <v>3095</v>
      </c>
      <c r="M487" t="s">
        <v>113</v>
      </c>
      <c r="N487" t="s">
        <v>3118</v>
      </c>
      <c r="O487" t="s">
        <v>3097</v>
      </c>
      <c r="P487" t="s">
        <v>117</v>
      </c>
      <c r="Q487" t="str">
        <f>"14211"</f>
        <v>14211</v>
      </c>
      <c r="AC487" t="s">
        <v>119</v>
      </c>
      <c r="AD487" t="s">
        <v>113</v>
      </c>
      <c r="AE487" t="s">
        <v>3098</v>
      </c>
      <c r="AG487" t="s">
        <v>121</v>
      </c>
    </row>
    <row r="488" spans="1:33" x14ac:dyDescent="0.25">
      <c r="C488" t="s">
        <v>3119</v>
      </c>
      <c r="G488" t="s">
        <v>3120</v>
      </c>
      <c r="H488" t="s">
        <v>3121</v>
      </c>
      <c r="J488" t="s">
        <v>3094</v>
      </c>
      <c r="K488" t="s">
        <v>303</v>
      </c>
      <c r="L488" t="s">
        <v>3095</v>
      </c>
      <c r="M488" t="s">
        <v>113</v>
      </c>
      <c r="N488" t="s">
        <v>3122</v>
      </c>
      <c r="O488" t="s">
        <v>3097</v>
      </c>
      <c r="P488" t="s">
        <v>117</v>
      </c>
      <c r="Q488" t="str">
        <f>"14211"</f>
        <v>14211</v>
      </c>
      <c r="AC488" t="s">
        <v>119</v>
      </c>
      <c r="AD488" t="s">
        <v>113</v>
      </c>
      <c r="AE488" t="s">
        <v>3098</v>
      </c>
      <c r="AG488" t="s">
        <v>121</v>
      </c>
    </row>
    <row r="489" spans="1:33" x14ac:dyDescent="0.25">
      <c r="C489" t="s">
        <v>3123</v>
      </c>
      <c r="G489" t="s">
        <v>3124</v>
      </c>
      <c r="H489" t="s">
        <v>3125</v>
      </c>
      <c r="J489" t="s">
        <v>3094</v>
      </c>
      <c r="K489" t="s">
        <v>303</v>
      </c>
      <c r="L489" t="s">
        <v>3095</v>
      </c>
      <c r="M489" t="s">
        <v>113</v>
      </c>
      <c r="N489" t="s">
        <v>3126</v>
      </c>
      <c r="O489" t="s">
        <v>3097</v>
      </c>
      <c r="P489" t="s">
        <v>117</v>
      </c>
      <c r="Q489" t="str">
        <f>"14208"</f>
        <v>14208</v>
      </c>
      <c r="AC489" t="s">
        <v>119</v>
      </c>
      <c r="AD489" t="s">
        <v>113</v>
      </c>
      <c r="AE489" t="s">
        <v>3098</v>
      </c>
      <c r="AG489" t="s">
        <v>121</v>
      </c>
    </row>
    <row r="490" spans="1:33" x14ac:dyDescent="0.25">
      <c r="C490" t="s">
        <v>3127</v>
      </c>
      <c r="G490" t="s">
        <v>3128</v>
      </c>
      <c r="H490" t="s">
        <v>3129</v>
      </c>
      <c r="J490" t="s">
        <v>3094</v>
      </c>
      <c r="K490" t="s">
        <v>303</v>
      </c>
      <c r="L490" t="s">
        <v>3095</v>
      </c>
      <c r="M490" t="s">
        <v>113</v>
      </c>
      <c r="N490" t="s">
        <v>3130</v>
      </c>
      <c r="O490" t="s">
        <v>3097</v>
      </c>
      <c r="P490" t="s">
        <v>117</v>
      </c>
      <c r="Q490" t="str">
        <f>"14210"</f>
        <v>14210</v>
      </c>
      <c r="AC490" t="s">
        <v>119</v>
      </c>
      <c r="AD490" t="s">
        <v>113</v>
      </c>
      <c r="AE490" t="s">
        <v>3098</v>
      </c>
      <c r="AG490" t="s">
        <v>121</v>
      </c>
    </row>
    <row r="491" spans="1:33" x14ac:dyDescent="0.25">
      <c r="C491" t="s">
        <v>3131</v>
      </c>
      <c r="G491" t="s">
        <v>3132</v>
      </c>
      <c r="H491" t="s">
        <v>3133</v>
      </c>
      <c r="J491" t="s">
        <v>3094</v>
      </c>
      <c r="K491" t="s">
        <v>303</v>
      </c>
      <c r="L491" t="s">
        <v>3095</v>
      </c>
      <c r="M491" t="s">
        <v>113</v>
      </c>
      <c r="N491" t="s">
        <v>3134</v>
      </c>
      <c r="O491" t="s">
        <v>3097</v>
      </c>
      <c r="P491" t="s">
        <v>117</v>
      </c>
      <c r="Q491" t="str">
        <f>"14209"</f>
        <v>14209</v>
      </c>
      <c r="AC491" t="s">
        <v>119</v>
      </c>
      <c r="AD491" t="s">
        <v>113</v>
      </c>
      <c r="AE491" t="s">
        <v>3098</v>
      </c>
      <c r="AG491" t="s">
        <v>121</v>
      </c>
    </row>
    <row r="492" spans="1:33" x14ac:dyDescent="0.25">
      <c r="C492" t="s">
        <v>3135</v>
      </c>
      <c r="G492" t="s">
        <v>3136</v>
      </c>
      <c r="H492" t="s">
        <v>3137</v>
      </c>
      <c r="J492" t="s">
        <v>3094</v>
      </c>
      <c r="K492" t="s">
        <v>303</v>
      </c>
      <c r="L492" t="s">
        <v>3095</v>
      </c>
      <c r="M492" t="s">
        <v>113</v>
      </c>
      <c r="N492" t="s">
        <v>3138</v>
      </c>
      <c r="O492" t="s">
        <v>3139</v>
      </c>
      <c r="P492" t="s">
        <v>117</v>
      </c>
      <c r="Q492" t="str">
        <f>"14218"</f>
        <v>14218</v>
      </c>
      <c r="AC492" t="s">
        <v>119</v>
      </c>
      <c r="AD492" t="s">
        <v>113</v>
      </c>
      <c r="AE492" t="s">
        <v>3098</v>
      </c>
      <c r="AG492" t="s">
        <v>121</v>
      </c>
    </row>
    <row r="493" spans="1:33" x14ac:dyDescent="0.25">
      <c r="C493" t="s">
        <v>3140</v>
      </c>
      <c r="G493" t="s">
        <v>3141</v>
      </c>
      <c r="H493" t="s">
        <v>3142</v>
      </c>
      <c r="J493" t="s">
        <v>3094</v>
      </c>
      <c r="K493" t="s">
        <v>303</v>
      </c>
      <c r="L493" t="s">
        <v>3095</v>
      </c>
      <c r="M493" t="s">
        <v>113</v>
      </c>
      <c r="N493" t="s">
        <v>3143</v>
      </c>
      <c r="O493" t="s">
        <v>3097</v>
      </c>
      <c r="P493" t="s">
        <v>117</v>
      </c>
      <c r="Q493" t="str">
        <f>"14215"</f>
        <v>14215</v>
      </c>
      <c r="AC493" t="s">
        <v>119</v>
      </c>
      <c r="AD493" t="s">
        <v>113</v>
      </c>
      <c r="AE493" t="s">
        <v>3098</v>
      </c>
      <c r="AG493" t="s">
        <v>121</v>
      </c>
    </row>
    <row r="494" spans="1:33" x14ac:dyDescent="0.25">
      <c r="C494" t="s">
        <v>3144</v>
      </c>
      <c r="G494" t="s">
        <v>3145</v>
      </c>
      <c r="H494" t="s">
        <v>3146</v>
      </c>
      <c r="J494" t="s">
        <v>3094</v>
      </c>
      <c r="K494" t="s">
        <v>303</v>
      </c>
      <c r="L494" t="s">
        <v>3095</v>
      </c>
      <c r="M494" t="s">
        <v>113</v>
      </c>
      <c r="N494" t="s">
        <v>3147</v>
      </c>
      <c r="O494" t="s">
        <v>3097</v>
      </c>
      <c r="P494" t="s">
        <v>117</v>
      </c>
      <c r="Q494" t="str">
        <f>"14214"</f>
        <v>14214</v>
      </c>
      <c r="AC494" t="s">
        <v>119</v>
      </c>
      <c r="AD494" t="s">
        <v>113</v>
      </c>
      <c r="AE494" t="s">
        <v>3098</v>
      </c>
      <c r="AG494" t="s">
        <v>121</v>
      </c>
    </row>
    <row r="495" spans="1:33" x14ac:dyDescent="0.25">
      <c r="C495" t="s">
        <v>3148</v>
      </c>
      <c r="G495" t="s">
        <v>3149</v>
      </c>
      <c r="H495" t="s">
        <v>3150</v>
      </c>
      <c r="J495" t="s">
        <v>3094</v>
      </c>
      <c r="K495" t="s">
        <v>303</v>
      </c>
      <c r="L495" t="s">
        <v>3095</v>
      </c>
      <c r="M495" t="s">
        <v>113</v>
      </c>
      <c r="N495" t="s">
        <v>3151</v>
      </c>
      <c r="O495" t="s">
        <v>3097</v>
      </c>
      <c r="P495" t="s">
        <v>117</v>
      </c>
      <c r="Q495" t="str">
        <f>"14215"</f>
        <v>14215</v>
      </c>
      <c r="AC495" t="s">
        <v>119</v>
      </c>
      <c r="AD495" t="s">
        <v>113</v>
      </c>
      <c r="AE495" t="s">
        <v>3098</v>
      </c>
      <c r="AG495" t="s">
        <v>121</v>
      </c>
    </row>
    <row r="496" spans="1:33" x14ac:dyDescent="0.25">
      <c r="C496" t="s">
        <v>3152</v>
      </c>
      <c r="G496" t="s">
        <v>3153</v>
      </c>
      <c r="H496" t="s">
        <v>3154</v>
      </c>
      <c r="J496" t="s">
        <v>3094</v>
      </c>
      <c r="K496" t="s">
        <v>303</v>
      </c>
      <c r="L496" t="s">
        <v>3095</v>
      </c>
      <c r="M496" t="s">
        <v>113</v>
      </c>
      <c r="N496" t="s">
        <v>3155</v>
      </c>
      <c r="O496" t="s">
        <v>3097</v>
      </c>
      <c r="P496" t="s">
        <v>117</v>
      </c>
      <c r="Q496" t="str">
        <f>"14212"</f>
        <v>14212</v>
      </c>
      <c r="AC496" t="s">
        <v>119</v>
      </c>
      <c r="AD496" t="s">
        <v>113</v>
      </c>
      <c r="AE496" t="s">
        <v>3098</v>
      </c>
      <c r="AG496" t="s">
        <v>121</v>
      </c>
    </row>
    <row r="497" spans="3:33" x14ac:dyDescent="0.25">
      <c r="C497" t="s">
        <v>3156</v>
      </c>
      <c r="G497" t="s">
        <v>3157</v>
      </c>
      <c r="H497" t="s">
        <v>3158</v>
      </c>
      <c r="J497" t="s">
        <v>3094</v>
      </c>
      <c r="K497" t="s">
        <v>303</v>
      </c>
      <c r="L497" t="s">
        <v>3095</v>
      </c>
      <c r="M497" t="s">
        <v>113</v>
      </c>
      <c r="N497" t="s">
        <v>3159</v>
      </c>
      <c r="O497" t="s">
        <v>3097</v>
      </c>
      <c r="P497" t="s">
        <v>117</v>
      </c>
      <c r="Q497" t="str">
        <f>"14208"</f>
        <v>14208</v>
      </c>
      <c r="AC497" t="s">
        <v>119</v>
      </c>
      <c r="AD497" t="s">
        <v>113</v>
      </c>
      <c r="AE497" t="s">
        <v>3098</v>
      </c>
      <c r="AG497" t="s">
        <v>121</v>
      </c>
    </row>
    <row r="498" spans="3:33" x14ac:dyDescent="0.25">
      <c r="C498" t="s">
        <v>3160</v>
      </c>
      <c r="G498" t="s">
        <v>3161</v>
      </c>
      <c r="H498" t="s">
        <v>3162</v>
      </c>
      <c r="J498" t="s">
        <v>3094</v>
      </c>
      <c r="K498" t="s">
        <v>303</v>
      </c>
      <c r="L498" t="s">
        <v>3095</v>
      </c>
      <c r="M498" t="s">
        <v>113</v>
      </c>
      <c r="N498" t="s">
        <v>3163</v>
      </c>
      <c r="O498" t="s">
        <v>3097</v>
      </c>
      <c r="P498" t="s">
        <v>117</v>
      </c>
      <c r="Q498" t="str">
        <f>"14218"</f>
        <v>14218</v>
      </c>
      <c r="AC498" t="s">
        <v>119</v>
      </c>
      <c r="AD498" t="s">
        <v>113</v>
      </c>
      <c r="AE498" t="s">
        <v>3098</v>
      </c>
      <c r="AG498" t="s">
        <v>121</v>
      </c>
    </row>
    <row r="499" spans="3:33" x14ac:dyDescent="0.25">
      <c r="C499" t="s">
        <v>3164</v>
      </c>
      <c r="G499" t="s">
        <v>3165</v>
      </c>
      <c r="H499" t="s">
        <v>3166</v>
      </c>
      <c r="J499" t="s">
        <v>3094</v>
      </c>
      <c r="K499" t="s">
        <v>303</v>
      </c>
      <c r="L499" t="s">
        <v>3095</v>
      </c>
      <c r="M499" t="s">
        <v>113</v>
      </c>
      <c r="N499" t="s">
        <v>3167</v>
      </c>
      <c r="O499" t="s">
        <v>3097</v>
      </c>
      <c r="P499" t="s">
        <v>117</v>
      </c>
      <c r="Q499" t="str">
        <f>"14204"</f>
        <v>14204</v>
      </c>
      <c r="AC499" t="s">
        <v>119</v>
      </c>
      <c r="AD499" t="s">
        <v>113</v>
      </c>
      <c r="AE499" t="s">
        <v>3098</v>
      </c>
      <c r="AG499" t="s">
        <v>121</v>
      </c>
    </row>
    <row r="500" spans="3:33" x14ac:dyDescent="0.25">
      <c r="C500" t="s">
        <v>3168</v>
      </c>
      <c r="G500" t="s">
        <v>3169</v>
      </c>
      <c r="H500" t="s">
        <v>3170</v>
      </c>
      <c r="J500" t="s">
        <v>3094</v>
      </c>
      <c r="K500" t="s">
        <v>303</v>
      </c>
      <c r="L500" t="s">
        <v>3095</v>
      </c>
      <c r="M500" t="s">
        <v>113</v>
      </c>
      <c r="N500" t="s">
        <v>3171</v>
      </c>
      <c r="O500" t="s">
        <v>3097</v>
      </c>
      <c r="P500" t="s">
        <v>117</v>
      </c>
      <c r="Q500" t="str">
        <f>"14204"</f>
        <v>14204</v>
      </c>
      <c r="AC500" t="s">
        <v>119</v>
      </c>
      <c r="AD500" t="s">
        <v>113</v>
      </c>
      <c r="AE500" t="s">
        <v>3098</v>
      </c>
      <c r="AG500" t="s">
        <v>121</v>
      </c>
    </row>
    <row r="501" spans="3:33" x14ac:dyDescent="0.25">
      <c r="C501" t="s">
        <v>3172</v>
      </c>
      <c r="G501" t="s">
        <v>3173</v>
      </c>
      <c r="H501" t="s">
        <v>3174</v>
      </c>
      <c r="J501" t="s">
        <v>3094</v>
      </c>
      <c r="K501" t="s">
        <v>303</v>
      </c>
      <c r="L501" t="s">
        <v>3095</v>
      </c>
      <c r="M501" t="s">
        <v>113</v>
      </c>
      <c r="N501" t="s">
        <v>3175</v>
      </c>
      <c r="O501" t="s">
        <v>3097</v>
      </c>
      <c r="P501" t="s">
        <v>117</v>
      </c>
      <c r="Q501" t="str">
        <f>"14204"</f>
        <v>14204</v>
      </c>
      <c r="AC501" t="s">
        <v>119</v>
      </c>
      <c r="AD501" t="s">
        <v>113</v>
      </c>
      <c r="AE501" t="s">
        <v>3098</v>
      </c>
      <c r="AG501" t="s">
        <v>121</v>
      </c>
    </row>
    <row r="502" spans="3:33" x14ac:dyDescent="0.25">
      <c r="C502" t="s">
        <v>3176</v>
      </c>
      <c r="G502" t="s">
        <v>3177</v>
      </c>
      <c r="H502" t="s">
        <v>3178</v>
      </c>
      <c r="J502" t="s">
        <v>3094</v>
      </c>
      <c r="K502" t="s">
        <v>303</v>
      </c>
      <c r="L502" t="s">
        <v>3095</v>
      </c>
      <c r="M502" t="s">
        <v>113</v>
      </c>
      <c r="N502" t="s">
        <v>3179</v>
      </c>
      <c r="O502" t="s">
        <v>3097</v>
      </c>
      <c r="P502" t="s">
        <v>117</v>
      </c>
      <c r="Q502" t="str">
        <f>"14211"</f>
        <v>14211</v>
      </c>
      <c r="AC502" t="s">
        <v>119</v>
      </c>
      <c r="AD502" t="s">
        <v>113</v>
      </c>
      <c r="AE502" t="s">
        <v>3098</v>
      </c>
      <c r="AG502" t="s">
        <v>121</v>
      </c>
    </row>
    <row r="503" spans="3:33" x14ac:dyDescent="0.25">
      <c r="C503" t="s">
        <v>3180</v>
      </c>
      <c r="G503" t="s">
        <v>3181</v>
      </c>
      <c r="H503" t="s">
        <v>3182</v>
      </c>
      <c r="J503" t="s">
        <v>3094</v>
      </c>
      <c r="K503" t="s">
        <v>303</v>
      </c>
      <c r="L503" t="s">
        <v>3095</v>
      </c>
      <c r="M503" t="s">
        <v>113</v>
      </c>
      <c r="N503" t="s">
        <v>3183</v>
      </c>
      <c r="O503" t="s">
        <v>3097</v>
      </c>
      <c r="P503" t="s">
        <v>117</v>
      </c>
      <c r="Q503" t="str">
        <f>"14204"</f>
        <v>14204</v>
      </c>
      <c r="AC503" t="s">
        <v>119</v>
      </c>
      <c r="AD503" t="s">
        <v>113</v>
      </c>
      <c r="AE503" t="s">
        <v>3098</v>
      </c>
      <c r="AG503" t="s">
        <v>121</v>
      </c>
    </row>
    <row r="504" spans="3:33" x14ac:dyDescent="0.25">
      <c r="C504" t="s">
        <v>3184</v>
      </c>
      <c r="G504" t="s">
        <v>3185</v>
      </c>
      <c r="H504" t="s">
        <v>3186</v>
      </c>
      <c r="J504" t="s">
        <v>3094</v>
      </c>
      <c r="K504" t="s">
        <v>303</v>
      </c>
      <c r="L504" t="s">
        <v>3095</v>
      </c>
      <c r="M504" t="s">
        <v>113</v>
      </c>
      <c r="N504" t="s">
        <v>3187</v>
      </c>
      <c r="O504" t="s">
        <v>3097</v>
      </c>
      <c r="P504" t="s">
        <v>117</v>
      </c>
      <c r="Q504" t="str">
        <f>"14208"</f>
        <v>14208</v>
      </c>
      <c r="AC504" t="s">
        <v>119</v>
      </c>
      <c r="AD504" t="s">
        <v>113</v>
      </c>
      <c r="AE504" t="s">
        <v>3098</v>
      </c>
      <c r="AG504" t="s">
        <v>121</v>
      </c>
    </row>
    <row r="505" spans="3:33" x14ac:dyDescent="0.25">
      <c r="C505" t="s">
        <v>3188</v>
      </c>
      <c r="G505" t="s">
        <v>3189</v>
      </c>
      <c r="H505" t="s">
        <v>3190</v>
      </c>
      <c r="J505" t="s">
        <v>3094</v>
      </c>
      <c r="K505" t="s">
        <v>303</v>
      </c>
      <c r="L505" t="s">
        <v>3095</v>
      </c>
      <c r="M505" t="s">
        <v>113</v>
      </c>
      <c r="N505" t="s">
        <v>3191</v>
      </c>
      <c r="O505" t="s">
        <v>3097</v>
      </c>
      <c r="P505" t="s">
        <v>117</v>
      </c>
      <c r="Q505" t="str">
        <f>"14213"</f>
        <v>14213</v>
      </c>
      <c r="AC505" t="s">
        <v>119</v>
      </c>
      <c r="AD505" t="s">
        <v>113</v>
      </c>
      <c r="AE505" t="s">
        <v>3098</v>
      </c>
      <c r="AG505" t="s">
        <v>121</v>
      </c>
    </row>
    <row r="506" spans="3:33" x14ac:dyDescent="0.25">
      <c r="C506" t="s">
        <v>3192</v>
      </c>
      <c r="G506" t="s">
        <v>3193</v>
      </c>
      <c r="H506" t="s">
        <v>3194</v>
      </c>
      <c r="J506" t="s">
        <v>3094</v>
      </c>
      <c r="K506" t="s">
        <v>303</v>
      </c>
      <c r="L506" t="s">
        <v>3095</v>
      </c>
      <c r="M506" t="s">
        <v>113</v>
      </c>
      <c r="N506" t="s">
        <v>3195</v>
      </c>
      <c r="O506" t="s">
        <v>3097</v>
      </c>
      <c r="P506" t="s">
        <v>117</v>
      </c>
      <c r="Q506" t="str">
        <f>"14215"</f>
        <v>14215</v>
      </c>
      <c r="AC506" t="s">
        <v>119</v>
      </c>
      <c r="AD506" t="s">
        <v>113</v>
      </c>
      <c r="AE506" t="s">
        <v>3098</v>
      </c>
      <c r="AG506" t="s">
        <v>121</v>
      </c>
    </row>
    <row r="507" spans="3:33" x14ac:dyDescent="0.25">
      <c r="C507" t="s">
        <v>3196</v>
      </c>
      <c r="G507" t="s">
        <v>3197</v>
      </c>
      <c r="H507" t="s">
        <v>3198</v>
      </c>
      <c r="J507" t="s">
        <v>3094</v>
      </c>
      <c r="K507" t="s">
        <v>303</v>
      </c>
      <c r="L507" t="s">
        <v>3095</v>
      </c>
      <c r="M507" t="s">
        <v>113</v>
      </c>
      <c r="N507" t="s">
        <v>3199</v>
      </c>
      <c r="O507" t="s">
        <v>3097</v>
      </c>
      <c r="P507" t="s">
        <v>117</v>
      </c>
      <c r="Q507" t="str">
        <f>"14215"</f>
        <v>14215</v>
      </c>
      <c r="AC507" t="s">
        <v>119</v>
      </c>
      <c r="AD507" t="s">
        <v>113</v>
      </c>
      <c r="AE507" t="s">
        <v>3098</v>
      </c>
      <c r="AG507" t="s">
        <v>121</v>
      </c>
    </row>
    <row r="508" spans="3:33" x14ac:dyDescent="0.25">
      <c r="C508" t="s">
        <v>3200</v>
      </c>
      <c r="G508" t="s">
        <v>3201</v>
      </c>
      <c r="H508" t="s">
        <v>3202</v>
      </c>
      <c r="J508" t="s">
        <v>3094</v>
      </c>
      <c r="K508" t="s">
        <v>303</v>
      </c>
      <c r="L508" t="s">
        <v>3095</v>
      </c>
      <c r="M508" t="s">
        <v>113</v>
      </c>
      <c r="N508" t="s">
        <v>3203</v>
      </c>
      <c r="O508" t="s">
        <v>3097</v>
      </c>
      <c r="P508" t="s">
        <v>117</v>
      </c>
      <c r="Q508" t="str">
        <f>"14215"</f>
        <v>14215</v>
      </c>
      <c r="AC508" t="s">
        <v>119</v>
      </c>
      <c r="AD508" t="s">
        <v>113</v>
      </c>
      <c r="AE508" t="s">
        <v>3098</v>
      </c>
      <c r="AG508" t="s">
        <v>121</v>
      </c>
    </row>
    <row r="509" spans="3:33" x14ac:dyDescent="0.25">
      <c r="C509" t="s">
        <v>3204</v>
      </c>
      <c r="G509" t="s">
        <v>3205</v>
      </c>
      <c r="H509" t="s">
        <v>3206</v>
      </c>
      <c r="J509" t="s">
        <v>3094</v>
      </c>
      <c r="K509" t="s">
        <v>303</v>
      </c>
      <c r="L509" t="s">
        <v>3095</v>
      </c>
      <c r="M509" t="s">
        <v>113</v>
      </c>
      <c r="N509" t="s">
        <v>3207</v>
      </c>
      <c r="O509" t="s">
        <v>3097</v>
      </c>
      <c r="P509" t="s">
        <v>117</v>
      </c>
      <c r="Q509" t="str">
        <f>"14211"</f>
        <v>14211</v>
      </c>
      <c r="AC509" t="s">
        <v>119</v>
      </c>
      <c r="AD509" t="s">
        <v>113</v>
      </c>
      <c r="AE509" t="s">
        <v>3098</v>
      </c>
      <c r="AG509" t="s">
        <v>121</v>
      </c>
    </row>
    <row r="510" spans="3:33" x14ac:dyDescent="0.25">
      <c r="C510" t="s">
        <v>3208</v>
      </c>
      <c r="G510" t="s">
        <v>3209</v>
      </c>
      <c r="H510" t="s">
        <v>3210</v>
      </c>
      <c r="J510" t="s">
        <v>3094</v>
      </c>
      <c r="K510" t="s">
        <v>303</v>
      </c>
      <c r="L510" t="s">
        <v>3095</v>
      </c>
      <c r="M510" t="s">
        <v>113</v>
      </c>
      <c r="N510" t="s">
        <v>3211</v>
      </c>
      <c r="O510" t="s">
        <v>3097</v>
      </c>
      <c r="P510" t="s">
        <v>117</v>
      </c>
      <c r="Q510" t="str">
        <f>"14209"</f>
        <v>14209</v>
      </c>
      <c r="AC510" t="s">
        <v>119</v>
      </c>
      <c r="AD510" t="s">
        <v>113</v>
      </c>
      <c r="AE510" t="s">
        <v>3098</v>
      </c>
      <c r="AG510" t="s">
        <v>121</v>
      </c>
    </row>
    <row r="511" spans="3:33" x14ac:dyDescent="0.25">
      <c r="C511" t="s">
        <v>3212</v>
      </c>
      <c r="G511" t="s">
        <v>3213</v>
      </c>
      <c r="H511" t="s">
        <v>3214</v>
      </c>
      <c r="J511" t="s">
        <v>3094</v>
      </c>
      <c r="K511" t="s">
        <v>303</v>
      </c>
      <c r="L511" t="s">
        <v>3095</v>
      </c>
      <c r="M511" t="s">
        <v>113</v>
      </c>
      <c r="N511" t="s">
        <v>3215</v>
      </c>
      <c r="O511" t="s">
        <v>3097</v>
      </c>
      <c r="P511" t="s">
        <v>117</v>
      </c>
      <c r="Q511" t="str">
        <f>"14204"</f>
        <v>14204</v>
      </c>
      <c r="AC511" t="s">
        <v>119</v>
      </c>
      <c r="AD511" t="s">
        <v>113</v>
      </c>
      <c r="AE511" t="s">
        <v>3098</v>
      </c>
      <c r="AG511" t="s">
        <v>121</v>
      </c>
    </row>
    <row r="512" spans="3:33" x14ac:dyDescent="0.25">
      <c r="C512" t="s">
        <v>3216</v>
      </c>
      <c r="G512" t="s">
        <v>3217</v>
      </c>
      <c r="H512" t="s">
        <v>3218</v>
      </c>
      <c r="J512" t="s">
        <v>3094</v>
      </c>
      <c r="K512" t="s">
        <v>303</v>
      </c>
      <c r="L512" t="s">
        <v>3095</v>
      </c>
      <c r="M512" t="s">
        <v>113</v>
      </c>
      <c r="N512" t="s">
        <v>3219</v>
      </c>
      <c r="O512" t="s">
        <v>3097</v>
      </c>
      <c r="P512" t="s">
        <v>117</v>
      </c>
      <c r="Q512" t="str">
        <f>"14209"</f>
        <v>14209</v>
      </c>
      <c r="AC512" t="s">
        <v>119</v>
      </c>
      <c r="AD512" t="s">
        <v>113</v>
      </c>
      <c r="AE512" t="s">
        <v>3098</v>
      </c>
      <c r="AG512" t="s">
        <v>121</v>
      </c>
    </row>
    <row r="513" spans="1:33" x14ac:dyDescent="0.25">
      <c r="C513" t="s">
        <v>3220</v>
      </c>
      <c r="G513" t="s">
        <v>3221</v>
      </c>
      <c r="H513" t="s">
        <v>3222</v>
      </c>
      <c r="J513" t="s">
        <v>3094</v>
      </c>
      <c r="K513" t="s">
        <v>303</v>
      </c>
      <c r="L513" t="s">
        <v>3095</v>
      </c>
      <c r="M513" t="s">
        <v>113</v>
      </c>
      <c r="N513" t="s">
        <v>3223</v>
      </c>
      <c r="O513" t="s">
        <v>3097</v>
      </c>
      <c r="P513" t="s">
        <v>117</v>
      </c>
      <c r="Q513" t="str">
        <f>"14204"</f>
        <v>14204</v>
      </c>
      <c r="AC513" t="s">
        <v>119</v>
      </c>
      <c r="AD513" t="s">
        <v>113</v>
      </c>
      <c r="AE513" t="s">
        <v>3098</v>
      </c>
      <c r="AG513" t="s">
        <v>121</v>
      </c>
    </row>
    <row r="514" spans="1:33" x14ac:dyDescent="0.25">
      <c r="C514" t="s">
        <v>3224</v>
      </c>
      <c r="G514" t="s">
        <v>3225</v>
      </c>
      <c r="H514" t="s">
        <v>3226</v>
      </c>
      <c r="J514" t="s">
        <v>3094</v>
      </c>
      <c r="K514" t="s">
        <v>303</v>
      </c>
      <c r="L514" t="s">
        <v>3095</v>
      </c>
      <c r="M514" t="s">
        <v>113</v>
      </c>
      <c r="N514" t="s">
        <v>3227</v>
      </c>
      <c r="O514" t="s">
        <v>3097</v>
      </c>
      <c r="P514" t="s">
        <v>117</v>
      </c>
      <c r="Q514" t="str">
        <f>"14204"</f>
        <v>14204</v>
      </c>
      <c r="AC514" t="s">
        <v>119</v>
      </c>
      <c r="AD514" t="s">
        <v>113</v>
      </c>
      <c r="AE514" t="s">
        <v>3098</v>
      </c>
      <c r="AG514" t="s">
        <v>121</v>
      </c>
    </row>
    <row r="515" spans="1:33" x14ac:dyDescent="0.25">
      <c r="C515" t="s">
        <v>3228</v>
      </c>
      <c r="G515" t="s">
        <v>3229</v>
      </c>
      <c r="H515" t="s">
        <v>3230</v>
      </c>
      <c r="J515" t="s">
        <v>3094</v>
      </c>
      <c r="K515" t="s">
        <v>303</v>
      </c>
      <c r="L515" t="s">
        <v>3095</v>
      </c>
      <c r="M515" t="s">
        <v>113</v>
      </c>
      <c r="N515" t="s">
        <v>3231</v>
      </c>
      <c r="O515" t="s">
        <v>3097</v>
      </c>
      <c r="P515" t="s">
        <v>117</v>
      </c>
      <c r="Q515" t="str">
        <f>"14212"</f>
        <v>14212</v>
      </c>
      <c r="AC515" t="s">
        <v>119</v>
      </c>
      <c r="AD515" t="s">
        <v>113</v>
      </c>
      <c r="AE515" t="s">
        <v>3098</v>
      </c>
      <c r="AG515" t="s">
        <v>121</v>
      </c>
    </row>
    <row r="516" spans="1:33" x14ac:dyDescent="0.25">
      <c r="C516" t="s">
        <v>3232</v>
      </c>
      <c r="G516" t="s">
        <v>3233</v>
      </c>
      <c r="H516" t="s">
        <v>3234</v>
      </c>
      <c r="J516" t="s">
        <v>3094</v>
      </c>
      <c r="K516" t="s">
        <v>303</v>
      </c>
      <c r="L516" t="s">
        <v>3095</v>
      </c>
      <c r="M516" t="s">
        <v>113</v>
      </c>
      <c r="N516" t="s">
        <v>3235</v>
      </c>
      <c r="O516" t="s">
        <v>3139</v>
      </c>
      <c r="P516" t="s">
        <v>117</v>
      </c>
      <c r="Q516" t="str">
        <f>"14218"</f>
        <v>14218</v>
      </c>
      <c r="AC516" t="s">
        <v>119</v>
      </c>
      <c r="AD516" t="s">
        <v>113</v>
      </c>
      <c r="AE516" t="s">
        <v>3098</v>
      </c>
      <c r="AG516" t="s">
        <v>121</v>
      </c>
    </row>
    <row r="517" spans="1:33" x14ac:dyDescent="0.25">
      <c r="C517" t="s">
        <v>3236</v>
      </c>
      <c r="G517" t="s">
        <v>3237</v>
      </c>
      <c r="H517" t="s">
        <v>3234</v>
      </c>
      <c r="J517" t="s">
        <v>3094</v>
      </c>
      <c r="K517" t="s">
        <v>303</v>
      </c>
      <c r="L517" t="s">
        <v>3095</v>
      </c>
      <c r="M517" t="s">
        <v>113</v>
      </c>
      <c r="N517" t="s">
        <v>3238</v>
      </c>
      <c r="O517" t="s">
        <v>3097</v>
      </c>
      <c r="P517" t="s">
        <v>117</v>
      </c>
      <c r="Q517" t="str">
        <f>"14215"</f>
        <v>14215</v>
      </c>
      <c r="AC517" t="s">
        <v>119</v>
      </c>
      <c r="AD517" t="s">
        <v>113</v>
      </c>
      <c r="AE517" t="s">
        <v>3098</v>
      </c>
      <c r="AG517" t="s">
        <v>121</v>
      </c>
    </row>
    <row r="518" spans="1:33" x14ac:dyDescent="0.25">
      <c r="C518" t="s">
        <v>3239</v>
      </c>
      <c r="G518" t="s">
        <v>3240</v>
      </c>
      <c r="H518" t="s">
        <v>3241</v>
      </c>
      <c r="J518" t="s">
        <v>3094</v>
      </c>
      <c r="K518" t="s">
        <v>303</v>
      </c>
      <c r="L518" t="s">
        <v>3095</v>
      </c>
      <c r="M518" t="s">
        <v>113</v>
      </c>
      <c r="N518" t="s">
        <v>3242</v>
      </c>
      <c r="O518" t="s">
        <v>3097</v>
      </c>
      <c r="P518" t="s">
        <v>117</v>
      </c>
      <c r="Q518" t="str">
        <f>"14305"</f>
        <v>14305</v>
      </c>
      <c r="AC518" t="s">
        <v>119</v>
      </c>
      <c r="AD518" t="s">
        <v>113</v>
      </c>
      <c r="AE518" t="s">
        <v>3098</v>
      </c>
      <c r="AG518" t="s">
        <v>121</v>
      </c>
    </row>
    <row r="519" spans="1:33" x14ac:dyDescent="0.25">
      <c r="A519" t="str">
        <f>"1457324469"</f>
        <v>1457324469</v>
      </c>
      <c r="B519" t="str">
        <f>"02516916"</f>
        <v>02516916</v>
      </c>
      <c r="C519" t="s">
        <v>3243</v>
      </c>
      <c r="D519" t="s">
        <v>3244</v>
      </c>
      <c r="E519" t="s">
        <v>3245</v>
      </c>
      <c r="G519" t="s">
        <v>3243</v>
      </c>
      <c r="H519" t="s">
        <v>3246</v>
      </c>
      <c r="J519" t="s">
        <v>3247</v>
      </c>
      <c r="L519" t="s">
        <v>142</v>
      </c>
      <c r="M519" t="s">
        <v>113</v>
      </c>
      <c r="R519" t="s">
        <v>3248</v>
      </c>
      <c r="W519" t="s">
        <v>3245</v>
      </c>
      <c r="X519" t="s">
        <v>3249</v>
      </c>
      <c r="Y519" t="s">
        <v>116</v>
      </c>
      <c r="Z519" t="s">
        <v>117</v>
      </c>
      <c r="AA519" t="str">
        <f>"14209-1120"</f>
        <v>14209-1120</v>
      </c>
      <c r="AB519" t="s">
        <v>118</v>
      </c>
      <c r="AC519" t="s">
        <v>119</v>
      </c>
      <c r="AD519" t="s">
        <v>113</v>
      </c>
      <c r="AE519" t="s">
        <v>120</v>
      </c>
      <c r="AG519" t="s">
        <v>121</v>
      </c>
    </row>
    <row r="520" spans="1:33" x14ac:dyDescent="0.25">
      <c r="A520" t="str">
        <f>"1457325300"</f>
        <v>1457325300</v>
      </c>
      <c r="B520" t="str">
        <f>"01365071"</f>
        <v>01365071</v>
      </c>
      <c r="C520" t="s">
        <v>3250</v>
      </c>
      <c r="D520" t="s">
        <v>3251</v>
      </c>
      <c r="E520" t="s">
        <v>3252</v>
      </c>
      <c r="G520" t="s">
        <v>3250</v>
      </c>
      <c r="H520" t="s">
        <v>3253</v>
      </c>
      <c r="J520" t="s">
        <v>3254</v>
      </c>
      <c r="L520" t="s">
        <v>142</v>
      </c>
      <c r="M520" t="s">
        <v>199</v>
      </c>
      <c r="R520" t="s">
        <v>3255</v>
      </c>
      <c r="W520" t="s">
        <v>3252</v>
      </c>
      <c r="X520" t="s">
        <v>216</v>
      </c>
      <c r="Y520" t="s">
        <v>116</v>
      </c>
      <c r="Z520" t="s">
        <v>117</v>
      </c>
      <c r="AA520" t="str">
        <f>"14222-2006"</f>
        <v>14222-2006</v>
      </c>
      <c r="AB520" t="s">
        <v>118</v>
      </c>
      <c r="AC520" t="s">
        <v>119</v>
      </c>
      <c r="AD520" t="s">
        <v>113</v>
      </c>
      <c r="AE520" t="s">
        <v>120</v>
      </c>
      <c r="AG520" t="s">
        <v>121</v>
      </c>
    </row>
    <row r="521" spans="1:33" x14ac:dyDescent="0.25">
      <c r="A521" t="str">
        <f>"1457327751"</f>
        <v>1457327751</v>
      </c>
      <c r="B521" t="str">
        <f>"02202739"</f>
        <v>02202739</v>
      </c>
      <c r="C521" t="s">
        <v>3256</v>
      </c>
      <c r="D521" t="s">
        <v>3257</v>
      </c>
      <c r="E521" t="s">
        <v>3258</v>
      </c>
      <c r="G521" t="s">
        <v>3256</v>
      </c>
      <c r="H521" t="s">
        <v>744</v>
      </c>
      <c r="J521" t="s">
        <v>3259</v>
      </c>
      <c r="L521" t="s">
        <v>150</v>
      </c>
      <c r="M521" t="s">
        <v>113</v>
      </c>
      <c r="R521" t="s">
        <v>3260</v>
      </c>
      <c r="W521" t="s">
        <v>3258</v>
      </c>
      <c r="X521" t="s">
        <v>3261</v>
      </c>
      <c r="Y521" t="s">
        <v>116</v>
      </c>
      <c r="Z521" t="s">
        <v>117</v>
      </c>
      <c r="AA521" t="str">
        <f>"14228-2044"</f>
        <v>14228-2044</v>
      </c>
      <c r="AB521" t="s">
        <v>118</v>
      </c>
      <c r="AC521" t="s">
        <v>119</v>
      </c>
      <c r="AD521" t="s">
        <v>113</v>
      </c>
      <c r="AE521" t="s">
        <v>120</v>
      </c>
      <c r="AG521" t="s">
        <v>121</v>
      </c>
    </row>
    <row r="522" spans="1:33" x14ac:dyDescent="0.25">
      <c r="A522" t="str">
        <f>"1457328114"</f>
        <v>1457328114</v>
      </c>
      <c r="B522" t="str">
        <f>"01564185"</f>
        <v>01564185</v>
      </c>
      <c r="C522" t="s">
        <v>3262</v>
      </c>
      <c r="D522" t="s">
        <v>3263</v>
      </c>
      <c r="E522" t="s">
        <v>3264</v>
      </c>
      <c r="G522" t="s">
        <v>3265</v>
      </c>
      <c r="H522" t="s">
        <v>3266</v>
      </c>
      <c r="J522" t="s">
        <v>3267</v>
      </c>
      <c r="L522" t="s">
        <v>112</v>
      </c>
      <c r="M522" t="s">
        <v>113</v>
      </c>
      <c r="R522" t="s">
        <v>3268</v>
      </c>
      <c r="W522" t="s">
        <v>3264</v>
      </c>
      <c r="X522" t="s">
        <v>3269</v>
      </c>
      <c r="Y522" t="s">
        <v>116</v>
      </c>
      <c r="Z522" t="s">
        <v>117</v>
      </c>
      <c r="AA522" t="str">
        <f>"14222-2006"</f>
        <v>14222-2006</v>
      </c>
      <c r="AB522" t="s">
        <v>118</v>
      </c>
      <c r="AC522" t="s">
        <v>119</v>
      </c>
      <c r="AD522" t="s">
        <v>113</v>
      </c>
      <c r="AE522" t="s">
        <v>120</v>
      </c>
      <c r="AG522" t="s">
        <v>121</v>
      </c>
    </row>
    <row r="523" spans="1:33" x14ac:dyDescent="0.25">
      <c r="A523" t="str">
        <f>"1457333296"</f>
        <v>1457333296</v>
      </c>
      <c r="B523" t="str">
        <f>"01275516"</f>
        <v>01275516</v>
      </c>
      <c r="C523" t="s">
        <v>3270</v>
      </c>
      <c r="D523" t="s">
        <v>3271</v>
      </c>
      <c r="E523" t="s">
        <v>3272</v>
      </c>
      <c r="G523" t="s">
        <v>3273</v>
      </c>
      <c r="H523" t="s">
        <v>1308</v>
      </c>
      <c r="J523" t="s">
        <v>3274</v>
      </c>
      <c r="L523" t="s">
        <v>112</v>
      </c>
      <c r="M523" t="s">
        <v>113</v>
      </c>
      <c r="R523" t="s">
        <v>3275</v>
      </c>
      <c r="W523" t="s">
        <v>3272</v>
      </c>
      <c r="X523" t="s">
        <v>3276</v>
      </c>
      <c r="Y523" t="s">
        <v>240</v>
      </c>
      <c r="Z523" t="s">
        <v>117</v>
      </c>
      <c r="AA523" t="str">
        <f>"14221-2644"</f>
        <v>14221-2644</v>
      </c>
      <c r="AB523" t="s">
        <v>118</v>
      </c>
      <c r="AC523" t="s">
        <v>119</v>
      </c>
      <c r="AD523" t="s">
        <v>113</v>
      </c>
      <c r="AE523" t="s">
        <v>120</v>
      </c>
      <c r="AG523" t="s">
        <v>121</v>
      </c>
    </row>
    <row r="524" spans="1:33" x14ac:dyDescent="0.25">
      <c r="A524" t="str">
        <f>"1457337388"</f>
        <v>1457337388</v>
      </c>
      <c r="B524" t="str">
        <f>"01241487"</f>
        <v>01241487</v>
      </c>
      <c r="C524" t="s">
        <v>3277</v>
      </c>
      <c r="D524" t="s">
        <v>3278</v>
      </c>
      <c r="E524" t="s">
        <v>3279</v>
      </c>
      <c r="G524" t="s">
        <v>3277</v>
      </c>
      <c r="H524" t="s">
        <v>1006</v>
      </c>
      <c r="J524" t="s">
        <v>3280</v>
      </c>
      <c r="L524" t="s">
        <v>142</v>
      </c>
      <c r="M524" t="s">
        <v>113</v>
      </c>
      <c r="R524" t="s">
        <v>3281</v>
      </c>
      <c r="W524" t="s">
        <v>3279</v>
      </c>
      <c r="X524" t="s">
        <v>3282</v>
      </c>
      <c r="Y524" t="s">
        <v>153</v>
      </c>
      <c r="Z524" t="s">
        <v>117</v>
      </c>
      <c r="AA524" t="str">
        <f>"14304-3080"</f>
        <v>14304-3080</v>
      </c>
      <c r="AB524" t="s">
        <v>118</v>
      </c>
      <c r="AC524" t="s">
        <v>119</v>
      </c>
      <c r="AD524" t="s">
        <v>113</v>
      </c>
      <c r="AE524" t="s">
        <v>120</v>
      </c>
      <c r="AG524" t="s">
        <v>121</v>
      </c>
    </row>
    <row r="525" spans="1:33" x14ac:dyDescent="0.25">
      <c r="A525" t="str">
        <f>"1457340689"</f>
        <v>1457340689</v>
      </c>
      <c r="B525" t="str">
        <f>"02280404"</f>
        <v>02280404</v>
      </c>
      <c r="C525" t="s">
        <v>3283</v>
      </c>
      <c r="D525" t="s">
        <v>3284</v>
      </c>
      <c r="E525" t="s">
        <v>3285</v>
      </c>
      <c r="G525" t="s">
        <v>3283</v>
      </c>
      <c r="H525" t="s">
        <v>205</v>
      </c>
      <c r="J525" t="s">
        <v>3286</v>
      </c>
      <c r="L525" t="s">
        <v>142</v>
      </c>
      <c r="M525" t="s">
        <v>113</v>
      </c>
      <c r="R525" t="s">
        <v>3287</v>
      </c>
      <c r="W525" t="s">
        <v>3285</v>
      </c>
      <c r="X525" t="s">
        <v>3288</v>
      </c>
      <c r="Y525" t="s">
        <v>129</v>
      </c>
      <c r="Z525" t="s">
        <v>117</v>
      </c>
      <c r="AA525" t="str">
        <f>"14224-3445"</f>
        <v>14224-3445</v>
      </c>
      <c r="AB525" t="s">
        <v>118</v>
      </c>
      <c r="AC525" t="s">
        <v>119</v>
      </c>
      <c r="AD525" t="s">
        <v>113</v>
      </c>
      <c r="AE525" t="s">
        <v>120</v>
      </c>
      <c r="AG525" t="s">
        <v>121</v>
      </c>
    </row>
    <row r="526" spans="1:33" x14ac:dyDescent="0.25">
      <c r="A526" t="str">
        <f>"1568459725"</f>
        <v>1568459725</v>
      </c>
      <c r="B526" t="str">
        <f>"00764181"</f>
        <v>00764181</v>
      </c>
      <c r="C526" t="s">
        <v>24761</v>
      </c>
      <c r="D526" t="s">
        <v>24762</v>
      </c>
      <c r="E526" t="s">
        <v>24763</v>
      </c>
      <c r="G526" t="s">
        <v>24717</v>
      </c>
      <c r="H526" t="s">
        <v>24718</v>
      </c>
      <c r="J526" t="s">
        <v>24719</v>
      </c>
      <c r="L526" t="s">
        <v>19</v>
      </c>
      <c r="M526" t="s">
        <v>199</v>
      </c>
      <c r="R526" t="s">
        <v>24764</v>
      </c>
      <c r="W526" t="s">
        <v>24765</v>
      </c>
      <c r="X526" t="s">
        <v>24766</v>
      </c>
      <c r="Y526" t="s">
        <v>2946</v>
      </c>
      <c r="Z526" t="s">
        <v>117</v>
      </c>
      <c r="AA526" t="str">
        <f>"14075-1900"</f>
        <v>14075-1900</v>
      </c>
      <c r="AB526" t="s">
        <v>282</v>
      </c>
      <c r="AC526" t="s">
        <v>119</v>
      </c>
      <c r="AD526" t="s">
        <v>113</v>
      </c>
      <c r="AE526" t="s">
        <v>120</v>
      </c>
      <c r="AG526" t="s">
        <v>121</v>
      </c>
    </row>
    <row r="527" spans="1:33" x14ac:dyDescent="0.25">
      <c r="A527" t="str">
        <f>"1457355364"</f>
        <v>1457355364</v>
      </c>
      <c r="B527" t="str">
        <f>"01843434"</f>
        <v>01843434</v>
      </c>
      <c r="C527" t="s">
        <v>3295</v>
      </c>
      <c r="D527" t="s">
        <v>3296</v>
      </c>
      <c r="E527" t="s">
        <v>3297</v>
      </c>
      <c r="G527" t="s">
        <v>3295</v>
      </c>
      <c r="H527" t="s">
        <v>3298</v>
      </c>
      <c r="J527" t="s">
        <v>3299</v>
      </c>
      <c r="L527" t="s">
        <v>142</v>
      </c>
      <c r="M527" t="s">
        <v>113</v>
      </c>
      <c r="R527" t="s">
        <v>3297</v>
      </c>
      <c r="W527" t="s">
        <v>3300</v>
      </c>
      <c r="X527" t="s">
        <v>3301</v>
      </c>
      <c r="Y527" t="s">
        <v>116</v>
      </c>
      <c r="Z527" t="s">
        <v>117</v>
      </c>
      <c r="AA527" t="str">
        <f>"14220-2039"</f>
        <v>14220-2039</v>
      </c>
      <c r="AB527" t="s">
        <v>118</v>
      </c>
      <c r="AC527" t="s">
        <v>119</v>
      </c>
      <c r="AD527" t="s">
        <v>113</v>
      </c>
      <c r="AE527" t="s">
        <v>120</v>
      </c>
      <c r="AG527" t="s">
        <v>121</v>
      </c>
    </row>
    <row r="528" spans="1:33" x14ac:dyDescent="0.25">
      <c r="A528" t="str">
        <f>"1457358780"</f>
        <v>1457358780</v>
      </c>
      <c r="B528" t="str">
        <f>"01194421"</f>
        <v>01194421</v>
      </c>
      <c r="C528" t="s">
        <v>3302</v>
      </c>
      <c r="D528" t="s">
        <v>3303</v>
      </c>
      <c r="E528" t="s">
        <v>3304</v>
      </c>
      <c r="G528" t="s">
        <v>3302</v>
      </c>
      <c r="H528" t="s">
        <v>3305</v>
      </c>
      <c r="J528" t="s">
        <v>3306</v>
      </c>
      <c r="L528" t="s">
        <v>142</v>
      </c>
      <c r="M528" t="s">
        <v>113</v>
      </c>
      <c r="R528" t="s">
        <v>3307</v>
      </c>
      <c r="W528" t="s">
        <v>3304</v>
      </c>
      <c r="Y528" t="s">
        <v>116</v>
      </c>
      <c r="Z528" t="s">
        <v>117</v>
      </c>
      <c r="AA528" t="str">
        <f>"14209-1120"</f>
        <v>14209-1120</v>
      </c>
      <c r="AB528" t="s">
        <v>118</v>
      </c>
      <c r="AC528" t="s">
        <v>119</v>
      </c>
      <c r="AD528" t="s">
        <v>113</v>
      </c>
      <c r="AE528" t="s">
        <v>120</v>
      </c>
      <c r="AG528" t="s">
        <v>121</v>
      </c>
    </row>
    <row r="529" spans="1:33" x14ac:dyDescent="0.25">
      <c r="A529" t="str">
        <f>"1457368094"</f>
        <v>1457368094</v>
      </c>
      <c r="B529" t="str">
        <f>"01794958"</f>
        <v>01794958</v>
      </c>
      <c r="C529" t="s">
        <v>3308</v>
      </c>
      <c r="D529" t="s">
        <v>3309</v>
      </c>
      <c r="E529" t="s">
        <v>3310</v>
      </c>
      <c r="G529" t="s">
        <v>3308</v>
      </c>
      <c r="H529" t="s">
        <v>3311</v>
      </c>
      <c r="J529" t="s">
        <v>3312</v>
      </c>
      <c r="L529" t="s">
        <v>142</v>
      </c>
      <c r="M529" t="s">
        <v>113</v>
      </c>
      <c r="R529" t="s">
        <v>3313</v>
      </c>
      <c r="W529" t="s">
        <v>3310</v>
      </c>
      <c r="X529" t="s">
        <v>3314</v>
      </c>
      <c r="Y529" t="s">
        <v>192</v>
      </c>
      <c r="Z529" t="s">
        <v>117</v>
      </c>
      <c r="AA529" t="str">
        <f>"14020"</f>
        <v>14020</v>
      </c>
      <c r="AB529" t="s">
        <v>118</v>
      </c>
      <c r="AC529" t="s">
        <v>119</v>
      </c>
      <c r="AD529" t="s">
        <v>113</v>
      </c>
      <c r="AE529" t="s">
        <v>120</v>
      </c>
      <c r="AG529" t="s">
        <v>121</v>
      </c>
    </row>
    <row r="530" spans="1:33" x14ac:dyDescent="0.25">
      <c r="A530" t="str">
        <f>"1457380826"</f>
        <v>1457380826</v>
      </c>
      <c r="B530" t="str">
        <f>"02166489"</f>
        <v>02166489</v>
      </c>
      <c r="C530" t="s">
        <v>3315</v>
      </c>
      <c r="D530" t="s">
        <v>3316</v>
      </c>
      <c r="E530" t="s">
        <v>3317</v>
      </c>
      <c r="G530" t="s">
        <v>3315</v>
      </c>
      <c r="H530" t="s">
        <v>1478</v>
      </c>
      <c r="J530" t="s">
        <v>3318</v>
      </c>
      <c r="L530" t="s">
        <v>142</v>
      </c>
      <c r="M530" t="s">
        <v>113</v>
      </c>
      <c r="R530" t="s">
        <v>3319</v>
      </c>
      <c r="W530" t="s">
        <v>3320</v>
      </c>
      <c r="X530" t="s">
        <v>253</v>
      </c>
      <c r="Y530" t="s">
        <v>116</v>
      </c>
      <c r="Z530" t="s">
        <v>117</v>
      </c>
      <c r="AA530" t="str">
        <f>"14215-3021"</f>
        <v>14215-3021</v>
      </c>
      <c r="AB530" t="s">
        <v>118</v>
      </c>
      <c r="AC530" t="s">
        <v>119</v>
      </c>
      <c r="AD530" t="s">
        <v>113</v>
      </c>
      <c r="AE530" t="s">
        <v>120</v>
      </c>
      <c r="AG530" t="s">
        <v>121</v>
      </c>
    </row>
    <row r="531" spans="1:33" x14ac:dyDescent="0.25">
      <c r="A531" t="str">
        <f>"1457389868"</f>
        <v>1457389868</v>
      </c>
      <c r="B531" t="str">
        <f>"02629490"</f>
        <v>02629490</v>
      </c>
      <c r="C531" t="s">
        <v>3321</v>
      </c>
      <c r="D531" t="s">
        <v>3322</v>
      </c>
      <c r="E531" t="s">
        <v>3323</v>
      </c>
      <c r="G531" t="s">
        <v>3324</v>
      </c>
      <c r="H531" t="s">
        <v>3325</v>
      </c>
      <c r="L531" t="s">
        <v>112</v>
      </c>
      <c r="M531" t="s">
        <v>113</v>
      </c>
      <c r="R531" t="s">
        <v>3324</v>
      </c>
      <c r="W531" t="s">
        <v>3323</v>
      </c>
      <c r="X531" t="s">
        <v>3323</v>
      </c>
      <c r="Y531" t="s">
        <v>387</v>
      </c>
      <c r="Z531" t="s">
        <v>117</v>
      </c>
      <c r="AA531" t="str">
        <f>"14787-1104"</f>
        <v>14787-1104</v>
      </c>
      <c r="AB531" t="s">
        <v>528</v>
      </c>
      <c r="AC531" t="s">
        <v>119</v>
      </c>
      <c r="AD531" t="s">
        <v>113</v>
      </c>
      <c r="AE531" t="s">
        <v>120</v>
      </c>
      <c r="AG531" t="s">
        <v>121</v>
      </c>
    </row>
    <row r="532" spans="1:33" x14ac:dyDescent="0.25">
      <c r="A532" t="str">
        <f>"1568634640"</f>
        <v>1568634640</v>
      </c>
      <c r="C532" t="s">
        <v>3326</v>
      </c>
      <c r="G532" t="s">
        <v>3327</v>
      </c>
      <c r="H532" t="s">
        <v>3328</v>
      </c>
      <c r="J532" t="s">
        <v>3329</v>
      </c>
      <c r="K532" t="s">
        <v>303</v>
      </c>
      <c r="L532" t="s">
        <v>112</v>
      </c>
      <c r="M532" t="s">
        <v>113</v>
      </c>
      <c r="R532" t="s">
        <v>3330</v>
      </c>
      <c r="S532" t="s">
        <v>3331</v>
      </c>
      <c r="T532" t="s">
        <v>116</v>
      </c>
      <c r="U532" t="s">
        <v>117</v>
      </c>
      <c r="V532" t="str">
        <f>"142011886"</f>
        <v>142011886</v>
      </c>
      <c r="AC532" t="s">
        <v>119</v>
      </c>
      <c r="AD532" t="s">
        <v>113</v>
      </c>
      <c r="AE532" t="s">
        <v>306</v>
      </c>
      <c r="AG532" t="s">
        <v>121</v>
      </c>
    </row>
    <row r="533" spans="1:33" x14ac:dyDescent="0.25">
      <c r="A533" t="str">
        <f>"1568646909"</f>
        <v>1568646909</v>
      </c>
      <c r="B533" t="str">
        <f>"02972154"</f>
        <v>02972154</v>
      </c>
      <c r="C533" t="s">
        <v>3332</v>
      </c>
      <c r="D533" t="s">
        <v>3333</v>
      </c>
      <c r="E533" t="s">
        <v>3334</v>
      </c>
      <c r="G533" t="s">
        <v>3335</v>
      </c>
      <c r="H533" t="s">
        <v>3336</v>
      </c>
      <c r="J533" t="s">
        <v>3337</v>
      </c>
      <c r="L533" t="s">
        <v>112</v>
      </c>
      <c r="M533" t="s">
        <v>113</v>
      </c>
      <c r="R533" t="s">
        <v>3338</v>
      </c>
      <c r="W533" t="s">
        <v>3339</v>
      </c>
      <c r="X533" t="s">
        <v>3340</v>
      </c>
      <c r="Y533" t="s">
        <v>318</v>
      </c>
      <c r="Z533" t="s">
        <v>117</v>
      </c>
      <c r="AA533" t="str">
        <f>"14227-1443"</f>
        <v>14227-1443</v>
      </c>
      <c r="AB533" t="s">
        <v>118</v>
      </c>
      <c r="AC533" t="s">
        <v>119</v>
      </c>
      <c r="AD533" t="s">
        <v>113</v>
      </c>
      <c r="AE533" t="s">
        <v>120</v>
      </c>
      <c r="AG533" t="s">
        <v>121</v>
      </c>
    </row>
    <row r="534" spans="1:33" x14ac:dyDescent="0.25">
      <c r="A534" t="str">
        <f>"1568662930"</f>
        <v>1568662930</v>
      </c>
      <c r="B534" t="str">
        <f>"02891610"</f>
        <v>02891610</v>
      </c>
      <c r="C534" t="s">
        <v>3341</v>
      </c>
      <c r="D534" t="s">
        <v>3342</v>
      </c>
      <c r="E534" t="s">
        <v>3343</v>
      </c>
      <c r="G534" t="s">
        <v>3341</v>
      </c>
      <c r="H534" t="s">
        <v>707</v>
      </c>
      <c r="J534" t="s">
        <v>3344</v>
      </c>
      <c r="L534" t="s">
        <v>142</v>
      </c>
      <c r="M534" t="s">
        <v>113</v>
      </c>
      <c r="R534" t="s">
        <v>3345</v>
      </c>
      <c r="W534" t="s">
        <v>3343</v>
      </c>
      <c r="X534" t="s">
        <v>709</v>
      </c>
      <c r="Y534" t="s">
        <v>116</v>
      </c>
      <c r="Z534" t="s">
        <v>117</v>
      </c>
      <c r="AA534" t="str">
        <f>"14263-0001"</f>
        <v>14263-0001</v>
      </c>
      <c r="AB534" t="s">
        <v>118</v>
      </c>
      <c r="AC534" t="s">
        <v>119</v>
      </c>
      <c r="AD534" t="s">
        <v>113</v>
      </c>
      <c r="AE534" t="s">
        <v>120</v>
      </c>
      <c r="AG534" t="s">
        <v>121</v>
      </c>
    </row>
    <row r="535" spans="1:33" x14ac:dyDescent="0.25">
      <c r="A535" t="str">
        <f>"1568663714"</f>
        <v>1568663714</v>
      </c>
      <c r="B535" t="str">
        <f>"03231523"</f>
        <v>03231523</v>
      </c>
      <c r="C535" t="s">
        <v>3346</v>
      </c>
      <c r="D535" t="s">
        <v>3347</v>
      </c>
      <c r="E535" t="s">
        <v>3348</v>
      </c>
      <c r="G535" t="s">
        <v>3346</v>
      </c>
      <c r="H535" t="s">
        <v>3349</v>
      </c>
      <c r="J535" t="s">
        <v>3350</v>
      </c>
      <c r="L535" t="s">
        <v>142</v>
      </c>
      <c r="M535" t="s">
        <v>113</v>
      </c>
      <c r="R535" t="s">
        <v>3351</v>
      </c>
      <c r="W535" t="s">
        <v>3348</v>
      </c>
      <c r="X535" t="s">
        <v>838</v>
      </c>
      <c r="Y535" t="s">
        <v>240</v>
      </c>
      <c r="Z535" t="s">
        <v>117</v>
      </c>
      <c r="AA535" t="str">
        <f>"14221-3647"</f>
        <v>14221-3647</v>
      </c>
      <c r="AB535" t="s">
        <v>118</v>
      </c>
      <c r="AC535" t="s">
        <v>119</v>
      </c>
      <c r="AD535" t="s">
        <v>113</v>
      </c>
      <c r="AE535" t="s">
        <v>120</v>
      </c>
      <c r="AG535" t="s">
        <v>121</v>
      </c>
    </row>
    <row r="536" spans="1:33" x14ac:dyDescent="0.25">
      <c r="A536" t="str">
        <f>"1568678399"</f>
        <v>1568678399</v>
      </c>
      <c r="B536" t="str">
        <f>"02877109"</f>
        <v>02877109</v>
      </c>
      <c r="C536" t="s">
        <v>3352</v>
      </c>
      <c r="D536" t="s">
        <v>3353</v>
      </c>
      <c r="E536" t="s">
        <v>3354</v>
      </c>
      <c r="G536" t="s">
        <v>3352</v>
      </c>
      <c r="H536" t="s">
        <v>1964</v>
      </c>
      <c r="J536" t="s">
        <v>3355</v>
      </c>
      <c r="L536" t="s">
        <v>142</v>
      </c>
      <c r="M536" t="s">
        <v>113</v>
      </c>
      <c r="R536" t="s">
        <v>3354</v>
      </c>
      <c r="W536" t="s">
        <v>3354</v>
      </c>
      <c r="X536" t="s">
        <v>176</v>
      </c>
      <c r="Y536" t="s">
        <v>116</v>
      </c>
      <c r="Z536" t="s">
        <v>117</v>
      </c>
      <c r="AA536" t="str">
        <f>"14203-1126"</f>
        <v>14203-1126</v>
      </c>
      <c r="AB536" t="s">
        <v>118</v>
      </c>
      <c r="AC536" t="s">
        <v>119</v>
      </c>
      <c r="AD536" t="s">
        <v>113</v>
      </c>
      <c r="AE536" t="s">
        <v>120</v>
      </c>
      <c r="AG536" t="s">
        <v>121</v>
      </c>
    </row>
    <row r="537" spans="1:33" x14ac:dyDescent="0.25">
      <c r="A537" t="str">
        <f>"1568688877"</f>
        <v>1568688877</v>
      </c>
      <c r="B537" t="str">
        <f>"00741300"</f>
        <v>00741300</v>
      </c>
      <c r="C537" t="s">
        <v>3356</v>
      </c>
      <c r="D537" t="s">
        <v>3357</v>
      </c>
      <c r="E537" t="s">
        <v>3358</v>
      </c>
      <c r="G537" t="s">
        <v>3359</v>
      </c>
      <c r="H537" t="s">
        <v>3360</v>
      </c>
      <c r="L537" t="s">
        <v>142</v>
      </c>
      <c r="M537" t="s">
        <v>113</v>
      </c>
      <c r="R537" t="s">
        <v>3359</v>
      </c>
      <c r="W537" t="s">
        <v>3358</v>
      </c>
      <c r="X537" t="s">
        <v>3361</v>
      </c>
      <c r="Y537" t="s">
        <v>3362</v>
      </c>
      <c r="Z537" t="s">
        <v>117</v>
      </c>
      <c r="AA537" t="str">
        <f>"14136-1338"</f>
        <v>14136-1338</v>
      </c>
      <c r="AB537" t="s">
        <v>118</v>
      </c>
      <c r="AC537" t="s">
        <v>119</v>
      </c>
      <c r="AD537" t="s">
        <v>113</v>
      </c>
      <c r="AE537" t="s">
        <v>120</v>
      </c>
      <c r="AG537" t="s">
        <v>121</v>
      </c>
    </row>
    <row r="538" spans="1:33" x14ac:dyDescent="0.25">
      <c r="A538" t="str">
        <f>"1568757169"</f>
        <v>1568757169</v>
      </c>
      <c r="B538" t="str">
        <f>"03792601"</f>
        <v>03792601</v>
      </c>
      <c r="C538" t="s">
        <v>3363</v>
      </c>
      <c r="D538" t="s">
        <v>3364</v>
      </c>
      <c r="E538" t="s">
        <v>3365</v>
      </c>
      <c r="G538" t="s">
        <v>1723</v>
      </c>
      <c r="H538" t="s">
        <v>3366</v>
      </c>
      <c r="J538" t="s">
        <v>1725</v>
      </c>
      <c r="L538" t="s">
        <v>112</v>
      </c>
      <c r="M538" t="s">
        <v>113</v>
      </c>
      <c r="R538" t="s">
        <v>3367</v>
      </c>
      <c r="W538" t="s">
        <v>3365</v>
      </c>
      <c r="X538" t="s">
        <v>1256</v>
      </c>
      <c r="Y538" t="s">
        <v>1257</v>
      </c>
      <c r="Z538" t="s">
        <v>117</v>
      </c>
      <c r="AA538" t="str">
        <f>"14141-1443"</f>
        <v>14141-1443</v>
      </c>
      <c r="AB538" t="s">
        <v>118</v>
      </c>
      <c r="AC538" t="s">
        <v>119</v>
      </c>
      <c r="AD538" t="s">
        <v>113</v>
      </c>
      <c r="AE538" t="s">
        <v>120</v>
      </c>
      <c r="AG538" t="s">
        <v>121</v>
      </c>
    </row>
    <row r="539" spans="1:33" x14ac:dyDescent="0.25">
      <c r="A539" t="str">
        <f>"1568760973"</f>
        <v>1568760973</v>
      </c>
      <c r="C539" t="s">
        <v>3368</v>
      </c>
      <c r="G539" t="s">
        <v>3369</v>
      </c>
      <c r="H539" t="s">
        <v>1115</v>
      </c>
      <c r="J539" t="s">
        <v>438</v>
      </c>
      <c r="K539" t="s">
        <v>303</v>
      </c>
      <c r="L539" t="s">
        <v>112</v>
      </c>
      <c r="M539" t="s">
        <v>113</v>
      </c>
      <c r="R539" t="s">
        <v>3370</v>
      </c>
      <c r="S539" t="s">
        <v>2800</v>
      </c>
      <c r="T539" t="s">
        <v>318</v>
      </c>
      <c r="U539" t="s">
        <v>117</v>
      </c>
      <c r="V539" t="str">
        <f>"14225"</f>
        <v>14225</v>
      </c>
      <c r="AC539" t="s">
        <v>119</v>
      </c>
      <c r="AD539" t="s">
        <v>113</v>
      </c>
      <c r="AE539" t="s">
        <v>306</v>
      </c>
      <c r="AG539" t="s">
        <v>121</v>
      </c>
    </row>
    <row r="540" spans="1:33" x14ac:dyDescent="0.25">
      <c r="A540" t="str">
        <f>"1568797595"</f>
        <v>1568797595</v>
      </c>
      <c r="B540" t="str">
        <f>"03183759"</f>
        <v>03183759</v>
      </c>
      <c r="C540" t="s">
        <v>3371</v>
      </c>
      <c r="D540" t="s">
        <v>3372</v>
      </c>
      <c r="E540" t="s">
        <v>3373</v>
      </c>
      <c r="G540" t="s">
        <v>3374</v>
      </c>
      <c r="H540" t="s">
        <v>3375</v>
      </c>
      <c r="J540" t="s">
        <v>3376</v>
      </c>
      <c r="L540" t="s">
        <v>112</v>
      </c>
      <c r="M540" t="s">
        <v>113</v>
      </c>
      <c r="R540" t="s">
        <v>3377</v>
      </c>
      <c r="W540" t="s">
        <v>3373</v>
      </c>
      <c r="X540" t="s">
        <v>838</v>
      </c>
      <c r="Y540" t="s">
        <v>240</v>
      </c>
      <c r="Z540" t="s">
        <v>117</v>
      </c>
      <c r="AA540" t="str">
        <f>"14221-3647"</f>
        <v>14221-3647</v>
      </c>
      <c r="AB540" t="s">
        <v>118</v>
      </c>
      <c r="AC540" t="s">
        <v>119</v>
      </c>
      <c r="AD540" t="s">
        <v>113</v>
      </c>
      <c r="AE540" t="s">
        <v>120</v>
      </c>
      <c r="AG540" t="s">
        <v>121</v>
      </c>
    </row>
    <row r="541" spans="1:33" x14ac:dyDescent="0.25">
      <c r="A541" t="str">
        <f>"1487847695"</f>
        <v>1487847695</v>
      </c>
      <c r="B541" t="str">
        <f>"03500290"</f>
        <v>03500290</v>
      </c>
      <c r="C541" t="s">
        <v>3378</v>
      </c>
      <c r="D541" t="s">
        <v>3379</v>
      </c>
      <c r="E541" t="s">
        <v>3380</v>
      </c>
      <c r="G541" t="s">
        <v>3381</v>
      </c>
      <c r="H541" t="s">
        <v>1233</v>
      </c>
      <c r="J541" t="s">
        <v>3382</v>
      </c>
      <c r="L541" t="s">
        <v>112</v>
      </c>
      <c r="M541" t="s">
        <v>113</v>
      </c>
      <c r="R541" t="s">
        <v>3383</v>
      </c>
      <c r="W541" t="s">
        <v>3380</v>
      </c>
      <c r="X541" t="s">
        <v>838</v>
      </c>
      <c r="Y541" t="s">
        <v>240</v>
      </c>
      <c r="Z541" t="s">
        <v>117</v>
      </c>
      <c r="AA541" t="str">
        <f>"14221-3647"</f>
        <v>14221-3647</v>
      </c>
      <c r="AB541" t="s">
        <v>118</v>
      </c>
      <c r="AC541" t="s">
        <v>119</v>
      </c>
      <c r="AD541" t="s">
        <v>113</v>
      </c>
      <c r="AE541" t="s">
        <v>120</v>
      </c>
      <c r="AG541" t="s">
        <v>121</v>
      </c>
    </row>
    <row r="542" spans="1:33" x14ac:dyDescent="0.25">
      <c r="A542" t="str">
        <f>"1487857223"</f>
        <v>1487857223</v>
      </c>
      <c r="B542" t="str">
        <f>"02976965"</f>
        <v>02976965</v>
      </c>
      <c r="C542" t="s">
        <v>3384</v>
      </c>
      <c r="D542" t="s">
        <v>3385</v>
      </c>
      <c r="E542" t="s">
        <v>3386</v>
      </c>
      <c r="G542" t="s">
        <v>3387</v>
      </c>
      <c r="H542" t="s">
        <v>3388</v>
      </c>
      <c r="J542" t="s">
        <v>3389</v>
      </c>
      <c r="L542" t="s">
        <v>112</v>
      </c>
      <c r="M542" t="s">
        <v>113</v>
      </c>
      <c r="R542" t="s">
        <v>3390</v>
      </c>
      <c r="W542" t="s">
        <v>3386</v>
      </c>
      <c r="X542" t="s">
        <v>176</v>
      </c>
      <c r="Y542" t="s">
        <v>116</v>
      </c>
      <c r="Z542" t="s">
        <v>117</v>
      </c>
      <c r="AA542" t="str">
        <f>"14203-1126"</f>
        <v>14203-1126</v>
      </c>
      <c r="AB542" t="s">
        <v>118</v>
      </c>
      <c r="AC542" t="s">
        <v>119</v>
      </c>
      <c r="AD542" t="s">
        <v>113</v>
      </c>
      <c r="AE542" t="s">
        <v>120</v>
      </c>
      <c r="AG542" t="s">
        <v>121</v>
      </c>
    </row>
    <row r="543" spans="1:33" x14ac:dyDescent="0.25">
      <c r="A543" t="str">
        <f>"1487885380"</f>
        <v>1487885380</v>
      </c>
      <c r="C543" t="s">
        <v>3391</v>
      </c>
      <c r="G543" t="s">
        <v>3392</v>
      </c>
      <c r="H543" t="s">
        <v>3393</v>
      </c>
      <c r="J543" t="s">
        <v>3394</v>
      </c>
      <c r="K543" t="s">
        <v>303</v>
      </c>
      <c r="L543" t="s">
        <v>112</v>
      </c>
      <c r="M543" t="s">
        <v>113</v>
      </c>
      <c r="R543" t="s">
        <v>3395</v>
      </c>
      <c r="S543" t="s">
        <v>3396</v>
      </c>
      <c r="T543" t="s">
        <v>318</v>
      </c>
      <c r="U543" t="s">
        <v>117</v>
      </c>
      <c r="V543" t="str">
        <f>"142254751"</f>
        <v>142254751</v>
      </c>
      <c r="AC543" t="s">
        <v>119</v>
      </c>
      <c r="AD543" t="s">
        <v>113</v>
      </c>
      <c r="AE543" t="s">
        <v>306</v>
      </c>
      <c r="AG543" t="s">
        <v>121</v>
      </c>
    </row>
    <row r="544" spans="1:33" x14ac:dyDescent="0.25">
      <c r="A544" t="str">
        <f>"1487890117"</f>
        <v>1487890117</v>
      </c>
      <c r="B544" t="str">
        <f>"03319679"</f>
        <v>03319679</v>
      </c>
      <c r="C544" t="s">
        <v>3397</v>
      </c>
      <c r="D544" t="s">
        <v>3398</v>
      </c>
      <c r="E544" t="s">
        <v>3399</v>
      </c>
      <c r="L544" t="s">
        <v>142</v>
      </c>
      <c r="M544" t="s">
        <v>113</v>
      </c>
      <c r="R544" t="s">
        <v>3399</v>
      </c>
      <c r="W544" t="s">
        <v>3399</v>
      </c>
      <c r="X544" t="s">
        <v>253</v>
      </c>
      <c r="Y544" t="s">
        <v>116</v>
      </c>
      <c r="Z544" t="s">
        <v>117</v>
      </c>
      <c r="AA544" t="str">
        <f>"14215-3021"</f>
        <v>14215-3021</v>
      </c>
      <c r="AB544" t="s">
        <v>118</v>
      </c>
      <c r="AC544" t="s">
        <v>119</v>
      </c>
      <c r="AD544" t="s">
        <v>113</v>
      </c>
      <c r="AE544" t="s">
        <v>120</v>
      </c>
      <c r="AG544" t="s">
        <v>121</v>
      </c>
    </row>
    <row r="545" spans="1:33" x14ac:dyDescent="0.25">
      <c r="A545" t="str">
        <f>"1609848365"</f>
        <v>1609848365</v>
      </c>
      <c r="B545" t="str">
        <f>"01800926"</f>
        <v>01800926</v>
      </c>
      <c r="C545" t="s">
        <v>3400</v>
      </c>
      <c r="D545" t="s">
        <v>3401</v>
      </c>
      <c r="E545" t="s">
        <v>3402</v>
      </c>
      <c r="G545" t="s">
        <v>3403</v>
      </c>
      <c r="H545" t="s">
        <v>3404</v>
      </c>
      <c r="L545" t="s">
        <v>142</v>
      </c>
      <c r="M545" t="s">
        <v>113</v>
      </c>
      <c r="R545" t="s">
        <v>3403</v>
      </c>
      <c r="W545" t="s">
        <v>3402</v>
      </c>
      <c r="X545" t="s">
        <v>3405</v>
      </c>
      <c r="Y545" t="s">
        <v>2946</v>
      </c>
      <c r="Z545" t="s">
        <v>117</v>
      </c>
      <c r="AA545" t="str">
        <f>"14075-3738"</f>
        <v>14075-3738</v>
      </c>
      <c r="AB545" t="s">
        <v>118</v>
      </c>
      <c r="AC545" t="s">
        <v>119</v>
      </c>
      <c r="AD545" t="s">
        <v>113</v>
      </c>
      <c r="AE545" t="s">
        <v>120</v>
      </c>
      <c r="AG545" t="s">
        <v>121</v>
      </c>
    </row>
    <row r="546" spans="1:33" x14ac:dyDescent="0.25">
      <c r="A546" t="str">
        <f>"1609849058"</f>
        <v>1609849058</v>
      </c>
      <c r="B546" t="str">
        <f>"01339633"</f>
        <v>01339633</v>
      </c>
      <c r="C546" t="s">
        <v>3406</v>
      </c>
      <c r="D546" t="s">
        <v>3407</v>
      </c>
      <c r="E546" t="s">
        <v>3408</v>
      </c>
      <c r="G546" t="s">
        <v>3406</v>
      </c>
      <c r="H546" t="s">
        <v>3409</v>
      </c>
      <c r="J546" t="s">
        <v>3410</v>
      </c>
      <c r="L546" t="s">
        <v>112</v>
      </c>
      <c r="M546" t="s">
        <v>113</v>
      </c>
      <c r="R546" t="s">
        <v>3411</v>
      </c>
      <c r="W546" t="s">
        <v>3412</v>
      </c>
      <c r="X546" t="s">
        <v>916</v>
      </c>
      <c r="Y546" t="s">
        <v>116</v>
      </c>
      <c r="Z546" t="s">
        <v>117</v>
      </c>
      <c r="AA546" t="str">
        <f>"14203-1154"</f>
        <v>14203-1154</v>
      </c>
      <c r="AB546" t="s">
        <v>634</v>
      </c>
      <c r="AC546" t="s">
        <v>119</v>
      </c>
      <c r="AD546" t="s">
        <v>113</v>
      </c>
      <c r="AE546" t="s">
        <v>120</v>
      </c>
      <c r="AG546" t="s">
        <v>121</v>
      </c>
    </row>
    <row r="547" spans="1:33" x14ac:dyDescent="0.25">
      <c r="A547" t="str">
        <f>"1609849215"</f>
        <v>1609849215</v>
      </c>
      <c r="B547" t="str">
        <f>"02581620"</f>
        <v>02581620</v>
      </c>
      <c r="C547" t="s">
        <v>3413</v>
      </c>
      <c r="D547" t="s">
        <v>3414</v>
      </c>
      <c r="E547" t="s">
        <v>3415</v>
      </c>
      <c r="G547" t="s">
        <v>3416</v>
      </c>
      <c r="H547" t="s">
        <v>3417</v>
      </c>
      <c r="J547" t="s">
        <v>3418</v>
      </c>
      <c r="L547" t="s">
        <v>142</v>
      </c>
      <c r="M547" t="s">
        <v>113</v>
      </c>
      <c r="R547" t="s">
        <v>3419</v>
      </c>
      <c r="W547" t="s">
        <v>3415</v>
      </c>
      <c r="X547" t="s">
        <v>3420</v>
      </c>
      <c r="Y547" t="s">
        <v>240</v>
      </c>
      <c r="Z547" t="s">
        <v>117</v>
      </c>
      <c r="AA547" t="str">
        <f>"14221-5934"</f>
        <v>14221-5934</v>
      </c>
      <c r="AB547" t="s">
        <v>118</v>
      </c>
      <c r="AC547" t="s">
        <v>119</v>
      </c>
      <c r="AD547" t="s">
        <v>113</v>
      </c>
      <c r="AE547" t="s">
        <v>120</v>
      </c>
      <c r="AG547" t="s">
        <v>121</v>
      </c>
    </row>
    <row r="548" spans="1:33" x14ac:dyDescent="0.25">
      <c r="A548" t="str">
        <f>"1609851666"</f>
        <v>1609851666</v>
      </c>
      <c r="B548" t="str">
        <f>"01058277"</f>
        <v>01058277</v>
      </c>
      <c r="C548" t="s">
        <v>3421</v>
      </c>
      <c r="D548" t="s">
        <v>3422</v>
      </c>
      <c r="E548" t="s">
        <v>3423</v>
      </c>
      <c r="G548" t="s">
        <v>3424</v>
      </c>
      <c r="H548" t="s">
        <v>213</v>
      </c>
      <c r="J548" t="s">
        <v>3425</v>
      </c>
      <c r="L548" t="s">
        <v>142</v>
      </c>
      <c r="M548" t="s">
        <v>199</v>
      </c>
      <c r="R548" t="s">
        <v>3426</v>
      </c>
      <c r="W548" t="s">
        <v>3423</v>
      </c>
      <c r="X548" t="s">
        <v>216</v>
      </c>
      <c r="Y548" t="s">
        <v>116</v>
      </c>
      <c r="Z548" t="s">
        <v>117</v>
      </c>
      <c r="AA548" t="str">
        <f>"14222-2006"</f>
        <v>14222-2006</v>
      </c>
      <c r="AB548" t="s">
        <v>118</v>
      </c>
      <c r="AC548" t="s">
        <v>119</v>
      </c>
      <c r="AD548" t="s">
        <v>113</v>
      </c>
      <c r="AE548" t="s">
        <v>120</v>
      </c>
      <c r="AG548" t="s">
        <v>121</v>
      </c>
    </row>
    <row r="549" spans="1:33" x14ac:dyDescent="0.25">
      <c r="A549" t="str">
        <f>"1578566972"</f>
        <v>1578566972</v>
      </c>
      <c r="B549" t="str">
        <f>"03569899"</f>
        <v>03569899</v>
      </c>
      <c r="C549" t="s">
        <v>3427</v>
      </c>
      <c r="D549" t="s">
        <v>3428</v>
      </c>
      <c r="E549" t="s">
        <v>3429</v>
      </c>
      <c r="G549" t="s">
        <v>3427</v>
      </c>
      <c r="H549" t="s">
        <v>3430</v>
      </c>
      <c r="J549" t="s">
        <v>3431</v>
      </c>
      <c r="L549" t="s">
        <v>142</v>
      </c>
      <c r="M549" t="s">
        <v>113</v>
      </c>
      <c r="R549" t="s">
        <v>3432</v>
      </c>
      <c r="W549" t="s">
        <v>3429</v>
      </c>
      <c r="X549" t="s">
        <v>216</v>
      </c>
      <c r="Y549" t="s">
        <v>116</v>
      </c>
      <c r="Z549" t="s">
        <v>117</v>
      </c>
      <c r="AA549" t="str">
        <f>"14222-2006"</f>
        <v>14222-2006</v>
      </c>
      <c r="AB549" t="s">
        <v>118</v>
      </c>
      <c r="AC549" t="s">
        <v>119</v>
      </c>
      <c r="AD549" t="s">
        <v>113</v>
      </c>
      <c r="AE549" t="s">
        <v>120</v>
      </c>
      <c r="AG549" t="s">
        <v>121</v>
      </c>
    </row>
    <row r="550" spans="1:33" x14ac:dyDescent="0.25">
      <c r="A550" t="str">
        <f>"1578568150"</f>
        <v>1578568150</v>
      </c>
      <c r="B550" t="str">
        <f>"01043443"</f>
        <v>01043443</v>
      </c>
      <c r="C550" t="s">
        <v>3433</v>
      </c>
      <c r="D550" t="s">
        <v>3434</v>
      </c>
      <c r="E550" t="s">
        <v>3435</v>
      </c>
      <c r="G550" t="s">
        <v>3436</v>
      </c>
      <c r="H550" t="s">
        <v>3437</v>
      </c>
      <c r="J550" t="s">
        <v>352</v>
      </c>
      <c r="L550" t="s">
        <v>150</v>
      </c>
      <c r="M550" t="s">
        <v>199</v>
      </c>
      <c r="R550" t="s">
        <v>3438</v>
      </c>
      <c r="W550" t="s">
        <v>3439</v>
      </c>
      <c r="X550" t="s">
        <v>3440</v>
      </c>
      <c r="Y550" t="s">
        <v>116</v>
      </c>
      <c r="Z550" t="s">
        <v>117</v>
      </c>
      <c r="AA550" t="str">
        <f>"14215-1436"</f>
        <v>14215-1436</v>
      </c>
      <c r="AB550" t="s">
        <v>118</v>
      </c>
      <c r="AC550" t="s">
        <v>119</v>
      </c>
      <c r="AD550" t="s">
        <v>113</v>
      </c>
      <c r="AE550" t="s">
        <v>120</v>
      </c>
      <c r="AG550" t="s">
        <v>121</v>
      </c>
    </row>
    <row r="551" spans="1:33" x14ac:dyDescent="0.25">
      <c r="A551" t="str">
        <f>"1578583837"</f>
        <v>1578583837</v>
      </c>
      <c r="B551" t="str">
        <f>"00818584"</f>
        <v>00818584</v>
      </c>
      <c r="C551" t="s">
        <v>3441</v>
      </c>
      <c r="D551" t="s">
        <v>3442</v>
      </c>
      <c r="E551" t="s">
        <v>3443</v>
      </c>
      <c r="G551" t="s">
        <v>3441</v>
      </c>
      <c r="H551" t="s">
        <v>3444</v>
      </c>
      <c r="J551" t="s">
        <v>3445</v>
      </c>
      <c r="L551" t="s">
        <v>150</v>
      </c>
      <c r="M551" t="s">
        <v>113</v>
      </c>
      <c r="R551" t="s">
        <v>3446</v>
      </c>
      <c r="W551" t="s">
        <v>3443</v>
      </c>
      <c r="X551" t="s">
        <v>3447</v>
      </c>
      <c r="Y551" t="s">
        <v>958</v>
      </c>
      <c r="Z551" t="s">
        <v>117</v>
      </c>
      <c r="AA551" t="str">
        <f>"14226-1141"</f>
        <v>14226-1141</v>
      </c>
      <c r="AB551" t="s">
        <v>118</v>
      </c>
      <c r="AC551" t="s">
        <v>119</v>
      </c>
      <c r="AD551" t="s">
        <v>113</v>
      </c>
      <c r="AE551" t="s">
        <v>120</v>
      </c>
      <c r="AG551" t="s">
        <v>121</v>
      </c>
    </row>
    <row r="552" spans="1:33" x14ac:dyDescent="0.25">
      <c r="A552" t="str">
        <f>"1578586251"</f>
        <v>1578586251</v>
      </c>
      <c r="B552" t="str">
        <f>"03067172"</f>
        <v>03067172</v>
      </c>
      <c r="C552" t="s">
        <v>3448</v>
      </c>
      <c r="D552" t="s">
        <v>3449</v>
      </c>
      <c r="E552" t="s">
        <v>3450</v>
      </c>
      <c r="G552" t="s">
        <v>3448</v>
      </c>
      <c r="H552" t="s">
        <v>3246</v>
      </c>
      <c r="J552" t="s">
        <v>3451</v>
      </c>
      <c r="L552" t="s">
        <v>142</v>
      </c>
      <c r="M552" t="s">
        <v>113</v>
      </c>
      <c r="R552" t="s">
        <v>3452</v>
      </c>
      <c r="W552" t="s">
        <v>3450</v>
      </c>
      <c r="X552" t="s">
        <v>3453</v>
      </c>
      <c r="Y552" t="s">
        <v>116</v>
      </c>
      <c r="Z552" t="s">
        <v>117</v>
      </c>
      <c r="AA552" t="str">
        <f>"14215-1129"</f>
        <v>14215-1129</v>
      </c>
      <c r="AB552" t="s">
        <v>118</v>
      </c>
      <c r="AC552" t="s">
        <v>119</v>
      </c>
      <c r="AD552" t="s">
        <v>113</v>
      </c>
      <c r="AE552" t="s">
        <v>120</v>
      </c>
      <c r="AG552" t="s">
        <v>121</v>
      </c>
    </row>
    <row r="553" spans="1:33" x14ac:dyDescent="0.25">
      <c r="A553" t="str">
        <f>"1578586293"</f>
        <v>1578586293</v>
      </c>
      <c r="B553" t="str">
        <f>"01260851"</f>
        <v>01260851</v>
      </c>
      <c r="C553" t="s">
        <v>3454</v>
      </c>
      <c r="D553" t="s">
        <v>3455</v>
      </c>
      <c r="E553" t="s">
        <v>3456</v>
      </c>
      <c r="G553" t="s">
        <v>3454</v>
      </c>
      <c r="H553" t="s">
        <v>532</v>
      </c>
      <c r="J553" t="s">
        <v>3457</v>
      </c>
      <c r="L553" t="s">
        <v>142</v>
      </c>
      <c r="M553" t="s">
        <v>113</v>
      </c>
      <c r="R553" t="s">
        <v>3458</v>
      </c>
      <c r="W553" t="s">
        <v>3456</v>
      </c>
      <c r="X553" t="s">
        <v>3459</v>
      </c>
      <c r="Y553" t="s">
        <v>116</v>
      </c>
      <c r="Z553" t="s">
        <v>117</v>
      </c>
      <c r="AA553" t="str">
        <f>"14215-3021"</f>
        <v>14215-3021</v>
      </c>
      <c r="AB553" t="s">
        <v>118</v>
      </c>
      <c r="AC553" t="s">
        <v>119</v>
      </c>
      <c r="AD553" t="s">
        <v>113</v>
      </c>
      <c r="AE553" t="s">
        <v>120</v>
      </c>
      <c r="AG553" t="s">
        <v>121</v>
      </c>
    </row>
    <row r="554" spans="1:33" x14ac:dyDescent="0.25">
      <c r="A554" t="str">
        <f>"1689814501"</f>
        <v>1689814501</v>
      </c>
      <c r="B554" t="str">
        <f>"03119220"</f>
        <v>03119220</v>
      </c>
      <c r="C554" t="s">
        <v>3460</v>
      </c>
      <c r="D554" t="s">
        <v>3461</v>
      </c>
      <c r="E554" t="s">
        <v>3462</v>
      </c>
      <c r="G554" t="s">
        <v>3463</v>
      </c>
      <c r="H554" t="s">
        <v>3464</v>
      </c>
      <c r="J554" t="s">
        <v>3465</v>
      </c>
      <c r="L554" t="s">
        <v>142</v>
      </c>
      <c r="M554" t="s">
        <v>199</v>
      </c>
      <c r="R554" t="s">
        <v>3466</v>
      </c>
      <c r="W554" t="s">
        <v>3462</v>
      </c>
      <c r="X554" t="s">
        <v>216</v>
      </c>
      <c r="Y554" t="s">
        <v>116</v>
      </c>
      <c r="Z554" t="s">
        <v>117</v>
      </c>
      <c r="AA554" t="str">
        <f>"14222-2006"</f>
        <v>14222-2006</v>
      </c>
      <c r="AB554" t="s">
        <v>118</v>
      </c>
      <c r="AC554" t="s">
        <v>119</v>
      </c>
      <c r="AD554" t="s">
        <v>113</v>
      </c>
      <c r="AE554" t="s">
        <v>120</v>
      </c>
      <c r="AG554" t="s">
        <v>121</v>
      </c>
    </row>
    <row r="555" spans="1:33" x14ac:dyDescent="0.25">
      <c r="A555" t="str">
        <f>"1689823411"</f>
        <v>1689823411</v>
      </c>
      <c r="B555" t="str">
        <f>"03193533"</f>
        <v>03193533</v>
      </c>
      <c r="C555" t="s">
        <v>3467</v>
      </c>
      <c r="D555" t="s">
        <v>3468</v>
      </c>
      <c r="E555" t="s">
        <v>3469</v>
      </c>
      <c r="G555" t="s">
        <v>3467</v>
      </c>
      <c r="H555" t="s">
        <v>3470</v>
      </c>
      <c r="J555" t="s">
        <v>3471</v>
      </c>
      <c r="L555" t="s">
        <v>142</v>
      </c>
      <c r="M555" t="s">
        <v>113</v>
      </c>
      <c r="R555" t="s">
        <v>3472</v>
      </c>
      <c r="W555" t="s">
        <v>3469</v>
      </c>
      <c r="X555" t="s">
        <v>176</v>
      </c>
      <c r="Y555" t="s">
        <v>116</v>
      </c>
      <c r="Z555" t="s">
        <v>117</v>
      </c>
      <c r="AA555" t="str">
        <f>"14203-1126"</f>
        <v>14203-1126</v>
      </c>
      <c r="AB555" t="s">
        <v>118</v>
      </c>
      <c r="AC555" t="s">
        <v>119</v>
      </c>
      <c r="AD555" t="s">
        <v>113</v>
      </c>
      <c r="AE555" t="s">
        <v>120</v>
      </c>
      <c r="AG555" t="s">
        <v>121</v>
      </c>
    </row>
    <row r="556" spans="1:33" x14ac:dyDescent="0.25">
      <c r="A556" t="str">
        <f>"1689836785"</f>
        <v>1689836785</v>
      </c>
      <c r="B556" t="str">
        <f>"03772396"</f>
        <v>03772396</v>
      </c>
      <c r="C556" t="s">
        <v>3473</v>
      </c>
      <c r="D556" t="s">
        <v>3474</v>
      </c>
      <c r="E556" t="s">
        <v>3475</v>
      </c>
      <c r="G556" t="s">
        <v>3476</v>
      </c>
      <c r="H556" t="s">
        <v>3477</v>
      </c>
      <c r="J556" t="s">
        <v>3478</v>
      </c>
      <c r="L556" t="s">
        <v>112</v>
      </c>
      <c r="M556" t="s">
        <v>113</v>
      </c>
      <c r="R556" t="s">
        <v>3479</v>
      </c>
      <c r="W556" t="s">
        <v>3475</v>
      </c>
      <c r="X556" t="s">
        <v>474</v>
      </c>
      <c r="Y556" t="s">
        <v>116</v>
      </c>
      <c r="Z556" t="s">
        <v>117</v>
      </c>
      <c r="AA556" t="str">
        <f>"14214-1316"</f>
        <v>14214-1316</v>
      </c>
      <c r="AB556" t="s">
        <v>621</v>
      </c>
      <c r="AC556" t="s">
        <v>119</v>
      </c>
      <c r="AD556" t="s">
        <v>113</v>
      </c>
      <c r="AE556" t="s">
        <v>120</v>
      </c>
      <c r="AG556" t="s">
        <v>121</v>
      </c>
    </row>
    <row r="557" spans="1:33" x14ac:dyDescent="0.25">
      <c r="B557" t="str">
        <f>"01996038"</f>
        <v>01996038</v>
      </c>
      <c r="C557" t="s">
        <v>1540</v>
      </c>
      <c r="D557" t="s">
        <v>1541</v>
      </c>
      <c r="E557" t="s">
        <v>1542</v>
      </c>
      <c r="F557">
        <v>161017453</v>
      </c>
      <c r="H557" t="s">
        <v>1543</v>
      </c>
      <c r="L557" t="s">
        <v>67</v>
      </c>
      <c r="M557" t="s">
        <v>113</v>
      </c>
      <c r="W557" t="s">
        <v>1453</v>
      </c>
      <c r="X557" t="s">
        <v>1544</v>
      </c>
      <c r="Y557" t="s">
        <v>1545</v>
      </c>
      <c r="Z557" t="s">
        <v>117</v>
      </c>
      <c r="AA557" t="str">
        <f>"14218-1629"</f>
        <v>14218-1629</v>
      </c>
      <c r="AB557" t="s">
        <v>291</v>
      </c>
      <c r="AC557" t="s">
        <v>119</v>
      </c>
      <c r="AD557" t="s">
        <v>113</v>
      </c>
      <c r="AE557" t="s">
        <v>120</v>
      </c>
      <c r="AG557" t="s">
        <v>121</v>
      </c>
    </row>
    <row r="558" spans="1:33" x14ac:dyDescent="0.25">
      <c r="A558" t="str">
        <f>"1689852618"</f>
        <v>1689852618</v>
      </c>
      <c r="B558" t="str">
        <f>"01127664"</f>
        <v>01127664</v>
      </c>
      <c r="C558" t="s">
        <v>3485</v>
      </c>
      <c r="D558" t="s">
        <v>3486</v>
      </c>
      <c r="E558" t="s">
        <v>3487</v>
      </c>
      <c r="H558" t="s">
        <v>3488</v>
      </c>
      <c r="L558" t="s">
        <v>13</v>
      </c>
      <c r="M558" t="s">
        <v>113</v>
      </c>
      <c r="R558" t="s">
        <v>3485</v>
      </c>
      <c r="W558" t="s">
        <v>3487</v>
      </c>
      <c r="X558" t="s">
        <v>3489</v>
      </c>
      <c r="Y558" t="s">
        <v>240</v>
      </c>
      <c r="Z558" t="s">
        <v>117</v>
      </c>
      <c r="AA558" t="str">
        <f>"14221-1713"</f>
        <v>14221-1713</v>
      </c>
      <c r="AB558" t="s">
        <v>1146</v>
      </c>
      <c r="AC558" t="s">
        <v>119</v>
      </c>
      <c r="AD558" t="s">
        <v>113</v>
      </c>
      <c r="AE558" t="s">
        <v>120</v>
      </c>
      <c r="AG558" t="s">
        <v>121</v>
      </c>
    </row>
    <row r="559" spans="1:33" x14ac:dyDescent="0.25">
      <c r="A559" t="str">
        <f>"1700013927"</f>
        <v>1700013927</v>
      </c>
      <c r="B559" t="str">
        <f>"03324527"</f>
        <v>03324527</v>
      </c>
      <c r="C559" t="s">
        <v>1453</v>
      </c>
      <c r="D559" t="s">
        <v>1454</v>
      </c>
      <c r="E559" t="s">
        <v>1455</v>
      </c>
      <c r="H559" t="s">
        <v>1456</v>
      </c>
      <c r="J559" t="s">
        <v>1457</v>
      </c>
      <c r="L559" t="s">
        <v>1458</v>
      </c>
      <c r="M559" t="s">
        <v>113</v>
      </c>
      <c r="R559" t="s">
        <v>1453</v>
      </c>
      <c r="W559" t="s">
        <v>1455</v>
      </c>
      <c r="X559" t="s">
        <v>1459</v>
      </c>
      <c r="Y559" t="s">
        <v>305</v>
      </c>
      <c r="Z559" t="s">
        <v>117</v>
      </c>
      <c r="AA559" t="str">
        <f>"14760-1100"</f>
        <v>14760-1100</v>
      </c>
      <c r="AB559" t="s">
        <v>1460</v>
      </c>
      <c r="AC559" t="s">
        <v>119</v>
      </c>
      <c r="AD559" t="s">
        <v>113</v>
      </c>
      <c r="AE559" t="s">
        <v>120</v>
      </c>
      <c r="AG559" t="s">
        <v>121</v>
      </c>
    </row>
    <row r="560" spans="1:33" x14ac:dyDescent="0.25">
      <c r="A560" t="str">
        <f>"1689921942"</f>
        <v>1689921942</v>
      </c>
      <c r="B560" t="str">
        <f>"03502696"</f>
        <v>03502696</v>
      </c>
      <c r="C560" t="s">
        <v>3498</v>
      </c>
      <c r="D560" t="s">
        <v>3499</v>
      </c>
      <c r="E560" t="s">
        <v>3500</v>
      </c>
      <c r="G560" t="s">
        <v>3501</v>
      </c>
      <c r="H560" t="s">
        <v>3502</v>
      </c>
      <c r="J560" t="s">
        <v>1774</v>
      </c>
      <c r="L560" t="s">
        <v>150</v>
      </c>
      <c r="M560" t="s">
        <v>113</v>
      </c>
      <c r="R560" t="s">
        <v>3503</v>
      </c>
      <c r="W560" t="s">
        <v>3500</v>
      </c>
      <c r="X560" t="s">
        <v>1145</v>
      </c>
      <c r="Y560" t="s">
        <v>541</v>
      </c>
      <c r="Z560" t="s">
        <v>117</v>
      </c>
      <c r="AA560" t="str">
        <f>"14048-2137"</f>
        <v>14048-2137</v>
      </c>
      <c r="AB560" t="s">
        <v>118</v>
      </c>
      <c r="AC560" t="s">
        <v>119</v>
      </c>
      <c r="AD560" t="s">
        <v>113</v>
      </c>
      <c r="AE560" t="s">
        <v>120</v>
      </c>
      <c r="AG560" t="s">
        <v>121</v>
      </c>
    </row>
    <row r="561" spans="1:33" x14ac:dyDescent="0.25">
      <c r="A561" t="str">
        <f>"1689947426"</f>
        <v>1689947426</v>
      </c>
      <c r="B561" t="str">
        <f>"04464559"</f>
        <v>04464559</v>
      </c>
      <c r="C561" t="s">
        <v>3504</v>
      </c>
      <c r="D561" t="s">
        <v>3505</v>
      </c>
      <c r="E561" t="s">
        <v>3506</v>
      </c>
      <c r="G561" t="s">
        <v>3504</v>
      </c>
      <c r="H561" t="s">
        <v>2252</v>
      </c>
      <c r="J561" t="s">
        <v>3507</v>
      </c>
      <c r="L561" t="s">
        <v>229</v>
      </c>
      <c r="M561" t="s">
        <v>113</v>
      </c>
      <c r="R561" t="s">
        <v>3508</v>
      </c>
      <c r="W561" t="s">
        <v>3506</v>
      </c>
      <c r="AB561" t="s">
        <v>118</v>
      </c>
      <c r="AC561" t="s">
        <v>119</v>
      </c>
      <c r="AD561" t="s">
        <v>113</v>
      </c>
      <c r="AE561" t="s">
        <v>120</v>
      </c>
      <c r="AG561" t="s">
        <v>121</v>
      </c>
    </row>
    <row r="562" spans="1:33" x14ac:dyDescent="0.25">
      <c r="A562" t="str">
        <f>"1689958225"</f>
        <v>1689958225</v>
      </c>
      <c r="C562" t="s">
        <v>3509</v>
      </c>
      <c r="G562" t="s">
        <v>3510</v>
      </c>
      <c r="H562" t="s">
        <v>590</v>
      </c>
      <c r="J562" t="s">
        <v>3511</v>
      </c>
      <c r="K562" t="s">
        <v>303</v>
      </c>
      <c r="L562" t="s">
        <v>229</v>
      </c>
      <c r="M562" t="s">
        <v>113</v>
      </c>
      <c r="R562" t="s">
        <v>3512</v>
      </c>
      <c r="S562" t="s">
        <v>3004</v>
      </c>
      <c r="T562" t="s">
        <v>116</v>
      </c>
      <c r="U562" t="s">
        <v>117</v>
      </c>
      <c r="V562" t="str">
        <f>"142092111"</f>
        <v>142092111</v>
      </c>
      <c r="AC562" t="s">
        <v>119</v>
      </c>
      <c r="AD562" t="s">
        <v>113</v>
      </c>
      <c r="AE562" t="s">
        <v>306</v>
      </c>
      <c r="AG562" t="s">
        <v>121</v>
      </c>
    </row>
    <row r="563" spans="1:33" x14ac:dyDescent="0.25">
      <c r="A563" t="str">
        <f>"1720168198"</f>
        <v>1720168198</v>
      </c>
      <c r="B563" t="str">
        <f>"01630735"</f>
        <v>01630735</v>
      </c>
      <c r="C563" t="s">
        <v>3513</v>
      </c>
      <c r="D563" t="s">
        <v>3514</v>
      </c>
      <c r="E563" t="s">
        <v>3515</v>
      </c>
      <c r="G563" t="s">
        <v>3513</v>
      </c>
      <c r="H563" t="s">
        <v>3516</v>
      </c>
      <c r="J563" t="s">
        <v>3517</v>
      </c>
      <c r="L563" t="s">
        <v>142</v>
      </c>
      <c r="M563" t="s">
        <v>113</v>
      </c>
      <c r="R563" t="s">
        <v>3518</v>
      </c>
      <c r="W563" t="s">
        <v>3515</v>
      </c>
      <c r="X563" t="s">
        <v>3519</v>
      </c>
      <c r="Y563" t="s">
        <v>116</v>
      </c>
      <c r="Z563" t="s">
        <v>117</v>
      </c>
      <c r="AA563" t="str">
        <f>"14203-1126"</f>
        <v>14203-1126</v>
      </c>
      <c r="AB563" t="s">
        <v>118</v>
      </c>
      <c r="AC563" t="s">
        <v>119</v>
      </c>
      <c r="AD563" t="s">
        <v>113</v>
      </c>
      <c r="AE563" t="s">
        <v>120</v>
      </c>
      <c r="AG563" t="s">
        <v>121</v>
      </c>
    </row>
    <row r="564" spans="1:33" x14ac:dyDescent="0.25">
      <c r="A564" t="str">
        <f>"1720173537"</f>
        <v>1720173537</v>
      </c>
      <c r="B564" t="str">
        <f>"02524261"</f>
        <v>02524261</v>
      </c>
      <c r="C564" t="s">
        <v>3520</v>
      </c>
      <c r="D564" t="s">
        <v>3521</v>
      </c>
      <c r="E564" t="s">
        <v>3522</v>
      </c>
      <c r="G564" t="s">
        <v>3523</v>
      </c>
      <c r="H564" t="s">
        <v>272</v>
      </c>
      <c r="J564" t="s">
        <v>3524</v>
      </c>
      <c r="L564" t="s">
        <v>150</v>
      </c>
      <c r="M564" t="s">
        <v>199</v>
      </c>
      <c r="R564" t="s">
        <v>3522</v>
      </c>
      <c r="W564" t="s">
        <v>3525</v>
      </c>
      <c r="X564" t="s">
        <v>966</v>
      </c>
      <c r="Y564" t="s">
        <v>116</v>
      </c>
      <c r="Z564" t="s">
        <v>117</v>
      </c>
      <c r="AA564" t="str">
        <f>"14207-1816"</f>
        <v>14207-1816</v>
      </c>
      <c r="AB564" t="s">
        <v>118</v>
      </c>
      <c r="AC564" t="s">
        <v>119</v>
      </c>
      <c r="AD564" t="s">
        <v>113</v>
      </c>
      <c r="AE564" t="s">
        <v>120</v>
      </c>
      <c r="AG564" t="s">
        <v>121</v>
      </c>
    </row>
    <row r="565" spans="1:33" x14ac:dyDescent="0.25">
      <c r="A565" t="str">
        <f>"1720174238"</f>
        <v>1720174238</v>
      </c>
      <c r="B565" t="str">
        <f>"03121446"</f>
        <v>03121446</v>
      </c>
      <c r="C565" t="s">
        <v>3526</v>
      </c>
      <c r="D565" t="s">
        <v>3527</v>
      </c>
      <c r="E565" t="s">
        <v>3528</v>
      </c>
      <c r="G565" t="s">
        <v>3526</v>
      </c>
      <c r="H565" t="s">
        <v>227</v>
      </c>
      <c r="J565" t="s">
        <v>3529</v>
      </c>
      <c r="L565" t="s">
        <v>142</v>
      </c>
      <c r="M565" t="s">
        <v>113</v>
      </c>
      <c r="R565" t="s">
        <v>3530</v>
      </c>
      <c r="W565" t="s">
        <v>3531</v>
      </c>
      <c r="X565" t="s">
        <v>3532</v>
      </c>
      <c r="Y565" t="s">
        <v>3533</v>
      </c>
      <c r="Z565" t="s">
        <v>3534</v>
      </c>
      <c r="AA565" t="str">
        <f>"78266-2162"</f>
        <v>78266-2162</v>
      </c>
      <c r="AB565" t="s">
        <v>118</v>
      </c>
      <c r="AC565" t="s">
        <v>119</v>
      </c>
      <c r="AD565" t="s">
        <v>113</v>
      </c>
      <c r="AE565" t="s">
        <v>120</v>
      </c>
      <c r="AG565" t="s">
        <v>121</v>
      </c>
    </row>
    <row r="566" spans="1:33" x14ac:dyDescent="0.25">
      <c r="A566" t="str">
        <f>"1720179872"</f>
        <v>1720179872</v>
      </c>
      <c r="B566" t="str">
        <f>"01693347"</f>
        <v>01693347</v>
      </c>
      <c r="C566" t="s">
        <v>3535</v>
      </c>
      <c r="D566" t="s">
        <v>3536</v>
      </c>
      <c r="E566" t="s">
        <v>3537</v>
      </c>
      <c r="G566" t="s">
        <v>3538</v>
      </c>
      <c r="H566" t="s">
        <v>3539</v>
      </c>
      <c r="L566" t="s">
        <v>112</v>
      </c>
      <c r="M566" t="s">
        <v>113</v>
      </c>
      <c r="R566" t="s">
        <v>3538</v>
      </c>
      <c r="W566" t="s">
        <v>3537</v>
      </c>
      <c r="X566" t="s">
        <v>3540</v>
      </c>
      <c r="Y566" t="s">
        <v>541</v>
      </c>
      <c r="Z566" t="s">
        <v>117</v>
      </c>
      <c r="AA566" t="str">
        <f>"14048-2517"</f>
        <v>14048-2517</v>
      </c>
      <c r="AB566" t="s">
        <v>118</v>
      </c>
      <c r="AC566" t="s">
        <v>119</v>
      </c>
      <c r="AD566" t="s">
        <v>113</v>
      </c>
      <c r="AE566" t="s">
        <v>120</v>
      </c>
      <c r="AG566" t="s">
        <v>121</v>
      </c>
    </row>
    <row r="567" spans="1:33" x14ac:dyDescent="0.25">
      <c r="A567" t="str">
        <f>"1720188063"</f>
        <v>1720188063</v>
      </c>
      <c r="B567" t="str">
        <f>"01375915"</f>
        <v>01375915</v>
      </c>
      <c r="C567" t="s">
        <v>3541</v>
      </c>
      <c r="D567" t="s">
        <v>3542</v>
      </c>
      <c r="E567" t="s">
        <v>3543</v>
      </c>
      <c r="G567" t="s">
        <v>3541</v>
      </c>
      <c r="H567" t="s">
        <v>3544</v>
      </c>
      <c r="J567" t="s">
        <v>3545</v>
      </c>
      <c r="L567" t="s">
        <v>142</v>
      </c>
      <c r="M567" t="s">
        <v>113</v>
      </c>
      <c r="R567" t="s">
        <v>3546</v>
      </c>
      <c r="W567" t="s">
        <v>3543</v>
      </c>
      <c r="X567" t="s">
        <v>176</v>
      </c>
      <c r="Y567" t="s">
        <v>116</v>
      </c>
      <c r="Z567" t="s">
        <v>117</v>
      </c>
      <c r="AA567" t="str">
        <f>"14203-1126"</f>
        <v>14203-1126</v>
      </c>
      <c r="AB567" t="s">
        <v>118</v>
      </c>
      <c r="AC567" t="s">
        <v>119</v>
      </c>
      <c r="AD567" t="s">
        <v>113</v>
      </c>
      <c r="AE567" t="s">
        <v>120</v>
      </c>
      <c r="AG567" t="s">
        <v>121</v>
      </c>
    </row>
    <row r="568" spans="1:33" x14ac:dyDescent="0.25">
      <c r="A568" t="str">
        <f>"1407056922"</f>
        <v>1407056922</v>
      </c>
      <c r="C568" t="s">
        <v>3547</v>
      </c>
      <c r="G568" t="s">
        <v>3547</v>
      </c>
      <c r="H568" t="s">
        <v>3548</v>
      </c>
      <c r="J568" t="s">
        <v>3549</v>
      </c>
      <c r="K568" t="s">
        <v>303</v>
      </c>
      <c r="L568" t="s">
        <v>229</v>
      </c>
      <c r="M568" t="s">
        <v>113</v>
      </c>
      <c r="R568" t="s">
        <v>3550</v>
      </c>
      <c r="S568" t="s">
        <v>3551</v>
      </c>
      <c r="T568" t="s">
        <v>3552</v>
      </c>
      <c r="U568" t="s">
        <v>3534</v>
      </c>
      <c r="V568" t="str">
        <f>"752357708"</f>
        <v>752357708</v>
      </c>
      <c r="AC568" t="s">
        <v>119</v>
      </c>
      <c r="AD568" t="s">
        <v>113</v>
      </c>
      <c r="AE568" t="s">
        <v>306</v>
      </c>
      <c r="AG568" t="s">
        <v>121</v>
      </c>
    </row>
    <row r="569" spans="1:33" x14ac:dyDescent="0.25">
      <c r="A569" t="str">
        <f>"1407060759"</f>
        <v>1407060759</v>
      </c>
      <c r="B569" t="str">
        <f>"03372245"</f>
        <v>03372245</v>
      </c>
      <c r="C569" t="s">
        <v>3553</v>
      </c>
      <c r="D569" t="s">
        <v>3554</v>
      </c>
      <c r="E569" t="s">
        <v>3555</v>
      </c>
      <c r="G569" t="s">
        <v>3556</v>
      </c>
      <c r="H569" t="s">
        <v>3557</v>
      </c>
      <c r="I569">
        <v>401</v>
      </c>
      <c r="J569" t="s">
        <v>3558</v>
      </c>
      <c r="L569" t="s">
        <v>69</v>
      </c>
      <c r="M569" t="s">
        <v>113</v>
      </c>
      <c r="R569" t="s">
        <v>3555</v>
      </c>
      <c r="W569" t="s">
        <v>3555</v>
      </c>
      <c r="X569" t="s">
        <v>3559</v>
      </c>
      <c r="Y569" t="s">
        <v>847</v>
      </c>
      <c r="Z569" t="s">
        <v>117</v>
      </c>
      <c r="AA569" t="str">
        <f>"14569-1025"</f>
        <v>14569-1025</v>
      </c>
      <c r="AB569" t="s">
        <v>872</v>
      </c>
      <c r="AC569" t="s">
        <v>119</v>
      </c>
      <c r="AD569" t="s">
        <v>113</v>
      </c>
      <c r="AE569" t="s">
        <v>120</v>
      </c>
      <c r="AG569" t="s">
        <v>121</v>
      </c>
    </row>
    <row r="570" spans="1:33" x14ac:dyDescent="0.25">
      <c r="A570" t="str">
        <f>"1518951011"</f>
        <v>1518951011</v>
      </c>
      <c r="B570" t="str">
        <f>"01775593"</f>
        <v>01775593</v>
      </c>
      <c r="C570" t="s">
        <v>3560</v>
      </c>
      <c r="D570" t="s">
        <v>3561</v>
      </c>
      <c r="E570" t="s">
        <v>3562</v>
      </c>
      <c r="G570" t="s">
        <v>3560</v>
      </c>
      <c r="H570" t="s">
        <v>3563</v>
      </c>
      <c r="J570" t="s">
        <v>3564</v>
      </c>
      <c r="L570" t="s">
        <v>112</v>
      </c>
      <c r="M570" t="s">
        <v>113</v>
      </c>
      <c r="R570" t="s">
        <v>3565</v>
      </c>
      <c r="W570" t="s">
        <v>3562</v>
      </c>
      <c r="X570" t="s">
        <v>3566</v>
      </c>
      <c r="Y570" t="s">
        <v>377</v>
      </c>
      <c r="Z570" t="s">
        <v>117</v>
      </c>
      <c r="AA570" t="str">
        <f>"14217-1304"</f>
        <v>14217-1304</v>
      </c>
      <c r="AB570" t="s">
        <v>118</v>
      </c>
      <c r="AC570" t="s">
        <v>119</v>
      </c>
      <c r="AD570" t="s">
        <v>113</v>
      </c>
      <c r="AE570" t="s">
        <v>120</v>
      </c>
      <c r="AG570" t="s">
        <v>121</v>
      </c>
    </row>
    <row r="571" spans="1:33" x14ac:dyDescent="0.25">
      <c r="A571" t="str">
        <f>"1518964204"</f>
        <v>1518964204</v>
      </c>
      <c r="B571" t="str">
        <f>"01268299"</f>
        <v>01268299</v>
      </c>
      <c r="C571" t="s">
        <v>3567</v>
      </c>
      <c r="D571" t="s">
        <v>3568</v>
      </c>
      <c r="E571" t="s">
        <v>3569</v>
      </c>
      <c r="G571" t="s">
        <v>3567</v>
      </c>
      <c r="H571" t="s">
        <v>3570</v>
      </c>
      <c r="J571" t="s">
        <v>3571</v>
      </c>
      <c r="L571" t="s">
        <v>150</v>
      </c>
      <c r="M571" t="s">
        <v>113</v>
      </c>
      <c r="R571" t="s">
        <v>3572</v>
      </c>
      <c r="W571" t="s">
        <v>3569</v>
      </c>
      <c r="X571" t="s">
        <v>3573</v>
      </c>
      <c r="Y571" t="s">
        <v>240</v>
      </c>
      <c r="Z571" t="s">
        <v>117</v>
      </c>
      <c r="AA571" t="str">
        <f>"14221-3625"</f>
        <v>14221-3625</v>
      </c>
      <c r="AB571" t="s">
        <v>118</v>
      </c>
      <c r="AC571" t="s">
        <v>119</v>
      </c>
      <c r="AD571" t="s">
        <v>113</v>
      </c>
      <c r="AE571" t="s">
        <v>120</v>
      </c>
      <c r="AG571" t="s">
        <v>121</v>
      </c>
    </row>
    <row r="572" spans="1:33" x14ac:dyDescent="0.25">
      <c r="A572" t="str">
        <f>"1518981877"</f>
        <v>1518981877</v>
      </c>
      <c r="C572" t="s">
        <v>3574</v>
      </c>
      <c r="G572" t="s">
        <v>3575</v>
      </c>
      <c r="H572" t="s">
        <v>630</v>
      </c>
      <c r="J572" t="s">
        <v>3576</v>
      </c>
      <c r="K572" t="s">
        <v>303</v>
      </c>
      <c r="L572" t="s">
        <v>229</v>
      </c>
      <c r="M572" t="s">
        <v>113</v>
      </c>
      <c r="R572" t="s">
        <v>3574</v>
      </c>
      <c r="S572" t="s">
        <v>253</v>
      </c>
      <c r="T572" t="s">
        <v>116</v>
      </c>
      <c r="U572" t="s">
        <v>117</v>
      </c>
      <c r="V572" t="str">
        <f>"142153021"</f>
        <v>142153021</v>
      </c>
      <c r="AC572" t="s">
        <v>119</v>
      </c>
      <c r="AD572" t="s">
        <v>113</v>
      </c>
      <c r="AE572" t="s">
        <v>306</v>
      </c>
      <c r="AG572" t="s">
        <v>121</v>
      </c>
    </row>
    <row r="573" spans="1:33" x14ac:dyDescent="0.25">
      <c r="A573" t="str">
        <f>"1518986603"</f>
        <v>1518986603</v>
      </c>
      <c r="B573" t="str">
        <f>"00589597"</f>
        <v>00589597</v>
      </c>
      <c r="C573" t="s">
        <v>3577</v>
      </c>
      <c r="D573" t="s">
        <v>3578</v>
      </c>
      <c r="E573" t="s">
        <v>3579</v>
      </c>
      <c r="G573" t="s">
        <v>3577</v>
      </c>
      <c r="H573" t="s">
        <v>937</v>
      </c>
      <c r="J573" t="s">
        <v>3580</v>
      </c>
      <c r="L573" t="s">
        <v>142</v>
      </c>
      <c r="M573" t="s">
        <v>113</v>
      </c>
      <c r="R573" t="s">
        <v>3581</v>
      </c>
      <c r="W573" t="s">
        <v>3579</v>
      </c>
      <c r="X573" t="s">
        <v>784</v>
      </c>
      <c r="Y573" t="s">
        <v>116</v>
      </c>
      <c r="Z573" t="s">
        <v>117</v>
      </c>
      <c r="AA573" t="str">
        <f>"14209-1194"</f>
        <v>14209-1194</v>
      </c>
      <c r="AB573" t="s">
        <v>118</v>
      </c>
      <c r="AC573" t="s">
        <v>119</v>
      </c>
      <c r="AD573" t="s">
        <v>113</v>
      </c>
      <c r="AE573" t="s">
        <v>120</v>
      </c>
      <c r="AG573" t="s">
        <v>121</v>
      </c>
    </row>
    <row r="574" spans="1:33" x14ac:dyDescent="0.25">
      <c r="A574" t="str">
        <f>"1518987734"</f>
        <v>1518987734</v>
      </c>
      <c r="B574" t="str">
        <f>"01124592"</f>
        <v>01124592</v>
      </c>
      <c r="C574" t="s">
        <v>3582</v>
      </c>
      <c r="D574" t="s">
        <v>3583</v>
      </c>
      <c r="E574" t="s">
        <v>3584</v>
      </c>
      <c r="G574" t="s">
        <v>3582</v>
      </c>
      <c r="H574" t="s">
        <v>937</v>
      </c>
      <c r="J574" t="s">
        <v>3585</v>
      </c>
      <c r="L574" t="s">
        <v>142</v>
      </c>
      <c r="M574" t="s">
        <v>113</v>
      </c>
      <c r="R574" t="s">
        <v>3586</v>
      </c>
      <c r="W574" t="s">
        <v>3584</v>
      </c>
      <c r="X574" t="s">
        <v>136</v>
      </c>
      <c r="Y574" t="s">
        <v>116</v>
      </c>
      <c r="Z574" t="s">
        <v>117</v>
      </c>
      <c r="AA574" t="str">
        <f>"14209-1120"</f>
        <v>14209-1120</v>
      </c>
      <c r="AB574" t="s">
        <v>118</v>
      </c>
      <c r="AC574" t="s">
        <v>119</v>
      </c>
      <c r="AD574" t="s">
        <v>113</v>
      </c>
      <c r="AE574" t="s">
        <v>120</v>
      </c>
      <c r="AG574" t="s">
        <v>121</v>
      </c>
    </row>
    <row r="575" spans="1:33" x14ac:dyDescent="0.25">
      <c r="A575" t="str">
        <f>"1528004595"</f>
        <v>1528004595</v>
      </c>
      <c r="B575" t="str">
        <f>"01636066"</f>
        <v>01636066</v>
      </c>
      <c r="C575" t="s">
        <v>3587</v>
      </c>
      <c r="D575" t="s">
        <v>3588</v>
      </c>
      <c r="E575" t="s">
        <v>3589</v>
      </c>
      <c r="G575" t="s">
        <v>3587</v>
      </c>
      <c r="H575" t="s">
        <v>3590</v>
      </c>
      <c r="J575" t="s">
        <v>3591</v>
      </c>
      <c r="L575" t="s">
        <v>150</v>
      </c>
      <c r="M575" t="s">
        <v>113</v>
      </c>
      <c r="R575" t="s">
        <v>3592</v>
      </c>
      <c r="W575" t="s">
        <v>3589</v>
      </c>
      <c r="X575" t="s">
        <v>526</v>
      </c>
      <c r="Y575" t="s">
        <v>527</v>
      </c>
      <c r="Z575" t="s">
        <v>117</v>
      </c>
      <c r="AA575" t="str">
        <f>"14103-1191"</f>
        <v>14103-1191</v>
      </c>
      <c r="AB575" t="s">
        <v>118</v>
      </c>
      <c r="AC575" t="s">
        <v>119</v>
      </c>
      <c r="AD575" t="s">
        <v>113</v>
      </c>
      <c r="AE575" t="s">
        <v>120</v>
      </c>
      <c r="AG575" t="s">
        <v>121</v>
      </c>
    </row>
    <row r="576" spans="1:33" x14ac:dyDescent="0.25">
      <c r="A576" t="str">
        <f>"1528016359"</f>
        <v>1528016359</v>
      </c>
      <c r="B576" t="str">
        <f>"01159420"</f>
        <v>01159420</v>
      </c>
      <c r="C576" t="s">
        <v>3593</v>
      </c>
      <c r="D576" t="s">
        <v>3594</v>
      </c>
      <c r="E576" t="s">
        <v>3595</v>
      </c>
      <c r="G576" t="s">
        <v>3596</v>
      </c>
      <c r="H576" t="s">
        <v>3597</v>
      </c>
      <c r="L576" t="s">
        <v>150</v>
      </c>
      <c r="M576" t="s">
        <v>113</v>
      </c>
      <c r="R576" t="s">
        <v>3596</v>
      </c>
      <c r="W576" t="s">
        <v>3598</v>
      </c>
      <c r="X576" t="s">
        <v>3599</v>
      </c>
      <c r="Y576" t="s">
        <v>986</v>
      </c>
      <c r="Z576" t="s">
        <v>117</v>
      </c>
      <c r="AA576" t="str">
        <f>"14701-7077"</f>
        <v>14701-7077</v>
      </c>
      <c r="AB576" t="s">
        <v>118</v>
      </c>
      <c r="AC576" t="s">
        <v>119</v>
      </c>
      <c r="AD576" t="s">
        <v>113</v>
      </c>
      <c r="AE576" t="s">
        <v>120</v>
      </c>
      <c r="AG576" t="s">
        <v>121</v>
      </c>
    </row>
    <row r="577" spans="1:33" x14ac:dyDescent="0.25">
      <c r="A577" t="str">
        <f>"1528017977"</f>
        <v>1528017977</v>
      </c>
      <c r="B577" t="str">
        <f>"02996014"</f>
        <v>02996014</v>
      </c>
      <c r="C577" t="s">
        <v>3600</v>
      </c>
      <c r="D577" t="s">
        <v>3601</v>
      </c>
      <c r="E577" t="s">
        <v>3602</v>
      </c>
      <c r="H577" t="s">
        <v>3603</v>
      </c>
      <c r="L577" t="s">
        <v>3604</v>
      </c>
      <c r="M577" t="s">
        <v>199</v>
      </c>
      <c r="R577" t="s">
        <v>3605</v>
      </c>
      <c r="W577" t="s">
        <v>3606</v>
      </c>
      <c r="X577" t="s">
        <v>3607</v>
      </c>
      <c r="Y577" t="s">
        <v>153</v>
      </c>
      <c r="Z577" t="s">
        <v>117</v>
      </c>
      <c r="AA577" t="str">
        <f>"14304-3006"</f>
        <v>14304-3006</v>
      </c>
      <c r="AB577" t="s">
        <v>1460</v>
      </c>
      <c r="AC577" t="s">
        <v>119</v>
      </c>
      <c r="AD577" t="s">
        <v>113</v>
      </c>
      <c r="AE577" t="s">
        <v>120</v>
      </c>
      <c r="AG577" t="s">
        <v>121</v>
      </c>
    </row>
    <row r="578" spans="1:33" x14ac:dyDescent="0.25">
      <c r="A578" t="str">
        <f>"1881903763"</f>
        <v>1881903763</v>
      </c>
      <c r="C578" t="s">
        <v>3608</v>
      </c>
      <c r="G578" t="s">
        <v>3609</v>
      </c>
      <c r="J578" t="s">
        <v>438</v>
      </c>
      <c r="K578" t="s">
        <v>303</v>
      </c>
      <c r="L578" t="s">
        <v>229</v>
      </c>
      <c r="M578" t="s">
        <v>113</v>
      </c>
      <c r="R578" t="s">
        <v>3610</v>
      </c>
      <c r="S578" t="s">
        <v>3611</v>
      </c>
      <c r="T578" t="s">
        <v>116</v>
      </c>
      <c r="U578" t="s">
        <v>117</v>
      </c>
      <c r="V578" t="str">
        <f>"142121501"</f>
        <v>142121501</v>
      </c>
      <c r="AC578" t="s">
        <v>119</v>
      </c>
      <c r="AD578" t="s">
        <v>113</v>
      </c>
      <c r="AE578" t="s">
        <v>306</v>
      </c>
      <c r="AG578" t="s">
        <v>121</v>
      </c>
    </row>
    <row r="579" spans="1:33" x14ac:dyDescent="0.25">
      <c r="A579" t="str">
        <f>"1881932218"</f>
        <v>1881932218</v>
      </c>
      <c r="B579" t="str">
        <f>"03716438"</f>
        <v>03716438</v>
      </c>
      <c r="C579" t="s">
        <v>3612</v>
      </c>
      <c r="D579" t="s">
        <v>3613</v>
      </c>
      <c r="E579" t="s">
        <v>3614</v>
      </c>
      <c r="G579" t="s">
        <v>3612</v>
      </c>
      <c r="H579" t="s">
        <v>3615</v>
      </c>
      <c r="J579" t="s">
        <v>3616</v>
      </c>
      <c r="L579" t="s">
        <v>112</v>
      </c>
      <c r="M579" t="s">
        <v>113</v>
      </c>
      <c r="R579" t="s">
        <v>3614</v>
      </c>
      <c r="W579" t="s">
        <v>3614</v>
      </c>
      <c r="X579" t="s">
        <v>216</v>
      </c>
      <c r="Y579" t="s">
        <v>116</v>
      </c>
      <c r="Z579" t="s">
        <v>117</v>
      </c>
      <c r="AA579" t="str">
        <f>"14222-2006"</f>
        <v>14222-2006</v>
      </c>
      <c r="AB579" t="s">
        <v>118</v>
      </c>
      <c r="AC579" t="s">
        <v>119</v>
      </c>
      <c r="AD579" t="s">
        <v>113</v>
      </c>
      <c r="AE579" t="s">
        <v>120</v>
      </c>
      <c r="AG579" t="s">
        <v>121</v>
      </c>
    </row>
    <row r="580" spans="1:33" x14ac:dyDescent="0.25">
      <c r="A580" t="str">
        <f>"1881987683"</f>
        <v>1881987683</v>
      </c>
      <c r="B580" t="str">
        <f>"03949424"</f>
        <v>03949424</v>
      </c>
      <c r="C580" t="s">
        <v>3617</v>
      </c>
      <c r="D580" t="s">
        <v>3618</v>
      </c>
      <c r="E580" t="s">
        <v>3619</v>
      </c>
      <c r="G580" t="s">
        <v>3617</v>
      </c>
      <c r="H580" t="s">
        <v>3620</v>
      </c>
      <c r="J580" t="s">
        <v>3621</v>
      </c>
      <c r="L580" t="s">
        <v>150</v>
      </c>
      <c r="M580" t="s">
        <v>113</v>
      </c>
      <c r="R580" t="s">
        <v>3622</v>
      </c>
      <c r="W580" t="s">
        <v>3623</v>
      </c>
      <c r="X580" t="s">
        <v>3624</v>
      </c>
      <c r="Y580" t="s">
        <v>240</v>
      </c>
      <c r="Z580" t="s">
        <v>117</v>
      </c>
      <c r="AA580" t="str">
        <f>"14221-8024"</f>
        <v>14221-8024</v>
      </c>
      <c r="AB580" t="s">
        <v>118</v>
      </c>
      <c r="AC580" t="s">
        <v>119</v>
      </c>
      <c r="AD580" t="s">
        <v>113</v>
      </c>
      <c r="AE580" t="s">
        <v>120</v>
      </c>
      <c r="AG580" t="s">
        <v>121</v>
      </c>
    </row>
    <row r="581" spans="1:33" x14ac:dyDescent="0.25">
      <c r="B581" t="str">
        <f>"01494251"</f>
        <v>01494251</v>
      </c>
      <c r="C581" t="s">
        <v>18514</v>
      </c>
      <c r="D581" t="s">
        <v>18515</v>
      </c>
      <c r="E581" t="s">
        <v>18514</v>
      </c>
      <c r="H581" t="s">
        <v>11657</v>
      </c>
      <c r="L581" t="s">
        <v>69</v>
      </c>
      <c r="M581" t="s">
        <v>113</v>
      </c>
      <c r="W581" t="s">
        <v>18514</v>
      </c>
      <c r="X581" t="s">
        <v>18516</v>
      </c>
      <c r="Y581" t="s">
        <v>1545</v>
      </c>
      <c r="Z581" t="s">
        <v>117</v>
      </c>
      <c r="AA581" t="str">
        <f>"14218-1629"</f>
        <v>14218-1629</v>
      </c>
      <c r="AB581" t="s">
        <v>291</v>
      </c>
      <c r="AC581" t="s">
        <v>119</v>
      </c>
      <c r="AD581" t="s">
        <v>113</v>
      </c>
      <c r="AE581" t="s">
        <v>120</v>
      </c>
      <c r="AG581" t="s">
        <v>121</v>
      </c>
    </row>
    <row r="582" spans="1:33" x14ac:dyDescent="0.25">
      <c r="A582" t="str">
        <f>"1679565550"</f>
        <v>1679565550</v>
      </c>
      <c r="C582" t="s">
        <v>3632</v>
      </c>
      <c r="H582" t="s">
        <v>3633</v>
      </c>
      <c r="K582" t="s">
        <v>303</v>
      </c>
      <c r="L582" t="s">
        <v>229</v>
      </c>
      <c r="M582" t="s">
        <v>113</v>
      </c>
      <c r="R582" t="s">
        <v>3632</v>
      </c>
      <c r="S582" t="s">
        <v>3634</v>
      </c>
      <c r="T582" t="s">
        <v>2946</v>
      </c>
      <c r="U582" t="s">
        <v>117</v>
      </c>
      <c r="V582" t="str">
        <f>"140757419"</f>
        <v>140757419</v>
      </c>
      <c r="AC582" t="s">
        <v>119</v>
      </c>
      <c r="AD582" t="s">
        <v>113</v>
      </c>
      <c r="AE582" t="s">
        <v>306</v>
      </c>
      <c r="AG582" t="s">
        <v>121</v>
      </c>
    </row>
    <row r="583" spans="1:33" x14ac:dyDescent="0.25">
      <c r="A583" t="str">
        <f>"1679568596"</f>
        <v>1679568596</v>
      </c>
      <c r="B583" t="str">
        <f>"01380643"</f>
        <v>01380643</v>
      </c>
      <c r="C583" t="s">
        <v>3635</v>
      </c>
      <c r="D583" t="s">
        <v>3636</v>
      </c>
      <c r="E583" t="s">
        <v>3637</v>
      </c>
      <c r="G583" t="s">
        <v>3635</v>
      </c>
      <c r="H583" t="s">
        <v>322</v>
      </c>
      <c r="J583" t="s">
        <v>3638</v>
      </c>
      <c r="L583" t="s">
        <v>142</v>
      </c>
      <c r="M583" t="s">
        <v>113</v>
      </c>
      <c r="R583" t="s">
        <v>3639</v>
      </c>
      <c r="W583" t="s">
        <v>3637</v>
      </c>
      <c r="X583" t="s">
        <v>3640</v>
      </c>
      <c r="Y583" t="s">
        <v>2946</v>
      </c>
      <c r="Z583" t="s">
        <v>117</v>
      </c>
      <c r="AA583" t="str">
        <f>"14075-5835"</f>
        <v>14075-5835</v>
      </c>
      <c r="AB583" t="s">
        <v>118</v>
      </c>
      <c r="AC583" t="s">
        <v>119</v>
      </c>
      <c r="AD583" t="s">
        <v>113</v>
      </c>
      <c r="AE583" t="s">
        <v>120</v>
      </c>
      <c r="AG583" t="s">
        <v>121</v>
      </c>
    </row>
    <row r="584" spans="1:33" x14ac:dyDescent="0.25">
      <c r="A584" t="str">
        <f>"1679569214"</f>
        <v>1679569214</v>
      </c>
      <c r="B584" t="str">
        <f>"02686280"</f>
        <v>02686280</v>
      </c>
      <c r="C584" t="s">
        <v>3641</v>
      </c>
      <c r="D584" t="s">
        <v>3642</v>
      </c>
      <c r="E584" t="s">
        <v>3643</v>
      </c>
      <c r="G584" t="s">
        <v>3641</v>
      </c>
      <c r="H584" t="s">
        <v>667</v>
      </c>
      <c r="J584" t="s">
        <v>3644</v>
      </c>
      <c r="L584" t="s">
        <v>142</v>
      </c>
      <c r="M584" t="s">
        <v>113</v>
      </c>
      <c r="R584" t="s">
        <v>3645</v>
      </c>
      <c r="W584" t="s">
        <v>3643</v>
      </c>
      <c r="X584" t="s">
        <v>3646</v>
      </c>
      <c r="Y584" t="s">
        <v>240</v>
      </c>
      <c r="Z584" t="s">
        <v>117</v>
      </c>
      <c r="AA584" t="str">
        <f>"14221-5974"</f>
        <v>14221-5974</v>
      </c>
      <c r="AB584" t="s">
        <v>118</v>
      </c>
      <c r="AC584" t="s">
        <v>119</v>
      </c>
      <c r="AD584" t="s">
        <v>113</v>
      </c>
      <c r="AE584" t="s">
        <v>120</v>
      </c>
      <c r="AG584" t="s">
        <v>121</v>
      </c>
    </row>
    <row r="585" spans="1:33" x14ac:dyDescent="0.25">
      <c r="A585" t="str">
        <f>"1679575211"</f>
        <v>1679575211</v>
      </c>
      <c r="C585" t="s">
        <v>3647</v>
      </c>
      <c r="H585" t="s">
        <v>3633</v>
      </c>
      <c r="K585" t="s">
        <v>303</v>
      </c>
      <c r="L585" t="s">
        <v>229</v>
      </c>
      <c r="M585" t="s">
        <v>113</v>
      </c>
      <c r="R585" t="s">
        <v>3647</v>
      </c>
      <c r="S585" t="s">
        <v>3648</v>
      </c>
      <c r="T585" t="s">
        <v>3649</v>
      </c>
      <c r="U585" t="s">
        <v>117</v>
      </c>
      <c r="V585" t="str">
        <f>"140721251"</f>
        <v>140721251</v>
      </c>
      <c r="AC585" t="s">
        <v>119</v>
      </c>
      <c r="AD585" t="s">
        <v>113</v>
      </c>
      <c r="AE585" t="s">
        <v>306</v>
      </c>
      <c r="AG585" t="s">
        <v>121</v>
      </c>
    </row>
    <row r="586" spans="1:33" x14ac:dyDescent="0.25">
      <c r="A586" t="str">
        <f>"1679581862"</f>
        <v>1679581862</v>
      </c>
      <c r="B586" t="str">
        <f>"02513702"</f>
        <v>02513702</v>
      </c>
      <c r="C586" t="s">
        <v>3650</v>
      </c>
      <c r="D586" t="s">
        <v>3651</v>
      </c>
      <c r="E586" t="s">
        <v>3652</v>
      </c>
      <c r="G586" t="s">
        <v>3653</v>
      </c>
      <c r="H586" t="s">
        <v>205</v>
      </c>
      <c r="J586" t="s">
        <v>3654</v>
      </c>
      <c r="L586" t="s">
        <v>150</v>
      </c>
      <c r="M586" t="s">
        <v>113</v>
      </c>
      <c r="R586" t="s">
        <v>3655</v>
      </c>
      <c r="W586" t="s">
        <v>3652</v>
      </c>
      <c r="X586" t="s">
        <v>216</v>
      </c>
      <c r="Y586" t="s">
        <v>116</v>
      </c>
      <c r="Z586" t="s">
        <v>117</v>
      </c>
      <c r="AA586" t="str">
        <f>"14222-2006"</f>
        <v>14222-2006</v>
      </c>
      <c r="AB586" t="s">
        <v>118</v>
      </c>
      <c r="AC586" t="s">
        <v>119</v>
      </c>
      <c r="AD586" t="s">
        <v>113</v>
      </c>
      <c r="AE586" t="s">
        <v>120</v>
      </c>
      <c r="AG586" t="s">
        <v>121</v>
      </c>
    </row>
    <row r="587" spans="1:33" x14ac:dyDescent="0.25">
      <c r="A587" t="str">
        <f>"1679594238"</f>
        <v>1679594238</v>
      </c>
      <c r="B587" t="str">
        <f>"00785259"</f>
        <v>00785259</v>
      </c>
      <c r="C587" t="s">
        <v>3656</v>
      </c>
      <c r="D587" t="s">
        <v>3657</v>
      </c>
      <c r="E587" t="s">
        <v>3658</v>
      </c>
      <c r="G587" t="s">
        <v>3656</v>
      </c>
      <c r="H587" t="s">
        <v>3659</v>
      </c>
      <c r="J587" t="s">
        <v>3660</v>
      </c>
      <c r="L587" t="s">
        <v>112</v>
      </c>
      <c r="M587" t="s">
        <v>113</v>
      </c>
      <c r="R587" t="s">
        <v>3661</v>
      </c>
      <c r="W587" t="s">
        <v>3662</v>
      </c>
      <c r="X587" t="s">
        <v>3663</v>
      </c>
      <c r="Y587" t="s">
        <v>377</v>
      </c>
      <c r="Z587" t="s">
        <v>117</v>
      </c>
      <c r="AA587" t="str">
        <f>"14217-1421"</f>
        <v>14217-1421</v>
      </c>
      <c r="AB587" t="s">
        <v>1755</v>
      </c>
      <c r="AC587" t="s">
        <v>119</v>
      </c>
      <c r="AD587" t="s">
        <v>113</v>
      </c>
      <c r="AE587" t="s">
        <v>120</v>
      </c>
      <c r="AG587" t="s">
        <v>121</v>
      </c>
    </row>
    <row r="588" spans="1:33" x14ac:dyDescent="0.25">
      <c r="A588" t="str">
        <f>"1588807994"</f>
        <v>1588807994</v>
      </c>
      <c r="B588" t="str">
        <f>"03488502"</f>
        <v>03488502</v>
      </c>
      <c r="C588" t="s">
        <v>3664</v>
      </c>
      <c r="D588" t="s">
        <v>3665</v>
      </c>
      <c r="E588" t="s">
        <v>3666</v>
      </c>
      <c r="G588" t="s">
        <v>3667</v>
      </c>
      <c r="H588" t="s">
        <v>3668</v>
      </c>
      <c r="J588" t="s">
        <v>3669</v>
      </c>
      <c r="L588" t="s">
        <v>112</v>
      </c>
      <c r="M588" t="s">
        <v>113</v>
      </c>
      <c r="R588" t="s">
        <v>3666</v>
      </c>
      <c r="W588" t="s">
        <v>3666</v>
      </c>
      <c r="X588" t="s">
        <v>176</v>
      </c>
      <c r="Y588" t="s">
        <v>116</v>
      </c>
      <c r="Z588" t="s">
        <v>117</v>
      </c>
      <c r="AA588" t="str">
        <f>"14203-1126"</f>
        <v>14203-1126</v>
      </c>
      <c r="AB588" t="s">
        <v>118</v>
      </c>
      <c r="AC588" t="s">
        <v>119</v>
      </c>
      <c r="AD588" t="s">
        <v>113</v>
      </c>
      <c r="AE588" t="s">
        <v>120</v>
      </c>
      <c r="AG588" t="s">
        <v>121</v>
      </c>
    </row>
    <row r="589" spans="1:33" x14ac:dyDescent="0.25">
      <c r="A589" t="str">
        <f>"1588819791"</f>
        <v>1588819791</v>
      </c>
      <c r="B589" t="str">
        <f>"03079912"</f>
        <v>03079912</v>
      </c>
      <c r="C589" t="s">
        <v>3670</v>
      </c>
      <c r="D589" t="s">
        <v>3671</v>
      </c>
      <c r="E589" t="s">
        <v>3672</v>
      </c>
      <c r="F589">
        <v>166002556</v>
      </c>
      <c r="H589" t="s">
        <v>3673</v>
      </c>
      <c r="L589" t="s">
        <v>229</v>
      </c>
      <c r="M589" t="s">
        <v>199</v>
      </c>
      <c r="R589" t="s">
        <v>3670</v>
      </c>
      <c r="W589" t="s">
        <v>3672</v>
      </c>
      <c r="X589" t="s">
        <v>3674</v>
      </c>
      <c r="Y589" t="s">
        <v>1557</v>
      </c>
      <c r="Z589" t="s">
        <v>117</v>
      </c>
      <c r="AA589" t="str">
        <f>"14757-1090"</f>
        <v>14757-1090</v>
      </c>
      <c r="AB589" t="s">
        <v>1146</v>
      </c>
      <c r="AC589" t="s">
        <v>119</v>
      </c>
      <c r="AD589" t="s">
        <v>113</v>
      </c>
      <c r="AE589" t="s">
        <v>120</v>
      </c>
      <c r="AG589" t="s">
        <v>121</v>
      </c>
    </row>
    <row r="590" spans="1:33" x14ac:dyDescent="0.25">
      <c r="A590" t="str">
        <f>"1588834949"</f>
        <v>1588834949</v>
      </c>
      <c r="C590" t="s">
        <v>3675</v>
      </c>
      <c r="G590" t="s">
        <v>3676</v>
      </c>
      <c r="H590" t="s">
        <v>351</v>
      </c>
      <c r="J590" t="s">
        <v>3677</v>
      </c>
      <c r="K590" t="s">
        <v>303</v>
      </c>
      <c r="L590" t="s">
        <v>229</v>
      </c>
      <c r="M590" t="s">
        <v>113</v>
      </c>
      <c r="R590" t="s">
        <v>3678</v>
      </c>
      <c r="S590" t="s">
        <v>405</v>
      </c>
      <c r="T590" t="s">
        <v>116</v>
      </c>
      <c r="U590" t="s">
        <v>117</v>
      </c>
      <c r="V590" t="str">
        <f>"142151139"</f>
        <v>142151139</v>
      </c>
      <c r="AC590" t="s">
        <v>119</v>
      </c>
      <c r="AD590" t="s">
        <v>113</v>
      </c>
      <c r="AE590" t="s">
        <v>306</v>
      </c>
      <c r="AG590" t="s">
        <v>121</v>
      </c>
    </row>
    <row r="591" spans="1:33" x14ac:dyDescent="0.25">
      <c r="A591" t="str">
        <f>"1588861819"</f>
        <v>1588861819</v>
      </c>
      <c r="B591" t="str">
        <f>"03779191"</f>
        <v>03779191</v>
      </c>
      <c r="C591" t="s">
        <v>3679</v>
      </c>
      <c r="D591" t="s">
        <v>3680</v>
      </c>
      <c r="E591" t="s">
        <v>3681</v>
      </c>
      <c r="G591" t="s">
        <v>3679</v>
      </c>
      <c r="H591" t="s">
        <v>3682</v>
      </c>
      <c r="J591" t="s">
        <v>3683</v>
      </c>
      <c r="L591" t="s">
        <v>112</v>
      </c>
      <c r="M591" t="s">
        <v>113</v>
      </c>
      <c r="R591" t="s">
        <v>3684</v>
      </c>
      <c r="W591" t="s">
        <v>3681</v>
      </c>
      <c r="X591" t="s">
        <v>3685</v>
      </c>
      <c r="Y591" t="s">
        <v>240</v>
      </c>
      <c r="Z591" t="s">
        <v>117</v>
      </c>
      <c r="AA591" t="str">
        <f>"14221-2700"</f>
        <v>14221-2700</v>
      </c>
      <c r="AB591" t="s">
        <v>118</v>
      </c>
      <c r="AC591" t="s">
        <v>119</v>
      </c>
      <c r="AD591" t="s">
        <v>113</v>
      </c>
      <c r="AE591" t="s">
        <v>120</v>
      </c>
      <c r="AG591" t="s">
        <v>121</v>
      </c>
    </row>
    <row r="592" spans="1:33" x14ac:dyDescent="0.25">
      <c r="A592" t="str">
        <f>"1588865711"</f>
        <v>1588865711</v>
      </c>
      <c r="B592" t="str">
        <f>"03374247"</f>
        <v>03374247</v>
      </c>
      <c r="C592" t="s">
        <v>3686</v>
      </c>
      <c r="D592" t="s">
        <v>3687</v>
      </c>
      <c r="E592" t="s">
        <v>3688</v>
      </c>
      <c r="G592" t="s">
        <v>3686</v>
      </c>
      <c r="H592" t="s">
        <v>3689</v>
      </c>
      <c r="J592" t="s">
        <v>3690</v>
      </c>
      <c r="L592" t="s">
        <v>112</v>
      </c>
      <c r="M592" t="s">
        <v>113</v>
      </c>
      <c r="R592" t="s">
        <v>3691</v>
      </c>
      <c r="W592" t="s">
        <v>3688</v>
      </c>
      <c r="X592" t="s">
        <v>838</v>
      </c>
      <c r="Y592" t="s">
        <v>240</v>
      </c>
      <c r="Z592" t="s">
        <v>117</v>
      </c>
      <c r="AA592" t="str">
        <f>"14221-3647"</f>
        <v>14221-3647</v>
      </c>
      <c r="AB592" t="s">
        <v>528</v>
      </c>
      <c r="AC592" t="s">
        <v>119</v>
      </c>
      <c r="AD592" t="s">
        <v>113</v>
      </c>
      <c r="AE592" t="s">
        <v>120</v>
      </c>
      <c r="AG592" t="s">
        <v>121</v>
      </c>
    </row>
    <row r="593" spans="1:33" x14ac:dyDescent="0.25">
      <c r="A593" t="str">
        <f>"1588875652"</f>
        <v>1588875652</v>
      </c>
      <c r="B593" t="str">
        <f>"01129946"</f>
        <v>01129946</v>
      </c>
      <c r="C593" t="s">
        <v>1542</v>
      </c>
      <c r="D593" t="s">
        <v>3692</v>
      </c>
      <c r="E593" t="s">
        <v>3693</v>
      </c>
      <c r="H593" t="s">
        <v>1456</v>
      </c>
      <c r="J593" t="s">
        <v>1457</v>
      </c>
      <c r="L593" t="s">
        <v>69</v>
      </c>
      <c r="M593" t="s">
        <v>113</v>
      </c>
      <c r="R593" t="s">
        <v>1453</v>
      </c>
      <c r="W593" t="s">
        <v>3693</v>
      </c>
      <c r="X593" t="s">
        <v>3694</v>
      </c>
      <c r="Y593" t="s">
        <v>1545</v>
      </c>
      <c r="Z593" t="s">
        <v>117</v>
      </c>
      <c r="AA593" t="str">
        <f>"14218-2708"</f>
        <v>14218-2708</v>
      </c>
      <c r="AB593" t="s">
        <v>282</v>
      </c>
      <c r="AC593" t="s">
        <v>119</v>
      </c>
      <c r="AD593" t="s">
        <v>113</v>
      </c>
      <c r="AE593" t="s">
        <v>120</v>
      </c>
      <c r="AG593" t="s">
        <v>121</v>
      </c>
    </row>
    <row r="594" spans="1:33" x14ac:dyDescent="0.25">
      <c r="A594" t="str">
        <f>"1588895189"</f>
        <v>1588895189</v>
      </c>
      <c r="B594" t="str">
        <f>"03164472"</f>
        <v>03164472</v>
      </c>
      <c r="C594" t="s">
        <v>3695</v>
      </c>
      <c r="D594" t="s">
        <v>3696</v>
      </c>
      <c r="E594" t="s">
        <v>3697</v>
      </c>
      <c r="G594" t="s">
        <v>3695</v>
      </c>
      <c r="H594" t="s">
        <v>1308</v>
      </c>
      <c r="J594" t="s">
        <v>3698</v>
      </c>
      <c r="L594" t="s">
        <v>142</v>
      </c>
      <c r="M594" t="s">
        <v>113</v>
      </c>
      <c r="R594" t="s">
        <v>3697</v>
      </c>
      <c r="W594" t="s">
        <v>3697</v>
      </c>
      <c r="X594" t="s">
        <v>2336</v>
      </c>
      <c r="Y594" t="s">
        <v>145</v>
      </c>
      <c r="Z594" t="s">
        <v>117</v>
      </c>
      <c r="AA594" t="str">
        <f>"14051-2610"</f>
        <v>14051-2610</v>
      </c>
      <c r="AB594" t="s">
        <v>118</v>
      </c>
      <c r="AC594" t="s">
        <v>119</v>
      </c>
      <c r="AD594" t="s">
        <v>113</v>
      </c>
      <c r="AE594" t="s">
        <v>120</v>
      </c>
      <c r="AG594" t="s">
        <v>121</v>
      </c>
    </row>
    <row r="595" spans="1:33" x14ac:dyDescent="0.25">
      <c r="A595" t="str">
        <f>"1588901359"</f>
        <v>1588901359</v>
      </c>
      <c r="B595" t="str">
        <f>"03600722"</f>
        <v>03600722</v>
      </c>
      <c r="C595" t="s">
        <v>3699</v>
      </c>
      <c r="D595" t="s">
        <v>3700</v>
      </c>
      <c r="E595" t="s">
        <v>3701</v>
      </c>
      <c r="G595" t="s">
        <v>3702</v>
      </c>
      <c r="J595" t="s">
        <v>3703</v>
      </c>
      <c r="L595" t="s">
        <v>142</v>
      </c>
      <c r="M595" t="s">
        <v>113</v>
      </c>
      <c r="R595" t="s">
        <v>3704</v>
      </c>
      <c r="W595" t="s">
        <v>3701</v>
      </c>
      <c r="X595" t="s">
        <v>3705</v>
      </c>
      <c r="Y595" t="s">
        <v>958</v>
      </c>
      <c r="Z595" t="s">
        <v>117</v>
      </c>
      <c r="AA595" t="str">
        <f>"14226-1727"</f>
        <v>14226-1727</v>
      </c>
      <c r="AB595" t="s">
        <v>118</v>
      </c>
      <c r="AC595" t="s">
        <v>119</v>
      </c>
      <c r="AD595" t="s">
        <v>113</v>
      </c>
      <c r="AE595" t="s">
        <v>120</v>
      </c>
      <c r="AG595" t="s">
        <v>121</v>
      </c>
    </row>
    <row r="596" spans="1:33" x14ac:dyDescent="0.25">
      <c r="A596" t="str">
        <f>"1588926950"</f>
        <v>1588926950</v>
      </c>
      <c r="C596" t="s">
        <v>3706</v>
      </c>
      <c r="G596" t="s">
        <v>3707</v>
      </c>
      <c r="H596" t="s">
        <v>351</v>
      </c>
      <c r="J596" t="s">
        <v>352</v>
      </c>
      <c r="K596" t="s">
        <v>303</v>
      </c>
      <c r="L596" t="s">
        <v>112</v>
      </c>
      <c r="M596" t="s">
        <v>113</v>
      </c>
      <c r="R596" t="s">
        <v>3708</v>
      </c>
      <c r="S596" t="s">
        <v>354</v>
      </c>
      <c r="T596" t="s">
        <v>116</v>
      </c>
      <c r="U596" t="s">
        <v>117</v>
      </c>
      <c r="V596" t="str">
        <f>"142152814"</f>
        <v>142152814</v>
      </c>
      <c r="AC596" t="s">
        <v>119</v>
      </c>
      <c r="AD596" t="s">
        <v>113</v>
      </c>
      <c r="AE596" t="s">
        <v>306</v>
      </c>
      <c r="AG596" t="s">
        <v>121</v>
      </c>
    </row>
    <row r="597" spans="1:33" x14ac:dyDescent="0.25">
      <c r="A597" t="str">
        <f>"1588932149"</f>
        <v>1588932149</v>
      </c>
      <c r="B597" t="str">
        <f>"03680435"</f>
        <v>03680435</v>
      </c>
      <c r="C597" t="s">
        <v>3709</v>
      </c>
      <c r="D597" t="s">
        <v>3710</v>
      </c>
      <c r="E597" t="s">
        <v>3711</v>
      </c>
      <c r="G597" t="s">
        <v>3709</v>
      </c>
      <c r="H597" t="s">
        <v>3712</v>
      </c>
      <c r="J597" t="s">
        <v>3713</v>
      </c>
      <c r="L597" t="s">
        <v>112</v>
      </c>
      <c r="M597" t="s">
        <v>113</v>
      </c>
      <c r="R597" t="s">
        <v>3711</v>
      </c>
      <c r="W597" t="s">
        <v>3711</v>
      </c>
      <c r="X597" t="s">
        <v>740</v>
      </c>
      <c r="Y597" t="s">
        <v>116</v>
      </c>
      <c r="Z597" t="s">
        <v>117</v>
      </c>
      <c r="AA597" t="str">
        <f>"14202-1804"</f>
        <v>14202-1804</v>
      </c>
      <c r="AB597" t="s">
        <v>621</v>
      </c>
      <c r="AC597" t="s">
        <v>119</v>
      </c>
      <c r="AD597" t="s">
        <v>113</v>
      </c>
      <c r="AE597" t="s">
        <v>120</v>
      </c>
      <c r="AG597" t="s">
        <v>121</v>
      </c>
    </row>
    <row r="598" spans="1:33" x14ac:dyDescent="0.25">
      <c r="A598" t="str">
        <f>"1588934053"</f>
        <v>1588934053</v>
      </c>
      <c r="C598" t="s">
        <v>3714</v>
      </c>
      <c r="G598" t="s">
        <v>3715</v>
      </c>
      <c r="H598" t="s">
        <v>351</v>
      </c>
      <c r="J598" t="s">
        <v>352</v>
      </c>
      <c r="K598" t="s">
        <v>303</v>
      </c>
      <c r="L598" t="s">
        <v>112</v>
      </c>
      <c r="M598" t="s">
        <v>113</v>
      </c>
      <c r="R598" t="s">
        <v>3716</v>
      </c>
      <c r="S598" t="s">
        <v>409</v>
      </c>
      <c r="T598" t="s">
        <v>116</v>
      </c>
      <c r="U598" t="s">
        <v>117</v>
      </c>
      <c r="V598" t="str">
        <f>"142152814"</f>
        <v>142152814</v>
      </c>
      <c r="AC598" t="s">
        <v>119</v>
      </c>
      <c r="AD598" t="s">
        <v>113</v>
      </c>
      <c r="AE598" t="s">
        <v>306</v>
      </c>
      <c r="AG598" t="s">
        <v>121</v>
      </c>
    </row>
    <row r="599" spans="1:33" x14ac:dyDescent="0.25">
      <c r="A599" t="str">
        <f>"1588977359"</f>
        <v>1588977359</v>
      </c>
      <c r="B599" t="str">
        <f>"03727295"</f>
        <v>03727295</v>
      </c>
      <c r="C599" t="s">
        <v>3717</v>
      </c>
      <c r="D599" t="s">
        <v>3718</v>
      </c>
      <c r="E599" t="s">
        <v>3719</v>
      </c>
      <c r="G599" t="s">
        <v>3717</v>
      </c>
      <c r="J599" t="s">
        <v>3720</v>
      </c>
      <c r="L599" t="s">
        <v>142</v>
      </c>
      <c r="M599" t="s">
        <v>113</v>
      </c>
      <c r="R599" t="s">
        <v>3721</v>
      </c>
      <c r="W599" t="s">
        <v>3719</v>
      </c>
      <c r="X599" t="s">
        <v>216</v>
      </c>
      <c r="Y599" t="s">
        <v>116</v>
      </c>
      <c r="Z599" t="s">
        <v>117</v>
      </c>
      <c r="AA599" t="str">
        <f>"14222-2006"</f>
        <v>14222-2006</v>
      </c>
      <c r="AB599" t="s">
        <v>118</v>
      </c>
      <c r="AC599" t="s">
        <v>119</v>
      </c>
      <c r="AD599" t="s">
        <v>113</v>
      </c>
      <c r="AE599" t="s">
        <v>120</v>
      </c>
      <c r="AG599" t="s">
        <v>121</v>
      </c>
    </row>
    <row r="600" spans="1:33" x14ac:dyDescent="0.25">
      <c r="A600" t="str">
        <f>"1588981575"</f>
        <v>1588981575</v>
      </c>
      <c r="B600" t="str">
        <f>"03227534"</f>
        <v>03227534</v>
      </c>
      <c r="C600" t="s">
        <v>3722</v>
      </c>
      <c r="D600" t="s">
        <v>3723</v>
      </c>
      <c r="E600" t="s">
        <v>3724</v>
      </c>
      <c r="G600" t="s">
        <v>3725</v>
      </c>
      <c r="H600" t="s">
        <v>478</v>
      </c>
      <c r="J600" t="s">
        <v>3726</v>
      </c>
      <c r="L600" t="s">
        <v>142</v>
      </c>
      <c r="M600" t="s">
        <v>113</v>
      </c>
      <c r="R600" t="s">
        <v>3727</v>
      </c>
      <c r="W600" t="s">
        <v>3724</v>
      </c>
      <c r="X600" t="s">
        <v>3728</v>
      </c>
      <c r="Y600" t="s">
        <v>116</v>
      </c>
      <c r="Z600" t="s">
        <v>117</v>
      </c>
      <c r="AA600" t="str">
        <f>"14215-3021"</f>
        <v>14215-3021</v>
      </c>
      <c r="AB600" t="s">
        <v>118</v>
      </c>
      <c r="AC600" t="s">
        <v>119</v>
      </c>
      <c r="AD600" t="s">
        <v>113</v>
      </c>
      <c r="AE600" t="s">
        <v>120</v>
      </c>
      <c r="AG600" t="s">
        <v>121</v>
      </c>
    </row>
    <row r="601" spans="1:33" x14ac:dyDescent="0.25">
      <c r="A601" t="str">
        <f>"1598047904"</f>
        <v>1598047904</v>
      </c>
      <c r="B601" t="str">
        <f>"03399240"</f>
        <v>03399240</v>
      </c>
      <c r="C601" t="s">
        <v>3729</v>
      </c>
      <c r="D601" t="s">
        <v>3730</v>
      </c>
      <c r="E601" t="s">
        <v>3731</v>
      </c>
      <c r="G601" t="s">
        <v>3732</v>
      </c>
      <c r="H601" t="s">
        <v>449</v>
      </c>
      <c r="J601" t="s">
        <v>3733</v>
      </c>
      <c r="L601" t="s">
        <v>112</v>
      </c>
      <c r="M601" t="s">
        <v>113</v>
      </c>
      <c r="R601" t="s">
        <v>3734</v>
      </c>
      <c r="W601" t="s">
        <v>3731</v>
      </c>
      <c r="X601" t="s">
        <v>1648</v>
      </c>
      <c r="Y601" t="s">
        <v>116</v>
      </c>
      <c r="Z601" t="s">
        <v>117</v>
      </c>
      <c r="AA601" t="str">
        <f>"14214-2648"</f>
        <v>14214-2648</v>
      </c>
      <c r="AB601" t="s">
        <v>118</v>
      </c>
      <c r="AC601" t="s">
        <v>119</v>
      </c>
      <c r="AD601" t="s">
        <v>113</v>
      </c>
      <c r="AE601" t="s">
        <v>120</v>
      </c>
      <c r="AG601" t="s">
        <v>121</v>
      </c>
    </row>
    <row r="602" spans="1:33" x14ac:dyDescent="0.25">
      <c r="A602" t="str">
        <f>"1598062580"</f>
        <v>1598062580</v>
      </c>
      <c r="C602" t="s">
        <v>3735</v>
      </c>
      <c r="G602" t="s">
        <v>3736</v>
      </c>
      <c r="H602" t="s">
        <v>937</v>
      </c>
      <c r="J602" t="s">
        <v>3737</v>
      </c>
      <c r="K602" t="s">
        <v>303</v>
      </c>
      <c r="L602" t="s">
        <v>229</v>
      </c>
      <c r="M602" t="s">
        <v>113</v>
      </c>
      <c r="R602" t="s">
        <v>3738</v>
      </c>
      <c r="S602" t="s">
        <v>3739</v>
      </c>
      <c r="T602" t="s">
        <v>240</v>
      </c>
      <c r="U602" t="s">
        <v>117</v>
      </c>
      <c r="V602" t="str">
        <f>"142216728"</f>
        <v>142216728</v>
      </c>
      <c r="AC602" t="s">
        <v>119</v>
      </c>
      <c r="AD602" t="s">
        <v>113</v>
      </c>
      <c r="AE602" t="s">
        <v>306</v>
      </c>
      <c r="AG602" t="s">
        <v>121</v>
      </c>
    </row>
    <row r="603" spans="1:33" x14ac:dyDescent="0.25">
      <c r="A603" t="str">
        <f>"1700827110"</f>
        <v>1700827110</v>
      </c>
      <c r="B603" t="str">
        <f>"00898233"</f>
        <v>00898233</v>
      </c>
      <c r="C603" t="s">
        <v>3740</v>
      </c>
      <c r="D603" t="s">
        <v>3741</v>
      </c>
      <c r="E603" t="s">
        <v>3742</v>
      </c>
      <c r="G603" t="s">
        <v>3740</v>
      </c>
      <c r="H603" t="s">
        <v>3743</v>
      </c>
      <c r="J603" t="s">
        <v>3744</v>
      </c>
      <c r="L603" t="s">
        <v>150</v>
      </c>
      <c r="M603" t="s">
        <v>113</v>
      </c>
      <c r="R603" t="s">
        <v>3745</v>
      </c>
      <c r="W603" t="s">
        <v>3742</v>
      </c>
      <c r="X603" t="s">
        <v>3746</v>
      </c>
      <c r="Y603" t="s">
        <v>116</v>
      </c>
      <c r="Z603" t="s">
        <v>117</v>
      </c>
      <c r="AA603" t="str">
        <f>"14225-3140"</f>
        <v>14225-3140</v>
      </c>
      <c r="AB603" t="s">
        <v>118</v>
      </c>
      <c r="AC603" t="s">
        <v>119</v>
      </c>
      <c r="AD603" t="s">
        <v>113</v>
      </c>
      <c r="AE603" t="s">
        <v>120</v>
      </c>
      <c r="AG603" t="s">
        <v>121</v>
      </c>
    </row>
    <row r="604" spans="1:33" x14ac:dyDescent="0.25">
      <c r="A604" t="str">
        <f>"1700841723"</f>
        <v>1700841723</v>
      </c>
      <c r="B604" t="str">
        <f>"02101444"</f>
        <v>02101444</v>
      </c>
      <c r="C604" t="s">
        <v>3747</v>
      </c>
      <c r="D604" t="s">
        <v>3748</v>
      </c>
      <c r="E604" t="s">
        <v>3749</v>
      </c>
      <c r="G604" t="s">
        <v>1723</v>
      </c>
      <c r="H604" t="s">
        <v>630</v>
      </c>
      <c r="J604" t="s">
        <v>1725</v>
      </c>
      <c r="L604" t="s">
        <v>142</v>
      </c>
      <c r="M604" t="s">
        <v>113</v>
      </c>
      <c r="R604" t="s">
        <v>3750</v>
      </c>
      <c r="W604" t="s">
        <v>3749</v>
      </c>
      <c r="X604" t="s">
        <v>3751</v>
      </c>
      <c r="Y604" t="s">
        <v>116</v>
      </c>
      <c r="Z604" t="s">
        <v>117</v>
      </c>
      <c r="AA604" t="str">
        <f>"14215-3021"</f>
        <v>14215-3021</v>
      </c>
      <c r="AB604" t="s">
        <v>118</v>
      </c>
      <c r="AC604" t="s">
        <v>119</v>
      </c>
      <c r="AD604" t="s">
        <v>113</v>
      </c>
      <c r="AE604" t="s">
        <v>120</v>
      </c>
      <c r="AG604" t="s">
        <v>121</v>
      </c>
    </row>
    <row r="605" spans="1:33" x14ac:dyDescent="0.25">
      <c r="A605" t="str">
        <f>"1700842937"</f>
        <v>1700842937</v>
      </c>
      <c r="B605" t="str">
        <f>"03822951"</f>
        <v>03822951</v>
      </c>
      <c r="C605" t="s">
        <v>3752</v>
      </c>
      <c r="D605" t="s">
        <v>3753</v>
      </c>
      <c r="E605" t="s">
        <v>3754</v>
      </c>
      <c r="G605" t="s">
        <v>3752</v>
      </c>
      <c r="H605" t="s">
        <v>3755</v>
      </c>
      <c r="J605" t="s">
        <v>3756</v>
      </c>
      <c r="L605" t="s">
        <v>229</v>
      </c>
      <c r="M605" t="s">
        <v>113</v>
      </c>
      <c r="R605" t="s">
        <v>3757</v>
      </c>
      <c r="W605" t="s">
        <v>3754</v>
      </c>
      <c r="X605" t="s">
        <v>3758</v>
      </c>
      <c r="Y605" t="s">
        <v>116</v>
      </c>
      <c r="Z605" t="s">
        <v>117</v>
      </c>
      <c r="AA605" t="str">
        <f>"14222-1919"</f>
        <v>14222-1919</v>
      </c>
      <c r="AB605" t="s">
        <v>118</v>
      </c>
      <c r="AC605" t="s">
        <v>119</v>
      </c>
      <c r="AD605" t="s">
        <v>113</v>
      </c>
      <c r="AE605" t="s">
        <v>120</v>
      </c>
      <c r="AG605" t="s">
        <v>121</v>
      </c>
    </row>
    <row r="606" spans="1:33" x14ac:dyDescent="0.25">
      <c r="A606" t="str">
        <f>"1700844826"</f>
        <v>1700844826</v>
      </c>
      <c r="B606" t="str">
        <f>"01180556"</f>
        <v>01180556</v>
      </c>
      <c r="C606" t="s">
        <v>3759</v>
      </c>
      <c r="D606" t="s">
        <v>3760</v>
      </c>
      <c r="E606" t="s">
        <v>3761</v>
      </c>
      <c r="G606" t="s">
        <v>3759</v>
      </c>
      <c r="H606" t="s">
        <v>205</v>
      </c>
      <c r="J606" t="s">
        <v>3762</v>
      </c>
      <c r="L606" t="s">
        <v>112</v>
      </c>
      <c r="M606" t="s">
        <v>113</v>
      </c>
      <c r="R606" t="s">
        <v>3763</v>
      </c>
      <c r="W606" t="s">
        <v>3761</v>
      </c>
      <c r="X606" t="s">
        <v>3764</v>
      </c>
      <c r="Y606" t="s">
        <v>116</v>
      </c>
      <c r="Z606" t="s">
        <v>117</v>
      </c>
      <c r="AA606" t="str">
        <f>"14225-1080"</f>
        <v>14225-1080</v>
      </c>
      <c r="AB606" t="s">
        <v>118</v>
      </c>
      <c r="AC606" t="s">
        <v>119</v>
      </c>
      <c r="AD606" t="s">
        <v>113</v>
      </c>
      <c r="AE606" t="s">
        <v>120</v>
      </c>
      <c r="AG606" t="s">
        <v>121</v>
      </c>
    </row>
    <row r="607" spans="1:33" x14ac:dyDescent="0.25">
      <c r="A607" t="str">
        <f>"1609852607"</f>
        <v>1609852607</v>
      </c>
      <c r="B607" t="str">
        <f>"02502481"</f>
        <v>02502481</v>
      </c>
      <c r="C607" t="s">
        <v>3765</v>
      </c>
      <c r="D607" t="s">
        <v>3766</v>
      </c>
      <c r="E607" t="s">
        <v>3767</v>
      </c>
      <c r="G607" t="s">
        <v>3765</v>
      </c>
      <c r="H607" t="s">
        <v>1006</v>
      </c>
      <c r="J607" t="s">
        <v>3768</v>
      </c>
      <c r="L607" t="s">
        <v>142</v>
      </c>
      <c r="M607" t="s">
        <v>113</v>
      </c>
      <c r="R607" t="s">
        <v>3769</v>
      </c>
      <c r="W607" t="s">
        <v>3767</v>
      </c>
      <c r="X607" t="s">
        <v>3770</v>
      </c>
      <c r="Y607" t="s">
        <v>240</v>
      </c>
      <c r="Z607" t="s">
        <v>117</v>
      </c>
      <c r="AA607" t="str">
        <f>"14221-6883"</f>
        <v>14221-6883</v>
      </c>
      <c r="AB607" t="s">
        <v>118</v>
      </c>
      <c r="AC607" t="s">
        <v>119</v>
      </c>
      <c r="AD607" t="s">
        <v>113</v>
      </c>
      <c r="AE607" t="s">
        <v>120</v>
      </c>
      <c r="AG607" t="s">
        <v>121</v>
      </c>
    </row>
    <row r="608" spans="1:33" x14ac:dyDescent="0.25">
      <c r="A608" t="str">
        <f>"1609855477"</f>
        <v>1609855477</v>
      </c>
      <c r="B608" t="str">
        <f>"01771631"</f>
        <v>01771631</v>
      </c>
      <c r="C608" t="s">
        <v>3771</v>
      </c>
      <c r="D608" t="s">
        <v>3772</v>
      </c>
      <c r="E608" t="s">
        <v>3773</v>
      </c>
      <c r="G608" t="s">
        <v>3771</v>
      </c>
      <c r="H608" t="s">
        <v>3774</v>
      </c>
      <c r="J608" t="s">
        <v>3775</v>
      </c>
      <c r="L608" t="s">
        <v>150</v>
      </c>
      <c r="M608" t="s">
        <v>113</v>
      </c>
      <c r="R608" t="s">
        <v>3776</v>
      </c>
      <c r="W608" t="s">
        <v>3773</v>
      </c>
      <c r="X608" t="s">
        <v>916</v>
      </c>
      <c r="Y608" t="s">
        <v>116</v>
      </c>
      <c r="Z608" t="s">
        <v>117</v>
      </c>
      <c r="AA608" t="str">
        <f>"14203-1154"</f>
        <v>14203-1154</v>
      </c>
      <c r="AB608" t="s">
        <v>118</v>
      </c>
      <c r="AC608" t="s">
        <v>119</v>
      </c>
      <c r="AD608" t="s">
        <v>113</v>
      </c>
      <c r="AE608" t="s">
        <v>120</v>
      </c>
      <c r="AG608" t="s">
        <v>121</v>
      </c>
    </row>
    <row r="609" spans="1:33" x14ac:dyDescent="0.25">
      <c r="A609" t="str">
        <f>"1609855501"</f>
        <v>1609855501</v>
      </c>
      <c r="B609" t="str">
        <f>"01715360"</f>
        <v>01715360</v>
      </c>
      <c r="C609" t="s">
        <v>3777</v>
      </c>
      <c r="D609" t="s">
        <v>3778</v>
      </c>
      <c r="E609" t="s">
        <v>3779</v>
      </c>
      <c r="G609" t="s">
        <v>3777</v>
      </c>
      <c r="H609" t="s">
        <v>3780</v>
      </c>
      <c r="J609" t="s">
        <v>3781</v>
      </c>
      <c r="L609" t="s">
        <v>1033</v>
      </c>
      <c r="M609" t="s">
        <v>113</v>
      </c>
      <c r="R609" t="s">
        <v>3782</v>
      </c>
      <c r="W609" t="s">
        <v>3783</v>
      </c>
      <c r="X609" t="s">
        <v>3784</v>
      </c>
      <c r="Y609" t="s">
        <v>958</v>
      </c>
      <c r="Z609" t="s">
        <v>117</v>
      </c>
      <c r="AA609" t="str">
        <f>"14228-3604"</f>
        <v>14228-3604</v>
      </c>
      <c r="AB609" t="s">
        <v>118</v>
      </c>
      <c r="AC609" t="s">
        <v>119</v>
      </c>
      <c r="AD609" t="s">
        <v>113</v>
      </c>
      <c r="AE609" t="s">
        <v>120</v>
      </c>
      <c r="AG609" t="s">
        <v>121</v>
      </c>
    </row>
    <row r="610" spans="1:33" x14ac:dyDescent="0.25">
      <c r="A610" t="str">
        <f>"1609866805"</f>
        <v>1609866805</v>
      </c>
      <c r="B610" t="str">
        <f>"02831285"</f>
        <v>02831285</v>
      </c>
      <c r="C610" t="s">
        <v>3785</v>
      </c>
      <c r="D610" t="s">
        <v>3786</v>
      </c>
      <c r="E610" t="s">
        <v>3787</v>
      </c>
      <c r="G610" t="s">
        <v>3788</v>
      </c>
      <c r="H610" t="s">
        <v>3789</v>
      </c>
      <c r="J610" t="s">
        <v>1387</v>
      </c>
      <c r="L610" t="s">
        <v>150</v>
      </c>
      <c r="M610" t="s">
        <v>113</v>
      </c>
      <c r="R610" t="s">
        <v>3790</v>
      </c>
      <c r="W610" t="s">
        <v>3791</v>
      </c>
      <c r="X610" t="s">
        <v>3792</v>
      </c>
      <c r="Y610" t="s">
        <v>3793</v>
      </c>
      <c r="Z610" t="s">
        <v>117</v>
      </c>
      <c r="AA610" t="str">
        <f>"14042-9501"</f>
        <v>14042-9501</v>
      </c>
      <c r="AB610" t="s">
        <v>118</v>
      </c>
      <c r="AC610" t="s">
        <v>119</v>
      </c>
      <c r="AD610" t="s">
        <v>113</v>
      </c>
      <c r="AE610" t="s">
        <v>120</v>
      </c>
      <c r="AG610" t="s">
        <v>121</v>
      </c>
    </row>
    <row r="611" spans="1:33" x14ac:dyDescent="0.25">
      <c r="A611" t="str">
        <f>"1609868736"</f>
        <v>1609868736</v>
      </c>
      <c r="B611" t="str">
        <f>"01462431"</f>
        <v>01462431</v>
      </c>
      <c r="C611" t="s">
        <v>3794</v>
      </c>
      <c r="D611" t="s">
        <v>3795</v>
      </c>
      <c r="E611" t="s">
        <v>3796</v>
      </c>
      <c r="L611" t="s">
        <v>112</v>
      </c>
      <c r="M611" t="s">
        <v>113</v>
      </c>
      <c r="R611" t="s">
        <v>3794</v>
      </c>
      <c r="W611" t="s">
        <v>3796</v>
      </c>
      <c r="X611" t="s">
        <v>518</v>
      </c>
      <c r="Y611" t="s">
        <v>305</v>
      </c>
      <c r="Z611" t="s">
        <v>117</v>
      </c>
      <c r="AA611" t="str">
        <f>"14760-1500"</f>
        <v>14760-1500</v>
      </c>
      <c r="AB611" t="s">
        <v>118</v>
      </c>
      <c r="AC611" t="s">
        <v>119</v>
      </c>
      <c r="AD611" t="s">
        <v>113</v>
      </c>
      <c r="AE611" t="s">
        <v>120</v>
      </c>
      <c r="AG611" t="s">
        <v>121</v>
      </c>
    </row>
    <row r="612" spans="1:33" x14ac:dyDescent="0.25">
      <c r="A612" t="str">
        <f>"1609869783"</f>
        <v>1609869783</v>
      </c>
      <c r="B612" t="str">
        <f>"01461518"</f>
        <v>01461518</v>
      </c>
      <c r="C612" t="s">
        <v>3797</v>
      </c>
      <c r="D612" t="s">
        <v>3798</v>
      </c>
      <c r="E612" t="s">
        <v>3799</v>
      </c>
      <c r="G612" t="s">
        <v>3797</v>
      </c>
      <c r="H612" t="s">
        <v>3800</v>
      </c>
      <c r="J612" t="s">
        <v>3801</v>
      </c>
      <c r="L612" t="s">
        <v>142</v>
      </c>
      <c r="M612" t="s">
        <v>113</v>
      </c>
      <c r="R612" t="s">
        <v>3802</v>
      </c>
      <c r="W612" t="s">
        <v>3799</v>
      </c>
      <c r="X612" t="s">
        <v>3803</v>
      </c>
      <c r="Y612" t="s">
        <v>129</v>
      </c>
      <c r="Z612" t="s">
        <v>117</v>
      </c>
      <c r="AA612" t="str">
        <f>"14224-2646"</f>
        <v>14224-2646</v>
      </c>
      <c r="AB612" t="s">
        <v>118</v>
      </c>
      <c r="AC612" t="s">
        <v>119</v>
      </c>
      <c r="AD612" t="s">
        <v>113</v>
      </c>
      <c r="AE612" t="s">
        <v>120</v>
      </c>
      <c r="AG612" t="s">
        <v>121</v>
      </c>
    </row>
    <row r="613" spans="1:33" x14ac:dyDescent="0.25">
      <c r="A613" t="str">
        <f>"1609912401"</f>
        <v>1609912401</v>
      </c>
      <c r="B613" t="str">
        <f>"02323586"</f>
        <v>02323586</v>
      </c>
      <c r="C613" t="s">
        <v>3804</v>
      </c>
      <c r="D613" t="s">
        <v>3805</v>
      </c>
      <c r="E613" t="s">
        <v>3806</v>
      </c>
      <c r="G613" t="s">
        <v>3804</v>
      </c>
      <c r="H613" t="s">
        <v>3807</v>
      </c>
      <c r="J613" t="s">
        <v>3808</v>
      </c>
      <c r="L613" t="s">
        <v>142</v>
      </c>
      <c r="M613" t="s">
        <v>199</v>
      </c>
      <c r="R613" t="s">
        <v>3809</v>
      </c>
      <c r="W613" t="s">
        <v>3810</v>
      </c>
      <c r="X613" t="s">
        <v>216</v>
      </c>
      <c r="Y613" t="s">
        <v>116</v>
      </c>
      <c r="Z613" t="s">
        <v>117</v>
      </c>
      <c r="AA613" t="str">
        <f>"14222-2006"</f>
        <v>14222-2006</v>
      </c>
      <c r="AB613" t="s">
        <v>118</v>
      </c>
      <c r="AC613" t="s">
        <v>119</v>
      </c>
      <c r="AD613" t="s">
        <v>113</v>
      </c>
      <c r="AE613" t="s">
        <v>120</v>
      </c>
      <c r="AG613" t="s">
        <v>121</v>
      </c>
    </row>
    <row r="614" spans="1:33" x14ac:dyDescent="0.25">
      <c r="A614" t="str">
        <f>"1609922475"</f>
        <v>1609922475</v>
      </c>
      <c r="B614" t="str">
        <f>"01488297"</f>
        <v>01488297</v>
      </c>
      <c r="C614" t="s">
        <v>3811</v>
      </c>
      <c r="D614" t="s">
        <v>3812</v>
      </c>
      <c r="E614" t="s">
        <v>3813</v>
      </c>
      <c r="G614" t="s">
        <v>3811</v>
      </c>
      <c r="H614" t="s">
        <v>3814</v>
      </c>
      <c r="J614" t="s">
        <v>3815</v>
      </c>
      <c r="L614" t="s">
        <v>150</v>
      </c>
      <c r="M614" t="s">
        <v>113</v>
      </c>
      <c r="R614" t="s">
        <v>3816</v>
      </c>
      <c r="W614" t="s">
        <v>3813</v>
      </c>
      <c r="X614" t="s">
        <v>3817</v>
      </c>
      <c r="Y614" t="s">
        <v>240</v>
      </c>
      <c r="Z614" t="s">
        <v>117</v>
      </c>
      <c r="AA614" t="str">
        <f>"14221-1200"</f>
        <v>14221-1200</v>
      </c>
      <c r="AB614" t="s">
        <v>118</v>
      </c>
      <c r="AC614" t="s">
        <v>119</v>
      </c>
      <c r="AD614" t="s">
        <v>113</v>
      </c>
      <c r="AE614" t="s">
        <v>120</v>
      </c>
      <c r="AG614" t="s">
        <v>121</v>
      </c>
    </row>
    <row r="615" spans="1:33" x14ac:dyDescent="0.25">
      <c r="A615" t="str">
        <f>"1609935998"</f>
        <v>1609935998</v>
      </c>
      <c r="B615" t="str">
        <f>"01826342"</f>
        <v>01826342</v>
      </c>
      <c r="C615" t="s">
        <v>3818</v>
      </c>
      <c r="D615" t="s">
        <v>3819</v>
      </c>
      <c r="E615" t="s">
        <v>3820</v>
      </c>
      <c r="G615" t="s">
        <v>3818</v>
      </c>
      <c r="H615" t="s">
        <v>2037</v>
      </c>
      <c r="J615" t="s">
        <v>3821</v>
      </c>
      <c r="L615" t="s">
        <v>112</v>
      </c>
      <c r="M615" t="s">
        <v>113</v>
      </c>
      <c r="R615" t="s">
        <v>3822</v>
      </c>
      <c r="W615" t="s">
        <v>3820</v>
      </c>
      <c r="X615" t="s">
        <v>216</v>
      </c>
      <c r="Y615" t="s">
        <v>116</v>
      </c>
      <c r="Z615" t="s">
        <v>117</v>
      </c>
      <c r="AA615" t="str">
        <f>"14222-2006"</f>
        <v>14222-2006</v>
      </c>
      <c r="AB615" t="s">
        <v>634</v>
      </c>
      <c r="AC615" t="s">
        <v>119</v>
      </c>
      <c r="AD615" t="s">
        <v>113</v>
      </c>
      <c r="AE615" t="s">
        <v>120</v>
      </c>
      <c r="AG615" t="s">
        <v>121</v>
      </c>
    </row>
    <row r="616" spans="1:33" x14ac:dyDescent="0.25">
      <c r="A616" t="str">
        <f>"1609952712"</f>
        <v>1609952712</v>
      </c>
      <c r="B616" t="str">
        <f>"03723246"</f>
        <v>03723246</v>
      </c>
      <c r="C616" t="s">
        <v>3823</v>
      </c>
      <c r="D616" t="s">
        <v>3824</v>
      </c>
      <c r="E616" t="s">
        <v>3825</v>
      </c>
      <c r="G616" t="s">
        <v>3826</v>
      </c>
      <c r="H616" t="s">
        <v>3827</v>
      </c>
      <c r="L616" t="s">
        <v>1033</v>
      </c>
      <c r="M616" t="s">
        <v>113</v>
      </c>
      <c r="R616" t="s">
        <v>3828</v>
      </c>
      <c r="W616" t="s">
        <v>3825</v>
      </c>
      <c r="X616" t="s">
        <v>2933</v>
      </c>
      <c r="Y616" t="s">
        <v>153</v>
      </c>
      <c r="Z616" t="s">
        <v>117</v>
      </c>
      <c r="AA616" t="str">
        <f>"14301-1201"</f>
        <v>14301-1201</v>
      </c>
      <c r="AB616" t="s">
        <v>621</v>
      </c>
      <c r="AC616" t="s">
        <v>119</v>
      </c>
      <c r="AD616" t="s">
        <v>113</v>
      </c>
      <c r="AE616" t="s">
        <v>120</v>
      </c>
      <c r="AG616" t="s">
        <v>121</v>
      </c>
    </row>
    <row r="617" spans="1:33" x14ac:dyDescent="0.25">
      <c r="A617" t="str">
        <f>"1740337260"</f>
        <v>1740337260</v>
      </c>
      <c r="C617" t="s">
        <v>3829</v>
      </c>
      <c r="G617" t="s">
        <v>3830</v>
      </c>
      <c r="H617" t="s">
        <v>437</v>
      </c>
      <c r="J617" t="s">
        <v>438</v>
      </c>
      <c r="K617" t="s">
        <v>303</v>
      </c>
      <c r="L617" t="s">
        <v>229</v>
      </c>
      <c r="M617" t="s">
        <v>113</v>
      </c>
      <c r="R617" t="s">
        <v>3831</v>
      </c>
      <c r="S617" t="s">
        <v>1117</v>
      </c>
      <c r="T617" t="s">
        <v>318</v>
      </c>
      <c r="U617" t="s">
        <v>117</v>
      </c>
      <c r="V617" t="str">
        <f>"142254965"</f>
        <v>142254965</v>
      </c>
      <c r="AC617" t="s">
        <v>119</v>
      </c>
      <c r="AD617" t="s">
        <v>113</v>
      </c>
      <c r="AE617" t="s">
        <v>306</v>
      </c>
      <c r="AG617" t="s">
        <v>121</v>
      </c>
    </row>
    <row r="618" spans="1:33" x14ac:dyDescent="0.25">
      <c r="A618" t="str">
        <f>"1740338060"</f>
        <v>1740338060</v>
      </c>
      <c r="B618" t="str">
        <f>"03627149"</f>
        <v>03627149</v>
      </c>
      <c r="C618" t="s">
        <v>3832</v>
      </c>
      <c r="D618" t="s">
        <v>3833</v>
      </c>
      <c r="E618" t="s">
        <v>3834</v>
      </c>
      <c r="G618" t="s">
        <v>3832</v>
      </c>
      <c r="J618" t="s">
        <v>3835</v>
      </c>
      <c r="L618" t="s">
        <v>112</v>
      </c>
      <c r="M618" t="s">
        <v>113</v>
      </c>
      <c r="R618" t="s">
        <v>3836</v>
      </c>
      <c r="W618" t="s">
        <v>3834</v>
      </c>
      <c r="X618" t="s">
        <v>176</v>
      </c>
      <c r="Y618" t="s">
        <v>116</v>
      </c>
      <c r="Z618" t="s">
        <v>117</v>
      </c>
      <c r="AA618" t="str">
        <f>"14203-1126"</f>
        <v>14203-1126</v>
      </c>
      <c r="AB618" t="s">
        <v>118</v>
      </c>
      <c r="AC618" t="s">
        <v>119</v>
      </c>
      <c r="AD618" t="s">
        <v>113</v>
      </c>
      <c r="AE618" t="s">
        <v>120</v>
      </c>
      <c r="AG618" t="s">
        <v>121</v>
      </c>
    </row>
    <row r="619" spans="1:33" x14ac:dyDescent="0.25">
      <c r="A619" t="str">
        <f>"1740344647"</f>
        <v>1740344647</v>
      </c>
      <c r="B619" t="str">
        <f>"02997208"</f>
        <v>02997208</v>
      </c>
      <c r="C619" t="s">
        <v>3837</v>
      </c>
      <c r="D619" t="s">
        <v>3838</v>
      </c>
      <c r="E619" t="s">
        <v>3839</v>
      </c>
      <c r="G619" t="s">
        <v>3840</v>
      </c>
      <c r="J619" t="s">
        <v>3841</v>
      </c>
      <c r="L619" t="s">
        <v>14</v>
      </c>
      <c r="M619" t="s">
        <v>113</v>
      </c>
      <c r="R619" t="s">
        <v>3837</v>
      </c>
      <c r="W619" t="s">
        <v>3842</v>
      </c>
      <c r="X619" t="s">
        <v>3843</v>
      </c>
      <c r="Y619" t="s">
        <v>116</v>
      </c>
      <c r="Z619" t="s">
        <v>117</v>
      </c>
      <c r="AA619" t="str">
        <f>"14213-1207"</f>
        <v>14213-1207</v>
      </c>
      <c r="AB619" t="s">
        <v>1460</v>
      </c>
      <c r="AC619" t="s">
        <v>119</v>
      </c>
      <c r="AD619" t="s">
        <v>113</v>
      </c>
      <c r="AE619" t="s">
        <v>120</v>
      </c>
      <c r="AG619" t="s">
        <v>121</v>
      </c>
    </row>
    <row r="620" spans="1:33" x14ac:dyDescent="0.25">
      <c r="A620" t="str">
        <f>"1396719605"</f>
        <v>1396719605</v>
      </c>
      <c r="B620" t="str">
        <f>"02772021"</f>
        <v>02772021</v>
      </c>
      <c r="C620" t="s">
        <v>3844</v>
      </c>
      <c r="D620" t="s">
        <v>3845</v>
      </c>
      <c r="E620" t="s">
        <v>3846</v>
      </c>
      <c r="G620" t="s">
        <v>3844</v>
      </c>
      <c r="H620" t="s">
        <v>3847</v>
      </c>
      <c r="J620" t="s">
        <v>3848</v>
      </c>
      <c r="L620" t="s">
        <v>142</v>
      </c>
      <c r="M620" t="s">
        <v>113</v>
      </c>
      <c r="R620" t="s">
        <v>3849</v>
      </c>
      <c r="W620" t="s">
        <v>3850</v>
      </c>
      <c r="X620" t="s">
        <v>494</v>
      </c>
      <c r="Y620" t="s">
        <v>240</v>
      </c>
      <c r="Z620" t="s">
        <v>117</v>
      </c>
      <c r="AA620" t="str">
        <f>"14221-5934"</f>
        <v>14221-5934</v>
      </c>
      <c r="AB620" t="s">
        <v>118</v>
      </c>
      <c r="AC620" t="s">
        <v>119</v>
      </c>
      <c r="AD620" t="s">
        <v>113</v>
      </c>
      <c r="AE620" t="s">
        <v>120</v>
      </c>
      <c r="AG620" t="s">
        <v>121</v>
      </c>
    </row>
    <row r="621" spans="1:33" x14ac:dyDescent="0.25">
      <c r="A621" t="str">
        <f>"1396721551"</f>
        <v>1396721551</v>
      </c>
      <c r="B621" t="str">
        <f>"00614122"</f>
        <v>00614122</v>
      </c>
      <c r="C621" t="s">
        <v>3851</v>
      </c>
      <c r="D621" t="s">
        <v>3852</v>
      </c>
      <c r="E621" t="s">
        <v>3853</v>
      </c>
      <c r="G621" t="s">
        <v>3851</v>
      </c>
      <c r="H621" t="s">
        <v>1006</v>
      </c>
      <c r="J621" t="s">
        <v>3854</v>
      </c>
      <c r="L621" t="s">
        <v>142</v>
      </c>
      <c r="M621" t="s">
        <v>113</v>
      </c>
      <c r="R621" t="s">
        <v>3855</v>
      </c>
      <c r="W621" t="s">
        <v>3853</v>
      </c>
      <c r="X621" t="s">
        <v>1009</v>
      </c>
      <c r="Y621" t="s">
        <v>240</v>
      </c>
      <c r="Z621" t="s">
        <v>117</v>
      </c>
      <c r="AA621" t="str">
        <f>"14221-2917"</f>
        <v>14221-2917</v>
      </c>
      <c r="AB621" t="s">
        <v>118</v>
      </c>
      <c r="AC621" t="s">
        <v>119</v>
      </c>
      <c r="AD621" t="s">
        <v>113</v>
      </c>
      <c r="AE621" t="s">
        <v>120</v>
      </c>
      <c r="AG621" t="s">
        <v>121</v>
      </c>
    </row>
    <row r="622" spans="1:33" x14ac:dyDescent="0.25">
      <c r="A622" t="str">
        <f>"1396724357"</f>
        <v>1396724357</v>
      </c>
      <c r="B622" t="str">
        <f>"01709351"</f>
        <v>01709351</v>
      </c>
      <c r="C622" t="s">
        <v>3856</v>
      </c>
      <c r="D622" t="s">
        <v>3857</v>
      </c>
      <c r="E622" t="s">
        <v>3858</v>
      </c>
      <c r="G622" t="s">
        <v>3856</v>
      </c>
      <c r="H622" t="s">
        <v>205</v>
      </c>
      <c r="J622" t="s">
        <v>3859</v>
      </c>
      <c r="L622" t="s">
        <v>142</v>
      </c>
      <c r="M622" t="s">
        <v>113</v>
      </c>
      <c r="R622" t="s">
        <v>3860</v>
      </c>
      <c r="W622" t="s">
        <v>3858</v>
      </c>
      <c r="X622" t="s">
        <v>253</v>
      </c>
      <c r="Y622" t="s">
        <v>116</v>
      </c>
      <c r="Z622" t="s">
        <v>117</v>
      </c>
      <c r="AA622" t="str">
        <f>"14215-3021"</f>
        <v>14215-3021</v>
      </c>
      <c r="AB622" t="s">
        <v>118</v>
      </c>
      <c r="AC622" t="s">
        <v>119</v>
      </c>
      <c r="AD622" t="s">
        <v>113</v>
      </c>
      <c r="AE622" t="s">
        <v>120</v>
      </c>
      <c r="AG622" t="s">
        <v>121</v>
      </c>
    </row>
    <row r="623" spans="1:33" x14ac:dyDescent="0.25">
      <c r="A623" t="str">
        <f>"1396737532"</f>
        <v>1396737532</v>
      </c>
      <c r="B623" t="str">
        <f>"00677770"</f>
        <v>00677770</v>
      </c>
      <c r="C623" t="s">
        <v>3861</v>
      </c>
      <c r="D623" t="s">
        <v>3862</v>
      </c>
      <c r="E623" t="s">
        <v>3863</v>
      </c>
      <c r="G623" t="s">
        <v>3861</v>
      </c>
      <c r="H623" t="s">
        <v>3864</v>
      </c>
      <c r="J623" t="s">
        <v>3865</v>
      </c>
      <c r="L623" t="s">
        <v>150</v>
      </c>
      <c r="M623" t="s">
        <v>113</v>
      </c>
      <c r="R623" t="s">
        <v>3866</v>
      </c>
      <c r="W623" t="s">
        <v>3863</v>
      </c>
      <c r="X623" t="s">
        <v>3867</v>
      </c>
      <c r="Y623" t="s">
        <v>116</v>
      </c>
      <c r="Z623" t="s">
        <v>117</v>
      </c>
      <c r="AA623" t="str">
        <f>"14216-3121"</f>
        <v>14216-3121</v>
      </c>
      <c r="AB623" t="s">
        <v>118</v>
      </c>
      <c r="AC623" t="s">
        <v>119</v>
      </c>
      <c r="AD623" t="s">
        <v>113</v>
      </c>
      <c r="AE623" t="s">
        <v>120</v>
      </c>
      <c r="AG623" t="s">
        <v>121</v>
      </c>
    </row>
    <row r="624" spans="1:33" x14ac:dyDescent="0.25">
      <c r="A624" t="str">
        <f>"1396738365"</f>
        <v>1396738365</v>
      </c>
      <c r="B624" t="str">
        <f>"01585139"</f>
        <v>01585139</v>
      </c>
      <c r="C624" t="s">
        <v>3868</v>
      </c>
      <c r="D624" t="s">
        <v>3869</v>
      </c>
      <c r="E624" t="s">
        <v>3870</v>
      </c>
      <c r="G624" t="s">
        <v>3868</v>
      </c>
      <c r="H624" t="s">
        <v>3871</v>
      </c>
      <c r="J624" t="s">
        <v>3872</v>
      </c>
      <c r="L624" t="s">
        <v>142</v>
      </c>
      <c r="M624" t="s">
        <v>113</v>
      </c>
      <c r="R624" t="s">
        <v>3873</v>
      </c>
      <c r="W624" t="s">
        <v>3870</v>
      </c>
      <c r="X624" t="s">
        <v>3874</v>
      </c>
      <c r="Y624" t="s">
        <v>3875</v>
      </c>
      <c r="Z624" t="s">
        <v>3876</v>
      </c>
      <c r="AA624" t="str">
        <f>"01655-0002"</f>
        <v>01655-0002</v>
      </c>
      <c r="AB624" t="s">
        <v>118</v>
      </c>
      <c r="AC624" t="s">
        <v>119</v>
      </c>
      <c r="AD624" t="s">
        <v>113</v>
      </c>
      <c r="AE624" t="s">
        <v>120</v>
      </c>
      <c r="AG624" t="s">
        <v>121</v>
      </c>
    </row>
    <row r="625" spans="1:33" x14ac:dyDescent="0.25">
      <c r="A625" t="str">
        <f>"1396773826"</f>
        <v>1396773826</v>
      </c>
      <c r="B625" t="str">
        <f>"01273569"</f>
        <v>01273569</v>
      </c>
      <c r="C625" t="s">
        <v>3877</v>
      </c>
      <c r="D625" t="s">
        <v>3878</v>
      </c>
      <c r="E625" t="s">
        <v>3879</v>
      </c>
      <c r="G625" t="s">
        <v>859</v>
      </c>
      <c r="H625" t="s">
        <v>1478</v>
      </c>
      <c r="J625" t="s">
        <v>861</v>
      </c>
      <c r="L625" t="s">
        <v>142</v>
      </c>
      <c r="M625" t="s">
        <v>113</v>
      </c>
      <c r="R625" t="s">
        <v>3880</v>
      </c>
      <c r="W625" t="s">
        <v>3879</v>
      </c>
      <c r="X625" t="s">
        <v>260</v>
      </c>
      <c r="Y625" t="s">
        <v>240</v>
      </c>
      <c r="Z625" t="s">
        <v>117</v>
      </c>
      <c r="AA625" t="str">
        <f>"14221-3698"</f>
        <v>14221-3698</v>
      </c>
      <c r="AB625" t="s">
        <v>118</v>
      </c>
      <c r="AC625" t="s">
        <v>119</v>
      </c>
      <c r="AD625" t="s">
        <v>113</v>
      </c>
      <c r="AE625" t="s">
        <v>120</v>
      </c>
      <c r="AG625" t="s">
        <v>121</v>
      </c>
    </row>
    <row r="626" spans="1:33" x14ac:dyDescent="0.25">
      <c r="A626" t="str">
        <f>"1396788246"</f>
        <v>1396788246</v>
      </c>
      <c r="B626" t="str">
        <f>"00834684"</f>
        <v>00834684</v>
      </c>
      <c r="C626" t="s">
        <v>3881</v>
      </c>
      <c r="D626" t="s">
        <v>3882</v>
      </c>
      <c r="E626" t="s">
        <v>3883</v>
      </c>
      <c r="G626" t="s">
        <v>3881</v>
      </c>
      <c r="H626" t="s">
        <v>3884</v>
      </c>
      <c r="J626" t="s">
        <v>3885</v>
      </c>
      <c r="L626" t="s">
        <v>112</v>
      </c>
      <c r="M626" t="s">
        <v>113</v>
      </c>
      <c r="R626" t="s">
        <v>3886</v>
      </c>
      <c r="W626" t="s">
        <v>3883</v>
      </c>
      <c r="X626" t="s">
        <v>3887</v>
      </c>
      <c r="Y626" t="s">
        <v>129</v>
      </c>
      <c r="Z626" t="s">
        <v>117</v>
      </c>
      <c r="AA626" t="str">
        <f>"14224-3444"</f>
        <v>14224-3444</v>
      </c>
      <c r="AB626" t="s">
        <v>634</v>
      </c>
      <c r="AC626" t="s">
        <v>119</v>
      </c>
      <c r="AD626" t="s">
        <v>113</v>
      </c>
      <c r="AE626" t="s">
        <v>120</v>
      </c>
      <c r="AG626" t="s">
        <v>121</v>
      </c>
    </row>
    <row r="627" spans="1:33" x14ac:dyDescent="0.25">
      <c r="A627" t="str">
        <f>"1396789517"</f>
        <v>1396789517</v>
      </c>
      <c r="B627" t="str">
        <f>"01993728"</f>
        <v>01993728</v>
      </c>
      <c r="C627" t="s">
        <v>3888</v>
      </c>
      <c r="D627" t="s">
        <v>3889</v>
      </c>
      <c r="E627" t="s">
        <v>3890</v>
      </c>
      <c r="L627" t="s">
        <v>142</v>
      </c>
      <c r="M627" t="s">
        <v>113</v>
      </c>
      <c r="R627" t="s">
        <v>3888</v>
      </c>
      <c r="W627" t="s">
        <v>3891</v>
      </c>
      <c r="X627" t="s">
        <v>3892</v>
      </c>
      <c r="Y627" t="s">
        <v>240</v>
      </c>
      <c r="Z627" t="s">
        <v>117</v>
      </c>
      <c r="AA627" t="str">
        <f>"14221-8024"</f>
        <v>14221-8024</v>
      </c>
      <c r="AB627" t="s">
        <v>118</v>
      </c>
      <c r="AC627" t="s">
        <v>119</v>
      </c>
      <c r="AD627" t="s">
        <v>113</v>
      </c>
      <c r="AE627" t="s">
        <v>120</v>
      </c>
      <c r="AG627" t="s">
        <v>121</v>
      </c>
    </row>
    <row r="628" spans="1:33" x14ac:dyDescent="0.25">
      <c r="A628" t="str">
        <f>"1952338048"</f>
        <v>1952338048</v>
      </c>
      <c r="B628" t="str">
        <f>"01843181"</f>
        <v>01843181</v>
      </c>
      <c r="C628" t="s">
        <v>3893</v>
      </c>
      <c r="D628" t="s">
        <v>3894</v>
      </c>
      <c r="E628" t="s">
        <v>3895</v>
      </c>
      <c r="G628" t="s">
        <v>3893</v>
      </c>
      <c r="H628" t="s">
        <v>3305</v>
      </c>
      <c r="J628" t="s">
        <v>3896</v>
      </c>
      <c r="L628" t="s">
        <v>142</v>
      </c>
      <c r="M628" t="s">
        <v>113</v>
      </c>
      <c r="R628" t="s">
        <v>3895</v>
      </c>
      <c r="W628" t="s">
        <v>3897</v>
      </c>
      <c r="X628" t="s">
        <v>253</v>
      </c>
      <c r="Y628" t="s">
        <v>116</v>
      </c>
      <c r="Z628" t="s">
        <v>117</v>
      </c>
      <c r="AA628" t="str">
        <f>"14215-3021"</f>
        <v>14215-3021</v>
      </c>
      <c r="AB628" t="s">
        <v>118</v>
      </c>
      <c r="AC628" t="s">
        <v>119</v>
      </c>
      <c r="AD628" t="s">
        <v>113</v>
      </c>
      <c r="AE628" t="s">
        <v>120</v>
      </c>
      <c r="AG628" t="s">
        <v>121</v>
      </c>
    </row>
    <row r="629" spans="1:33" x14ac:dyDescent="0.25">
      <c r="A629" t="str">
        <f>"1952356636"</f>
        <v>1952356636</v>
      </c>
      <c r="B629" t="str">
        <f>"02679885"</f>
        <v>02679885</v>
      </c>
      <c r="C629" t="s">
        <v>3898</v>
      </c>
      <c r="D629" t="s">
        <v>3899</v>
      </c>
      <c r="E629" t="s">
        <v>3900</v>
      </c>
      <c r="G629" t="s">
        <v>3901</v>
      </c>
      <c r="H629" t="s">
        <v>3902</v>
      </c>
      <c r="J629" t="s">
        <v>3903</v>
      </c>
      <c r="L629" t="s">
        <v>112</v>
      </c>
      <c r="M629" t="s">
        <v>113</v>
      </c>
      <c r="R629" t="s">
        <v>3904</v>
      </c>
      <c r="W629" t="s">
        <v>3900</v>
      </c>
      <c r="X629" t="s">
        <v>3905</v>
      </c>
      <c r="Y629" t="s">
        <v>3906</v>
      </c>
      <c r="Z629" t="s">
        <v>117</v>
      </c>
      <c r="AA629" t="str">
        <f>"13326-1301"</f>
        <v>13326-1301</v>
      </c>
      <c r="AB629" t="s">
        <v>118</v>
      </c>
      <c r="AC629" t="s">
        <v>119</v>
      </c>
      <c r="AD629" t="s">
        <v>113</v>
      </c>
      <c r="AE629" t="s">
        <v>120</v>
      </c>
      <c r="AG629" t="s">
        <v>121</v>
      </c>
    </row>
    <row r="630" spans="1:33" x14ac:dyDescent="0.25">
      <c r="A630" t="str">
        <f>"1952357477"</f>
        <v>1952357477</v>
      </c>
      <c r="B630" t="str">
        <f>"00681576"</f>
        <v>00681576</v>
      </c>
      <c r="C630" t="s">
        <v>3907</v>
      </c>
      <c r="D630" t="s">
        <v>3908</v>
      </c>
      <c r="E630" t="s">
        <v>3909</v>
      </c>
      <c r="G630" t="s">
        <v>3907</v>
      </c>
      <c r="H630" t="s">
        <v>3910</v>
      </c>
      <c r="J630" t="s">
        <v>3911</v>
      </c>
      <c r="L630" t="s">
        <v>229</v>
      </c>
      <c r="M630" t="s">
        <v>113</v>
      </c>
      <c r="R630" t="s">
        <v>3912</v>
      </c>
      <c r="W630" t="s">
        <v>3909</v>
      </c>
      <c r="X630" t="s">
        <v>3913</v>
      </c>
      <c r="Y630" t="s">
        <v>116</v>
      </c>
      <c r="Z630" t="s">
        <v>117</v>
      </c>
      <c r="AA630" t="str">
        <f>"14214-1706"</f>
        <v>14214-1706</v>
      </c>
      <c r="AB630" t="s">
        <v>118</v>
      </c>
      <c r="AC630" t="s">
        <v>119</v>
      </c>
      <c r="AD630" t="s">
        <v>113</v>
      </c>
      <c r="AE630" t="s">
        <v>120</v>
      </c>
      <c r="AG630" t="s">
        <v>121</v>
      </c>
    </row>
    <row r="631" spans="1:33" x14ac:dyDescent="0.25">
      <c r="A631" t="str">
        <f>"1952367252"</f>
        <v>1952367252</v>
      </c>
      <c r="B631" t="str">
        <f>"01050375"</f>
        <v>01050375</v>
      </c>
      <c r="C631" t="s">
        <v>3914</v>
      </c>
      <c r="D631" t="s">
        <v>3915</v>
      </c>
      <c r="E631" t="s">
        <v>3916</v>
      </c>
      <c r="G631" t="s">
        <v>3914</v>
      </c>
      <c r="H631" t="s">
        <v>205</v>
      </c>
      <c r="J631" t="s">
        <v>3917</v>
      </c>
      <c r="L631" t="s">
        <v>142</v>
      </c>
      <c r="M631" t="s">
        <v>113</v>
      </c>
      <c r="R631" t="s">
        <v>3918</v>
      </c>
      <c r="W631" t="s">
        <v>3919</v>
      </c>
      <c r="X631" t="s">
        <v>136</v>
      </c>
      <c r="Y631" t="s">
        <v>116</v>
      </c>
      <c r="Z631" t="s">
        <v>117</v>
      </c>
      <c r="AA631" t="str">
        <f>"14209-1120"</f>
        <v>14209-1120</v>
      </c>
      <c r="AB631" t="s">
        <v>118</v>
      </c>
      <c r="AC631" t="s">
        <v>119</v>
      </c>
      <c r="AD631" t="s">
        <v>113</v>
      </c>
      <c r="AE631" t="s">
        <v>120</v>
      </c>
      <c r="AG631" t="s">
        <v>121</v>
      </c>
    </row>
    <row r="632" spans="1:33" x14ac:dyDescent="0.25">
      <c r="A632" t="str">
        <f>"1952369548"</f>
        <v>1952369548</v>
      </c>
      <c r="B632" t="str">
        <f>"02461301"</f>
        <v>02461301</v>
      </c>
      <c r="C632" t="s">
        <v>3920</v>
      </c>
      <c r="D632" t="s">
        <v>3921</v>
      </c>
      <c r="E632" t="s">
        <v>3922</v>
      </c>
      <c r="G632" t="s">
        <v>3920</v>
      </c>
      <c r="H632" t="s">
        <v>3923</v>
      </c>
      <c r="J632" t="s">
        <v>3924</v>
      </c>
      <c r="L632" t="s">
        <v>728</v>
      </c>
      <c r="M632" t="s">
        <v>113</v>
      </c>
      <c r="R632" t="s">
        <v>3922</v>
      </c>
      <c r="W632" t="s">
        <v>3925</v>
      </c>
      <c r="X632" t="s">
        <v>216</v>
      </c>
      <c r="Y632" t="s">
        <v>116</v>
      </c>
      <c r="Z632" t="s">
        <v>117</v>
      </c>
      <c r="AA632" t="str">
        <f>"14222-2006"</f>
        <v>14222-2006</v>
      </c>
      <c r="AB632" t="s">
        <v>118</v>
      </c>
      <c r="AC632" t="s">
        <v>119</v>
      </c>
      <c r="AD632" t="s">
        <v>113</v>
      </c>
      <c r="AE632" t="s">
        <v>120</v>
      </c>
      <c r="AG632" t="s">
        <v>121</v>
      </c>
    </row>
    <row r="633" spans="1:33" x14ac:dyDescent="0.25">
      <c r="A633" t="str">
        <f>"1952370116"</f>
        <v>1952370116</v>
      </c>
      <c r="B633" t="str">
        <f>"00588725"</f>
        <v>00588725</v>
      </c>
      <c r="C633" t="s">
        <v>3926</v>
      </c>
      <c r="D633" t="s">
        <v>3927</v>
      </c>
      <c r="E633" t="s">
        <v>3928</v>
      </c>
      <c r="G633" t="s">
        <v>3929</v>
      </c>
      <c r="H633" t="s">
        <v>3930</v>
      </c>
      <c r="J633" t="s">
        <v>3931</v>
      </c>
      <c r="L633" t="s">
        <v>142</v>
      </c>
      <c r="M633" t="s">
        <v>113</v>
      </c>
      <c r="R633" t="s">
        <v>3932</v>
      </c>
      <c r="W633" t="s">
        <v>3928</v>
      </c>
      <c r="X633" t="s">
        <v>3933</v>
      </c>
      <c r="Y633" t="s">
        <v>116</v>
      </c>
      <c r="Z633" t="s">
        <v>117</v>
      </c>
      <c r="AA633" t="str">
        <f>"14203"</f>
        <v>14203</v>
      </c>
      <c r="AB633" t="s">
        <v>118</v>
      </c>
      <c r="AC633" t="s">
        <v>119</v>
      </c>
      <c r="AD633" t="s">
        <v>113</v>
      </c>
      <c r="AE633" t="s">
        <v>120</v>
      </c>
      <c r="AG633" t="s">
        <v>121</v>
      </c>
    </row>
    <row r="634" spans="1:33" x14ac:dyDescent="0.25">
      <c r="A634" t="str">
        <f>"1952371346"</f>
        <v>1952371346</v>
      </c>
      <c r="B634" t="str">
        <f>"01871838"</f>
        <v>01871838</v>
      </c>
      <c r="C634" t="s">
        <v>3934</v>
      </c>
      <c r="D634" t="s">
        <v>3935</v>
      </c>
      <c r="E634" t="s">
        <v>3936</v>
      </c>
      <c r="G634" t="s">
        <v>3934</v>
      </c>
      <c r="H634" t="s">
        <v>559</v>
      </c>
      <c r="J634" t="s">
        <v>3937</v>
      </c>
      <c r="L634" t="s">
        <v>142</v>
      </c>
      <c r="M634" t="s">
        <v>199</v>
      </c>
      <c r="R634" t="s">
        <v>3938</v>
      </c>
      <c r="W634" t="s">
        <v>3936</v>
      </c>
      <c r="X634" t="s">
        <v>216</v>
      </c>
      <c r="Y634" t="s">
        <v>116</v>
      </c>
      <c r="Z634" t="s">
        <v>117</v>
      </c>
      <c r="AA634" t="str">
        <f>"14222-2006"</f>
        <v>14222-2006</v>
      </c>
      <c r="AB634" t="s">
        <v>118</v>
      </c>
      <c r="AC634" t="s">
        <v>119</v>
      </c>
      <c r="AD634" t="s">
        <v>113</v>
      </c>
      <c r="AE634" t="s">
        <v>120</v>
      </c>
      <c r="AG634" t="s">
        <v>121</v>
      </c>
    </row>
    <row r="635" spans="1:33" x14ac:dyDescent="0.25">
      <c r="A635" t="str">
        <f>"1952371478"</f>
        <v>1952371478</v>
      </c>
      <c r="B635" t="str">
        <f>"02345600"</f>
        <v>02345600</v>
      </c>
      <c r="C635" t="s">
        <v>3939</v>
      </c>
      <c r="D635" t="s">
        <v>3940</v>
      </c>
      <c r="E635" t="s">
        <v>3941</v>
      </c>
      <c r="G635" t="s">
        <v>3939</v>
      </c>
      <c r="H635" t="s">
        <v>3942</v>
      </c>
      <c r="J635" t="s">
        <v>3943</v>
      </c>
      <c r="L635" t="s">
        <v>142</v>
      </c>
      <c r="M635" t="s">
        <v>113</v>
      </c>
      <c r="R635" t="s">
        <v>3944</v>
      </c>
      <c r="W635" t="s">
        <v>3941</v>
      </c>
      <c r="X635" t="s">
        <v>1275</v>
      </c>
      <c r="Y635" t="s">
        <v>116</v>
      </c>
      <c r="Z635" t="s">
        <v>117</v>
      </c>
      <c r="AA635" t="str">
        <f>"14214-8001"</f>
        <v>14214-8001</v>
      </c>
      <c r="AB635" t="s">
        <v>118</v>
      </c>
      <c r="AC635" t="s">
        <v>119</v>
      </c>
      <c r="AD635" t="s">
        <v>113</v>
      </c>
      <c r="AE635" t="s">
        <v>120</v>
      </c>
      <c r="AG635" t="s">
        <v>121</v>
      </c>
    </row>
    <row r="636" spans="1:33" x14ac:dyDescent="0.25">
      <c r="A636" t="str">
        <f>"1952371809"</f>
        <v>1952371809</v>
      </c>
      <c r="B636" t="str">
        <f>"01870117"</f>
        <v>01870117</v>
      </c>
      <c r="C636" t="s">
        <v>3945</v>
      </c>
      <c r="D636" t="s">
        <v>3946</v>
      </c>
      <c r="E636" t="s">
        <v>3947</v>
      </c>
      <c r="G636" t="s">
        <v>3945</v>
      </c>
      <c r="H636" t="s">
        <v>3948</v>
      </c>
      <c r="J636" t="s">
        <v>3949</v>
      </c>
      <c r="L636" t="s">
        <v>142</v>
      </c>
      <c r="M636" t="s">
        <v>113</v>
      </c>
      <c r="R636" t="s">
        <v>3950</v>
      </c>
      <c r="W636" t="s">
        <v>3947</v>
      </c>
      <c r="Y636" t="s">
        <v>512</v>
      </c>
      <c r="Z636" t="s">
        <v>117</v>
      </c>
      <c r="AA636" t="str">
        <f>"14092-1997"</f>
        <v>14092-1997</v>
      </c>
      <c r="AB636" t="s">
        <v>118</v>
      </c>
      <c r="AC636" t="s">
        <v>119</v>
      </c>
      <c r="AD636" t="s">
        <v>113</v>
      </c>
      <c r="AE636" t="s">
        <v>120</v>
      </c>
      <c r="AG636" t="s">
        <v>121</v>
      </c>
    </row>
    <row r="637" spans="1:33" x14ac:dyDescent="0.25">
      <c r="A637" t="str">
        <f>"1952400889"</f>
        <v>1952400889</v>
      </c>
      <c r="B637" t="str">
        <f>"01866059"</f>
        <v>01866059</v>
      </c>
      <c r="C637" t="s">
        <v>3951</v>
      </c>
      <c r="D637" t="s">
        <v>3952</v>
      </c>
      <c r="E637" t="s">
        <v>3953</v>
      </c>
      <c r="L637" t="s">
        <v>150</v>
      </c>
      <c r="M637" t="s">
        <v>199</v>
      </c>
      <c r="R637" t="s">
        <v>3951</v>
      </c>
      <c r="W637" t="s">
        <v>3953</v>
      </c>
      <c r="X637" t="s">
        <v>3954</v>
      </c>
      <c r="Y637" t="s">
        <v>3955</v>
      </c>
      <c r="Z637" t="s">
        <v>117</v>
      </c>
      <c r="AA637" t="str">
        <f>"14744-8706"</f>
        <v>14744-8706</v>
      </c>
      <c r="AB637" t="s">
        <v>118</v>
      </c>
      <c r="AC637" t="s">
        <v>119</v>
      </c>
      <c r="AD637" t="s">
        <v>113</v>
      </c>
      <c r="AE637" t="s">
        <v>120</v>
      </c>
      <c r="AG637" t="s">
        <v>121</v>
      </c>
    </row>
    <row r="638" spans="1:33" x14ac:dyDescent="0.25">
      <c r="A638" t="str">
        <f>"1528023694"</f>
        <v>1528023694</v>
      </c>
      <c r="B638" t="str">
        <f>"02505695"</f>
        <v>02505695</v>
      </c>
      <c r="C638" t="s">
        <v>3956</v>
      </c>
      <c r="D638" t="s">
        <v>3957</v>
      </c>
      <c r="E638" t="s">
        <v>3958</v>
      </c>
      <c r="G638" t="s">
        <v>3959</v>
      </c>
      <c r="H638" t="s">
        <v>3960</v>
      </c>
      <c r="J638" t="s">
        <v>3961</v>
      </c>
      <c r="L638" t="s">
        <v>112</v>
      </c>
      <c r="M638" t="s">
        <v>113</v>
      </c>
      <c r="R638" t="s">
        <v>3962</v>
      </c>
      <c r="W638" t="s">
        <v>3958</v>
      </c>
      <c r="X638" t="s">
        <v>3963</v>
      </c>
      <c r="Y638" t="s">
        <v>240</v>
      </c>
      <c r="Z638" t="s">
        <v>117</v>
      </c>
      <c r="AA638" t="str">
        <f>"14221-5771"</f>
        <v>14221-5771</v>
      </c>
      <c r="AB638" t="s">
        <v>118</v>
      </c>
      <c r="AC638" t="s">
        <v>119</v>
      </c>
      <c r="AD638" t="s">
        <v>113</v>
      </c>
      <c r="AE638" t="s">
        <v>120</v>
      </c>
      <c r="AG638" t="s">
        <v>121</v>
      </c>
    </row>
    <row r="639" spans="1:33" x14ac:dyDescent="0.25">
      <c r="A639" t="str">
        <f>"1528025830"</f>
        <v>1528025830</v>
      </c>
      <c r="B639" t="str">
        <f>"01243681"</f>
        <v>01243681</v>
      </c>
      <c r="C639" t="s">
        <v>3964</v>
      </c>
      <c r="D639" t="s">
        <v>3965</v>
      </c>
      <c r="E639" t="s">
        <v>3966</v>
      </c>
      <c r="G639" t="s">
        <v>3964</v>
      </c>
      <c r="H639" t="s">
        <v>3967</v>
      </c>
      <c r="J639" t="s">
        <v>3968</v>
      </c>
      <c r="L639" t="s">
        <v>142</v>
      </c>
      <c r="M639" t="s">
        <v>113</v>
      </c>
      <c r="R639" t="s">
        <v>3969</v>
      </c>
      <c r="W639" t="s">
        <v>3966</v>
      </c>
      <c r="X639" t="s">
        <v>216</v>
      </c>
      <c r="Y639" t="s">
        <v>116</v>
      </c>
      <c r="Z639" t="s">
        <v>117</v>
      </c>
      <c r="AA639" t="str">
        <f>"14222-2006"</f>
        <v>14222-2006</v>
      </c>
      <c r="AB639" t="s">
        <v>118</v>
      </c>
      <c r="AC639" t="s">
        <v>119</v>
      </c>
      <c r="AD639" t="s">
        <v>113</v>
      </c>
      <c r="AE639" t="s">
        <v>120</v>
      </c>
      <c r="AG639" t="s">
        <v>121</v>
      </c>
    </row>
    <row r="640" spans="1:33" x14ac:dyDescent="0.25">
      <c r="A640" t="str">
        <f>"1528034261"</f>
        <v>1528034261</v>
      </c>
      <c r="B640" t="str">
        <f>"02273283"</f>
        <v>02273283</v>
      </c>
      <c r="C640" t="s">
        <v>3970</v>
      </c>
      <c r="D640" t="s">
        <v>3971</v>
      </c>
      <c r="E640" t="s">
        <v>3972</v>
      </c>
      <c r="G640" t="s">
        <v>3970</v>
      </c>
      <c r="H640" t="s">
        <v>2718</v>
      </c>
      <c r="J640" t="s">
        <v>3973</v>
      </c>
      <c r="L640" t="s">
        <v>150</v>
      </c>
      <c r="M640" t="s">
        <v>113</v>
      </c>
      <c r="R640" t="s">
        <v>3974</v>
      </c>
      <c r="W640" t="s">
        <v>3972</v>
      </c>
      <c r="X640" t="s">
        <v>401</v>
      </c>
      <c r="Y640" t="s">
        <v>116</v>
      </c>
      <c r="Z640" t="s">
        <v>117</v>
      </c>
      <c r="AA640" t="str">
        <f>"14223-2819"</f>
        <v>14223-2819</v>
      </c>
      <c r="AB640" t="s">
        <v>118</v>
      </c>
      <c r="AC640" t="s">
        <v>119</v>
      </c>
      <c r="AD640" t="s">
        <v>113</v>
      </c>
      <c r="AE640" t="s">
        <v>120</v>
      </c>
      <c r="AG640" t="s">
        <v>121</v>
      </c>
    </row>
    <row r="641" spans="1:33" x14ac:dyDescent="0.25">
      <c r="A641" t="str">
        <f>"1528042835"</f>
        <v>1528042835</v>
      </c>
      <c r="B641" t="str">
        <f>"00844688"</f>
        <v>00844688</v>
      </c>
      <c r="C641" t="s">
        <v>3975</v>
      </c>
      <c r="D641" t="s">
        <v>3976</v>
      </c>
      <c r="E641" t="s">
        <v>3977</v>
      </c>
      <c r="G641" t="s">
        <v>3975</v>
      </c>
      <c r="H641" t="s">
        <v>3978</v>
      </c>
      <c r="J641" t="s">
        <v>3979</v>
      </c>
      <c r="L641" t="s">
        <v>142</v>
      </c>
      <c r="M641" t="s">
        <v>113</v>
      </c>
      <c r="R641" t="s">
        <v>3980</v>
      </c>
      <c r="W641" t="s">
        <v>3977</v>
      </c>
      <c r="X641" t="s">
        <v>253</v>
      </c>
      <c r="Y641" t="s">
        <v>116</v>
      </c>
      <c r="Z641" t="s">
        <v>117</v>
      </c>
      <c r="AA641" t="str">
        <f>"14215-3021"</f>
        <v>14215-3021</v>
      </c>
      <c r="AB641" t="s">
        <v>118</v>
      </c>
      <c r="AC641" t="s">
        <v>119</v>
      </c>
      <c r="AD641" t="s">
        <v>113</v>
      </c>
      <c r="AE641" t="s">
        <v>120</v>
      </c>
      <c r="AG641" t="s">
        <v>121</v>
      </c>
    </row>
    <row r="642" spans="1:33" x14ac:dyDescent="0.25">
      <c r="A642" t="str">
        <f>"1528043072"</f>
        <v>1528043072</v>
      </c>
      <c r="B642" t="str">
        <f>"01994316"</f>
        <v>01994316</v>
      </c>
      <c r="C642" t="s">
        <v>3981</v>
      </c>
      <c r="D642" t="s">
        <v>3982</v>
      </c>
      <c r="E642" t="s">
        <v>3983</v>
      </c>
      <c r="G642" t="s">
        <v>3981</v>
      </c>
      <c r="H642" t="s">
        <v>707</v>
      </c>
      <c r="J642" t="s">
        <v>3984</v>
      </c>
      <c r="L642" t="s">
        <v>142</v>
      </c>
      <c r="M642" t="s">
        <v>113</v>
      </c>
      <c r="R642" t="s">
        <v>3985</v>
      </c>
      <c r="W642" t="s">
        <v>3983</v>
      </c>
      <c r="X642" t="s">
        <v>709</v>
      </c>
      <c r="Y642" t="s">
        <v>116</v>
      </c>
      <c r="Z642" t="s">
        <v>117</v>
      </c>
      <c r="AA642" t="str">
        <f>"14263-0001"</f>
        <v>14263-0001</v>
      </c>
      <c r="AB642" t="s">
        <v>118</v>
      </c>
      <c r="AC642" t="s">
        <v>119</v>
      </c>
      <c r="AD642" t="s">
        <v>113</v>
      </c>
      <c r="AE642" t="s">
        <v>120</v>
      </c>
      <c r="AG642" t="s">
        <v>121</v>
      </c>
    </row>
    <row r="643" spans="1:33" x14ac:dyDescent="0.25">
      <c r="A643" t="str">
        <f>"1528051596"</f>
        <v>1528051596</v>
      </c>
      <c r="B643" t="str">
        <f>"01397951"</f>
        <v>01397951</v>
      </c>
      <c r="C643" t="s">
        <v>3986</v>
      </c>
      <c r="D643" t="s">
        <v>3987</v>
      </c>
      <c r="E643" t="s">
        <v>3988</v>
      </c>
      <c r="G643" t="s">
        <v>3986</v>
      </c>
      <c r="H643" t="s">
        <v>419</v>
      </c>
      <c r="J643" t="s">
        <v>3989</v>
      </c>
      <c r="L643" t="s">
        <v>142</v>
      </c>
      <c r="M643" t="s">
        <v>113</v>
      </c>
      <c r="R643" t="s">
        <v>3990</v>
      </c>
      <c r="W643" t="s">
        <v>3988</v>
      </c>
      <c r="X643" t="s">
        <v>3803</v>
      </c>
      <c r="Y643" t="s">
        <v>129</v>
      </c>
      <c r="Z643" t="s">
        <v>117</v>
      </c>
      <c r="AA643" t="str">
        <f>"14224-2646"</f>
        <v>14224-2646</v>
      </c>
      <c r="AB643" t="s">
        <v>118</v>
      </c>
      <c r="AC643" t="s">
        <v>119</v>
      </c>
      <c r="AD643" t="s">
        <v>113</v>
      </c>
      <c r="AE643" t="s">
        <v>120</v>
      </c>
      <c r="AG643" t="s">
        <v>121</v>
      </c>
    </row>
    <row r="644" spans="1:33" x14ac:dyDescent="0.25">
      <c r="A644" t="str">
        <f>"1528063039"</f>
        <v>1528063039</v>
      </c>
      <c r="B644" t="str">
        <f>"01261389"</f>
        <v>01261389</v>
      </c>
      <c r="C644" t="s">
        <v>3991</v>
      </c>
      <c r="D644" t="s">
        <v>3992</v>
      </c>
      <c r="E644" t="s">
        <v>3993</v>
      </c>
      <c r="G644" t="s">
        <v>3991</v>
      </c>
      <c r="H644" t="s">
        <v>3994</v>
      </c>
      <c r="J644" t="s">
        <v>3995</v>
      </c>
      <c r="L644" t="s">
        <v>150</v>
      </c>
      <c r="M644" t="s">
        <v>113</v>
      </c>
      <c r="R644" t="s">
        <v>3996</v>
      </c>
      <c r="W644" t="s">
        <v>3993</v>
      </c>
      <c r="X644" t="s">
        <v>3997</v>
      </c>
      <c r="Y644" t="s">
        <v>3012</v>
      </c>
      <c r="Z644" t="s">
        <v>117</v>
      </c>
      <c r="AA644" t="str">
        <f>"14052-2596"</f>
        <v>14052-2596</v>
      </c>
      <c r="AB644" t="s">
        <v>118</v>
      </c>
      <c r="AC644" t="s">
        <v>119</v>
      </c>
      <c r="AD644" t="s">
        <v>113</v>
      </c>
      <c r="AE644" t="s">
        <v>120</v>
      </c>
      <c r="AG644" t="s">
        <v>121</v>
      </c>
    </row>
    <row r="645" spans="1:33" x14ac:dyDescent="0.25">
      <c r="A645" t="str">
        <f>"1528063237"</f>
        <v>1528063237</v>
      </c>
      <c r="B645" t="str">
        <f>"01183962"</f>
        <v>01183962</v>
      </c>
      <c r="C645" t="s">
        <v>3998</v>
      </c>
      <c r="D645" t="s">
        <v>3999</v>
      </c>
      <c r="E645" t="s">
        <v>4000</v>
      </c>
      <c r="G645" t="s">
        <v>3998</v>
      </c>
      <c r="H645" t="s">
        <v>707</v>
      </c>
      <c r="J645" t="s">
        <v>4001</v>
      </c>
      <c r="L645" t="s">
        <v>142</v>
      </c>
      <c r="M645" t="s">
        <v>113</v>
      </c>
      <c r="R645" t="s">
        <v>4002</v>
      </c>
      <c r="W645" t="s">
        <v>4003</v>
      </c>
      <c r="X645" t="s">
        <v>4004</v>
      </c>
      <c r="Y645" t="s">
        <v>116</v>
      </c>
      <c r="Z645" t="s">
        <v>117</v>
      </c>
      <c r="AA645" t="str">
        <f>"14263-0001"</f>
        <v>14263-0001</v>
      </c>
      <c r="AB645" t="s">
        <v>118</v>
      </c>
      <c r="AC645" t="s">
        <v>119</v>
      </c>
      <c r="AD645" t="s">
        <v>113</v>
      </c>
      <c r="AE645" t="s">
        <v>120</v>
      </c>
      <c r="AG645" t="s">
        <v>121</v>
      </c>
    </row>
    <row r="646" spans="1:33" x14ac:dyDescent="0.25">
      <c r="A646" t="str">
        <f>"1528064136"</f>
        <v>1528064136</v>
      </c>
      <c r="B646" t="str">
        <f>"00622688"</f>
        <v>00622688</v>
      </c>
      <c r="C646" t="s">
        <v>4005</v>
      </c>
      <c r="D646" t="s">
        <v>4006</v>
      </c>
      <c r="E646" t="s">
        <v>4007</v>
      </c>
      <c r="G646" t="s">
        <v>4008</v>
      </c>
      <c r="H646" t="s">
        <v>4009</v>
      </c>
      <c r="J646" t="s">
        <v>4010</v>
      </c>
      <c r="L646" t="s">
        <v>142</v>
      </c>
      <c r="M646" t="s">
        <v>199</v>
      </c>
      <c r="R646" t="s">
        <v>4011</v>
      </c>
      <c r="W646" t="s">
        <v>4012</v>
      </c>
      <c r="X646" t="s">
        <v>1648</v>
      </c>
      <c r="Y646" t="s">
        <v>116</v>
      </c>
      <c r="Z646" t="s">
        <v>117</v>
      </c>
      <c r="AA646" t="str">
        <f>"14214-2648"</f>
        <v>14214-2648</v>
      </c>
      <c r="AB646" t="s">
        <v>118</v>
      </c>
      <c r="AC646" t="s">
        <v>119</v>
      </c>
      <c r="AD646" t="s">
        <v>113</v>
      </c>
      <c r="AE646" t="s">
        <v>120</v>
      </c>
      <c r="AG646" t="s">
        <v>121</v>
      </c>
    </row>
    <row r="647" spans="1:33" x14ac:dyDescent="0.25">
      <c r="A647" t="str">
        <f>"1528067667"</f>
        <v>1528067667</v>
      </c>
      <c r="B647" t="str">
        <f>"02079165"</f>
        <v>02079165</v>
      </c>
      <c r="C647" t="s">
        <v>4013</v>
      </c>
      <c r="D647" t="s">
        <v>4014</v>
      </c>
      <c r="E647" t="s">
        <v>4015</v>
      </c>
      <c r="G647" t="s">
        <v>1816</v>
      </c>
      <c r="H647" t="s">
        <v>4016</v>
      </c>
      <c r="J647" t="s">
        <v>1818</v>
      </c>
      <c r="L647" t="s">
        <v>150</v>
      </c>
      <c r="M647" t="s">
        <v>113</v>
      </c>
      <c r="R647" t="s">
        <v>4017</v>
      </c>
      <c r="W647" t="s">
        <v>4015</v>
      </c>
      <c r="X647" t="s">
        <v>518</v>
      </c>
      <c r="Y647" t="s">
        <v>305</v>
      </c>
      <c r="Z647" t="s">
        <v>117</v>
      </c>
      <c r="AA647" t="str">
        <f>"14760-1500"</f>
        <v>14760-1500</v>
      </c>
      <c r="AB647" t="s">
        <v>118</v>
      </c>
      <c r="AC647" t="s">
        <v>119</v>
      </c>
      <c r="AD647" t="s">
        <v>113</v>
      </c>
      <c r="AE647" t="s">
        <v>120</v>
      </c>
      <c r="AG647" t="s">
        <v>121</v>
      </c>
    </row>
    <row r="648" spans="1:33" x14ac:dyDescent="0.25">
      <c r="A648" t="str">
        <f>"1528069085"</f>
        <v>1528069085</v>
      </c>
      <c r="B648" t="str">
        <f>"02049365"</f>
        <v>02049365</v>
      </c>
      <c r="C648" t="s">
        <v>4018</v>
      </c>
      <c r="D648" t="s">
        <v>4019</v>
      </c>
      <c r="E648" t="s">
        <v>4020</v>
      </c>
      <c r="G648" t="s">
        <v>1252</v>
      </c>
      <c r="H648" t="s">
        <v>1253</v>
      </c>
      <c r="J648" t="s">
        <v>1254</v>
      </c>
      <c r="L648" t="s">
        <v>150</v>
      </c>
      <c r="M648" t="s">
        <v>113</v>
      </c>
      <c r="R648" t="s">
        <v>4021</v>
      </c>
      <c r="W648" t="s">
        <v>4020</v>
      </c>
      <c r="X648" t="s">
        <v>4022</v>
      </c>
      <c r="Y648" t="s">
        <v>1257</v>
      </c>
      <c r="Z648" t="s">
        <v>117</v>
      </c>
      <c r="AA648" t="str">
        <f>"14141-1442"</f>
        <v>14141-1442</v>
      </c>
      <c r="AB648" t="s">
        <v>118</v>
      </c>
      <c r="AC648" t="s">
        <v>119</v>
      </c>
      <c r="AD648" t="s">
        <v>113</v>
      </c>
      <c r="AE648" t="s">
        <v>120</v>
      </c>
      <c r="AG648" t="s">
        <v>121</v>
      </c>
    </row>
    <row r="649" spans="1:33" x14ac:dyDescent="0.25">
      <c r="A649" t="str">
        <f>"1528074341"</f>
        <v>1528074341</v>
      </c>
      <c r="B649" t="str">
        <f>"02941399"</f>
        <v>02941399</v>
      </c>
      <c r="C649" t="s">
        <v>4023</v>
      </c>
      <c r="D649" t="s">
        <v>4024</v>
      </c>
      <c r="E649" t="s">
        <v>4025</v>
      </c>
      <c r="G649" t="s">
        <v>4023</v>
      </c>
      <c r="H649" t="s">
        <v>4026</v>
      </c>
      <c r="J649" t="s">
        <v>4027</v>
      </c>
      <c r="L649" t="s">
        <v>142</v>
      </c>
      <c r="M649" t="s">
        <v>113</v>
      </c>
      <c r="R649" t="s">
        <v>4028</v>
      </c>
      <c r="W649" t="s">
        <v>4029</v>
      </c>
      <c r="X649" t="s">
        <v>2761</v>
      </c>
      <c r="Y649" t="s">
        <v>2762</v>
      </c>
      <c r="Z649" t="s">
        <v>117</v>
      </c>
      <c r="AA649" t="str">
        <f>"14642-0001"</f>
        <v>14642-0001</v>
      </c>
      <c r="AB649" t="s">
        <v>118</v>
      </c>
      <c r="AC649" t="s">
        <v>119</v>
      </c>
      <c r="AD649" t="s">
        <v>113</v>
      </c>
      <c r="AE649" t="s">
        <v>120</v>
      </c>
      <c r="AG649" t="s">
        <v>121</v>
      </c>
    </row>
    <row r="650" spans="1:33" x14ac:dyDescent="0.25">
      <c r="A650" t="str">
        <f>"1528081460"</f>
        <v>1528081460</v>
      </c>
      <c r="B650" t="str">
        <f>"03347399"</f>
        <v>03347399</v>
      </c>
      <c r="C650" t="s">
        <v>4030</v>
      </c>
      <c r="D650" t="s">
        <v>4031</v>
      </c>
      <c r="E650" t="s">
        <v>4032</v>
      </c>
      <c r="G650" t="s">
        <v>4030</v>
      </c>
      <c r="H650" t="s">
        <v>227</v>
      </c>
      <c r="J650" t="s">
        <v>4033</v>
      </c>
      <c r="L650" t="s">
        <v>142</v>
      </c>
      <c r="M650" t="s">
        <v>113</v>
      </c>
      <c r="R650" t="s">
        <v>4034</v>
      </c>
      <c r="W650" t="s">
        <v>4032</v>
      </c>
      <c r="X650" t="s">
        <v>4035</v>
      </c>
      <c r="Y650" t="s">
        <v>4036</v>
      </c>
      <c r="Z650" t="s">
        <v>117</v>
      </c>
      <c r="AA650" t="str">
        <f>"11572-1551"</f>
        <v>11572-1551</v>
      </c>
      <c r="AB650" t="s">
        <v>118</v>
      </c>
      <c r="AC650" t="s">
        <v>119</v>
      </c>
      <c r="AD650" t="s">
        <v>113</v>
      </c>
      <c r="AE650" t="s">
        <v>120</v>
      </c>
      <c r="AG650" t="s">
        <v>121</v>
      </c>
    </row>
    <row r="651" spans="1:33" x14ac:dyDescent="0.25">
      <c r="A651" t="str">
        <f>"1437331162"</f>
        <v>1437331162</v>
      </c>
      <c r="B651" t="str">
        <f>"03085590"</f>
        <v>03085590</v>
      </c>
      <c r="C651" t="s">
        <v>4037</v>
      </c>
      <c r="D651" t="s">
        <v>4038</v>
      </c>
      <c r="E651" t="s">
        <v>4039</v>
      </c>
      <c r="G651" t="s">
        <v>4040</v>
      </c>
      <c r="H651" t="s">
        <v>4041</v>
      </c>
      <c r="J651" t="s">
        <v>4042</v>
      </c>
      <c r="L651" t="s">
        <v>142</v>
      </c>
      <c r="M651" t="s">
        <v>113</v>
      </c>
      <c r="R651" t="s">
        <v>4043</v>
      </c>
      <c r="W651" t="s">
        <v>4039</v>
      </c>
      <c r="X651" t="s">
        <v>2336</v>
      </c>
      <c r="Y651" t="s">
        <v>145</v>
      </c>
      <c r="Z651" t="s">
        <v>117</v>
      </c>
      <c r="AA651" t="str">
        <f>"14051-2610"</f>
        <v>14051-2610</v>
      </c>
      <c r="AB651" t="s">
        <v>118</v>
      </c>
      <c r="AC651" t="s">
        <v>119</v>
      </c>
      <c r="AD651" t="s">
        <v>113</v>
      </c>
      <c r="AE651" t="s">
        <v>120</v>
      </c>
      <c r="AG651" t="s">
        <v>121</v>
      </c>
    </row>
    <row r="652" spans="1:33" x14ac:dyDescent="0.25">
      <c r="A652" t="str">
        <f>"1437335312"</f>
        <v>1437335312</v>
      </c>
      <c r="B652" t="str">
        <f>"03006306"</f>
        <v>03006306</v>
      </c>
      <c r="C652" t="s">
        <v>4044</v>
      </c>
      <c r="D652" t="s">
        <v>4045</v>
      </c>
      <c r="E652" t="s">
        <v>4046</v>
      </c>
      <c r="F652">
        <v>131623856</v>
      </c>
      <c r="L652" t="s">
        <v>1143</v>
      </c>
      <c r="M652" t="s">
        <v>199</v>
      </c>
      <c r="R652" t="s">
        <v>4044</v>
      </c>
      <c r="W652" t="s">
        <v>4046</v>
      </c>
      <c r="X652" t="s">
        <v>4047</v>
      </c>
      <c r="Y652" t="s">
        <v>4048</v>
      </c>
      <c r="Z652" t="s">
        <v>117</v>
      </c>
      <c r="AA652" t="str">
        <f>"10303-1506"</f>
        <v>10303-1506</v>
      </c>
      <c r="AB652" t="s">
        <v>1146</v>
      </c>
      <c r="AC652" t="s">
        <v>119</v>
      </c>
      <c r="AD652" t="s">
        <v>113</v>
      </c>
      <c r="AE652" t="s">
        <v>120</v>
      </c>
      <c r="AG652" t="s">
        <v>121</v>
      </c>
    </row>
    <row r="653" spans="1:33" x14ac:dyDescent="0.25">
      <c r="A653" t="str">
        <f>"1437352606"</f>
        <v>1437352606</v>
      </c>
      <c r="B653" t="str">
        <f>"02908689"</f>
        <v>02908689</v>
      </c>
      <c r="C653" t="s">
        <v>4049</v>
      </c>
      <c r="D653" t="s">
        <v>4050</v>
      </c>
      <c r="E653" t="s">
        <v>4051</v>
      </c>
      <c r="G653" t="s">
        <v>4052</v>
      </c>
      <c r="H653" t="s">
        <v>4053</v>
      </c>
      <c r="J653" t="s">
        <v>4054</v>
      </c>
      <c r="L653" t="s">
        <v>112</v>
      </c>
      <c r="M653" t="s">
        <v>113</v>
      </c>
      <c r="R653" t="s">
        <v>4055</v>
      </c>
      <c r="W653" t="s">
        <v>4056</v>
      </c>
      <c r="X653" t="s">
        <v>176</v>
      </c>
      <c r="Y653" t="s">
        <v>116</v>
      </c>
      <c r="Z653" t="s">
        <v>117</v>
      </c>
      <c r="AA653" t="str">
        <f>"14203-1126"</f>
        <v>14203-1126</v>
      </c>
      <c r="AB653" t="s">
        <v>118</v>
      </c>
      <c r="AC653" t="s">
        <v>119</v>
      </c>
      <c r="AD653" t="s">
        <v>113</v>
      </c>
      <c r="AE653" t="s">
        <v>120</v>
      </c>
      <c r="AG653" t="s">
        <v>121</v>
      </c>
    </row>
    <row r="654" spans="1:33" x14ac:dyDescent="0.25">
      <c r="A654" t="str">
        <f>"1437361037"</f>
        <v>1437361037</v>
      </c>
      <c r="B654" t="str">
        <f>"02974578"</f>
        <v>02974578</v>
      </c>
      <c r="C654" t="s">
        <v>4057</v>
      </c>
      <c r="D654" t="s">
        <v>4058</v>
      </c>
      <c r="E654" t="s">
        <v>4059</v>
      </c>
      <c r="G654" t="s">
        <v>4060</v>
      </c>
      <c r="H654" t="s">
        <v>707</v>
      </c>
      <c r="J654" t="s">
        <v>4061</v>
      </c>
      <c r="L654" t="s">
        <v>142</v>
      </c>
      <c r="M654" t="s">
        <v>113</v>
      </c>
      <c r="R654" t="s">
        <v>4062</v>
      </c>
      <c r="W654" t="s">
        <v>4059</v>
      </c>
      <c r="X654" t="s">
        <v>709</v>
      </c>
      <c r="Y654" t="s">
        <v>116</v>
      </c>
      <c r="Z654" t="s">
        <v>117</v>
      </c>
      <c r="AA654" t="str">
        <f>"14263-0001"</f>
        <v>14263-0001</v>
      </c>
      <c r="AB654" t="s">
        <v>118</v>
      </c>
      <c r="AC654" t="s">
        <v>119</v>
      </c>
      <c r="AD654" t="s">
        <v>113</v>
      </c>
      <c r="AE654" t="s">
        <v>120</v>
      </c>
      <c r="AG654" t="s">
        <v>121</v>
      </c>
    </row>
    <row r="655" spans="1:33" x14ac:dyDescent="0.25">
      <c r="A655" t="str">
        <f>"1558423350"</f>
        <v>1558423350</v>
      </c>
      <c r="B655" t="str">
        <f>"00475329"</f>
        <v>00475329</v>
      </c>
      <c r="C655" t="s">
        <v>6020</v>
      </c>
      <c r="D655" t="s">
        <v>6021</v>
      </c>
      <c r="E655" t="s">
        <v>6022</v>
      </c>
      <c r="G655" t="s">
        <v>6023</v>
      </c>
      <c r="H655" t="s">
        <v>6024</v>
      </c>
      <c r="J655" t="s">
        <v>6025</v>
      </c>
      <c r="L655" t="s">
        <v>280</v>
      </c>
      <c r="M655" t="s">
        <v>199</v>
      </c>
      <c r="R655" t="s">
        <v>6020</v>
      </c>
      <c r="W655" t="s">
        <v>6022</v>
      </c>
      <c r="X655" t="s">
        <v>6026</v>
      </c>
      <c r="Y655" t="s">
        <v>1593</v>
      </c>
      <c r="Z655" t="s">
        <v>117</v>
      </c>
      <c r="AA655" t="str">
        <f>"14068-1219"</f>
        <v>14068-1219</v>
      </c>
      <c r="AB655" t="s">
        <v>282</v>
      </c>
      <c r="AC655" t="s">
        <v>119</v>
      </c>
      <c r="AD655" t="s">
        <v>113</v>
      </c>
      <c r="AE655" t="s">
        <v>120</v>
      </c>
      <c r="AG655" t="s">
        <v>121</v>
      </c>
    </row>
    <row r="656" spans="1:33" x14ac:dyDescent="0.25">
      <c r="A656" t="str">
        <f>"1437381951"</f>
        <v>1437381951</v>
      </c>
      <c r="B656" t="str">
        <f>"03923411"</f>
        <v>03923411</v>
      </c>
      <c r="C656" t="s">
        <v>4072</v>
      </c>
      <c r="D656" t="s">
        <v>4073</v>
      </c>
      <c r="E656" t="s">
        <v>4074</v>
      </c>
      <c r="G656" t="s">
        <v>4072</v>
      </c>
      <c r="J656" t="s">
        <v>4075</v>
      </c>
      <c r="L656" t="s">
        <v>112</v>
      </c>
      <c r="M656" t="s">
        <v>113</v>
      </c>
      <c r="R656" t="s">
        <v>4076</v>
      </c>
      <c r="W656" t="s">
        <v>4074</v>
      </c>
      <c r="X656" t="s">
        <v>4077</v>
      </c>
      <c r="Y656" t="s">
        <v>663</v>
      </c>
      <c r="Z656" t="s">
        <v>117</v>
      </c>
      <c r="AA656" t="str">
        <f>"14094-5338"</f>
        <v>14094-5338</v>
      </c>
      <c r="AB656" t="s">
        <v>118</v>
      </c>
      <c r="AC656" t="s">
        <v>119</v>
      </c>
      <c r="AD656" t="s">
        <v>113</v>
      </c>
      <c r="AE656" t="s">
        <v>120</v>
      </c>
      <c r="AG656" t="s">
        <v>121</v>
      </c>
    </row>
    <row r="657" spans="1:33" x14ac:dyDescent="0.25">
      <c r="A657" t="str">
        <f>"1437412111"</f>
        <v>1437412111</v>
      </c>
      <c r="B657" t="str">
        <f>"03485710"</f>
        <v>03485710</v>
      </c>
      <c r="C657" t="s">
        <v>4078</v>
      </c>
      <c r="D657" t="s">
        <v>4079</v>
      </c>
      <c r="E657" t="s">
        <v>4080</v>
      </c>
      <c r="G657" t="s">
        <v>4078</v>
      </c>
      <c r="H657" t="s">
        <v>449</v>
      </c>
      <c r="J657" t="s">
        <v>4081</v>
      </c>
      <c r="L657" t="s">
        <v>112</v>
      </c>
      <c r="M657" t="s">
        <v>113</v>
      </c>
      <c r="R657" t="s">
        <v>4082</v>
      </c>
      <c r="W657" t="s">
        <v>4080</v>
      </c>
      <c r="X657" t="s">
        <v>452</v>
      </c>
      <c r="Y657" t="s">
        <v>240</v>
      </c>
      <c r="Z657" t="s">
        <v>117</v>
      </c>
      <c r="AA657" t="str">
        <f>"14221-5258"</f>
        <v>14221-5258</v>
      </c>
      <c r="AB657" t="s">
        <v>118</v>
      </c>
      <c r="AC657" t="s">
        <v>119</v>
      </c>
      <c r="AD657" t="s">
        <v>113</v>
      </c>
      <c r="AE657" t="s">
        <v>120</v>
      </c>
      <c r="AG657" t="s">
        <v>121</v>
      </c>
    </row>
    <row r="658" spans="1:33" x14ac:dyDescent="0.25">
      <c r="A658" t="str">
        <f>"1437447810"</f>
        <v>1437447810</v>
      </c>
      <c r="B658" t="str">
        <f>"04089456"</f>
        <v>04089456</v>
      </c>
      <c r="C658" t="s">
        <v>4083</v>
      </c>
      <c r="D658" t="s">
        <v>4084</v>
      </c>
      <c r="E658" t="s">
        <v>4085</v>
      </c>
      <c r="G658" t="s">
        <v>4086</v>
      </c>
      <c r="H658" t="s">
        <v>351</v>
      </c>
      <c r="J658" t="s">
        <v>352</v>
      </c>
      <c r="L658" t="s">
        <v>112</v>
      </c>
      <c r="M658" t="s">
        <v>113</v>
      </c>
      <c r="R658" t="s">
        <v>4087</v>
      </c>
      <c r="W658" t="s">
        <v>4085</v>
      </c>
      <c r="X658" t="s">
        <v>4088</v>
      </c>
      <c r="Y658" t="s">
        <v>663</v>
      </c>
      <c r="Z658" t="s">
        <v>117</v>
      </c>
      <c r="AA658" t="str">
        <f>"14094-5339"</f>
        <v>14094-5339</v>
      </c>
      <c r="AB658" t="s">
        <v>621</v>
      </c>
      <c r="AC658" t="s">
        <v>119</v>
      </c>
      <c r="AD658" t="s">
        <v>113</v>
      </c>
      <c r="AE658" t="s">
        <v>120</v>
      </c>
      <c r="AG658" t="s">
        <v>121</v>
      </c>
    </row>
    <row r="659" spans="1:33" x14ac:dyDescent="0.25">
      <c r="A659" t="str">
        <f>"1558423921"</f>
        <v>1558423921</v>
      </c>
      <c r="B659" t="str">
        <f>"01028555"</f>
        <v>01028555</v>
      </c>
      <c r="C659" t="s">
        <v>4089</v>
      </c>
      <c r="D659" t="s">
        <v>4090</v>
      </c>
      <c r="E659" t="s">
        <v>4091</v>
      </c>
      <c r="G659" t="s">
        <v>4089</v>
      </c>
      <c r="H659" t="s">
        <v>4092</v>
      </c>
      <c r="J659" t="s">
        <v>4093</v>
      </c>
      <c r="L659" t="s">
        <v>150</v>
      </c>
      <c r="M659" t="s">
        <v>113</v>
      </c>
      <c r="R659" t="s">
        <v>4094</v>
      </c>
      <c r="W659" t="s">
        <v>4091</v>
      </c>
      <c r="X659" t="s">
        <v>4095</v>
      </c>
      <c r="Y659" t="s">
        <v>116</v>
      </c>
      <c r="Z659" t="s">
        <v>117</v>
      </c>
      <c r="AA659" t="str">
        <f>"14211-1217"</f>
        <v>14211-1217</v>
      </c>
      <c r="AB659" t="s">
        <v>118</v>
      </c>
      <c r="AC659" t="s">
        <v>119</v>
      </c>
      <c r="AD659" t="s">
        <v>113</v>
      </c>
      <c r="AE659" t="s">
        <v>120</v>
      </c>
      <c r="AG659" t="s">
        <v>121</v>
      </c>
    </row>
    <row r="660" spans="1:33" x14ac:dyDescent="0.25">
      <c r="A660" t="str">
        <f>"1558432377"</f>
        <v>1558432377</v>
      </c>
      <c r="B660" t="str">
        <f>"02676391"</f>
        <v>02676391</v>
      </c>
      <c r="C660" t="s">
        <v>4096</v>
      </c>
      <c r="D660" t="s">
        <v>4097</v>
      </c>
      <c r="E660" t="s">
        <v>4098</v>
      </c>
      <c r="G660" t="s">
        <v>4096</v>
      </c>
      <c r="H660" t="s">
        <v>4099</v>
      </c>
      <c r="J660" t="s">
        <v>4100</v>
      </c>
      <c r="L660" t="s">
        <v>142</v>
      </c>
      <c r="M660" t="s">
        <v>113</v>
      </c>
      <c r="R660" t="s">
        <v>4101</v>
      </c>
      <c r="W660" t="s">
        <v>4098</v>
      </c>
      <c r="X660" t="s">
        <v>4102</v>
      </c>
      <c r="Y660" t="s">
        <v>240</v>
      </c>
      <c r="Z660" t="s">
        <v>117</v>
      </c>
      <c r="AA660" t="str">
        <f>"14221-5773"</f>
        <v>14221-5773</v>
      </c>
      <c r="AB660" t="s">
        <v>118</v>
      </c>
      <c r="AC660" t="s">
        <v>119</v>
      </c>
      <c r="AD660" t="s">
        <v>113</v>
      </c>
      <c r="AE660" t="s">
        <v>120</v>
      </c>
      <c r="AG660" t="s">
        <v>121</v>
      </c>
    </row>
    <row r="661" spans="1:33" x14ac:dyDescent="0.25">
      <c r="A661" t="str">
        <f>"1558433474"</f>
        <v>1558433474</v>
      </c>
      <c r="C661" t="s">
        <v>4103</v>
      </c>
      <c r="G661" t="s">
        <v>4103</v>
      </c>
      <c r="H661" t="s">
        <v>590</v>
      </c>
      <c r="J661" t="s">
        <v>4104</v>
      </c>
      <c r="K661" t="s">
        <v>303</v>
      </c>
      <c r="L661" t="s">
        <v>229</v>
      </c>
      <c r="M661" t="s">
        <v>113</v>
      </c>
      <c r="R661" t="s">
        <v>4105</v>
      </c>
      <c r="S661" t="s">
        <v>1433</v>
      </c>
      <c r="T661" t="s">
        <v>129</v>
      </c>
      <c r="U661" t="s">
        <v>117</v>
      </c>
      <c r="V661" t="str">
        <f>"142242635"</f>
        <v>142242635</v>
      </c>
      <c r="AC661" t="s">
        <v>119</v>
      </c>
      <c r="AD661" t="s">
        <v>113</v>
      </c>
      <c r="AE661" t="s">
        <v>306</v>
      </c>
      <c r="AG661" t="s">
        <v>121</v>
      </c>
    </row>
    <row r="662" spans="1:33" x14ac:dyDescent="0.25">
      <c r="A662" t="str">
        <f>"1558448654"</f>
        <v>1558448654</v>
      </c>
      <c r="B662" t="str">
        <f>"03163971"</f>
        <v>03163971</v>
      </c>
      <c r="C662" t="s">
        <v>4106</v>
      </c>
      <c r="D662" t="s">
        <v>4107</v>
      </c>
      <c r="E662" t="s">
        <v>4108</v>
      </c>
      <c r="H662" t="s">
        <v>707</v>
      </c>
      <c r="L662" t="s">
        <v>112</v>
      </c>
      <c r="M662" t="s">
        <v>113</v>
      </c>
      <c r="R662" t="s">
        <v>4109</v>
      </c>
      <c r="W662" t="s">
        <v>4110</v>
      </c>
      <c r="X662" t="s">
        <v>4111</v>
      </c>
      <c r="Y662" t="s">
        <v>663</v>
      </c>
      <c r="Z662" t="s">
        <v>117</v>
      </c>
      <c r="AA662" t="str">
        <f>"14094-5376"</f>
        <v>14094-5376</v>
      </c>
      <c r="AB662" t="s">
        <v>634</v>
      </c>
      <c r="AC662" t="s">
        <v>119</v>
      </c>
      <c r="AD662" t="s">
        <v>113</v>
      </c>
      <c r="AE662" t="s">
        <v>120</v>
      </c>
      <c r="AG662" t="s">
        <v>121</v>
      </c>
    </row>
    <row r="663" spans="1:33" x14ac:dyDescent="0.25">
      <c r="A663" t="str">
        <f>"1558461079"</f>
        <v>1558461079</v>
      </c>
      <c r="B663" t="str">
        <f>"03296944"</f>
        <v>03296944</v>
      </c>
      <c r="C663" t="s">
        <v>4112</v>
      </c>
      <c r="D663" t="s">
        <v>4113</v>
      </c>
      <c r="E663" t="s">
        <v>4114</v>
      </c>
      <c r="G663" t="s">
        <v>4112</v>
      </c>
      <c r="H663" t="s">
        <v>1964</v>
      </c>
      <c r="J663" t="s">
        <v>4115</v>
      </c>
      <c r="L663" t="s">
        <v>112</v>
      </c>
      <c r="M663" t="s">
        <v>113</v>
      </c>
      <c r="R663" t="s">
        <v>4116</v>
      </c>
      <c r="W663" t="s">
        <v>4114</v>
      </c>
      <c r="X663" t="s">
        <v>176</v>
      </c>
      <c r="Y663" t="s">
        <v>116</v>
      </c>
      <c r="Z663" t="s">
        <v>117</v>
      </c>
      <c r="AA663" t="str">
        <f>"14203-1126"</f>
        <v>14203-1126</v>
      </c>
      <c r="AB663" t="s">
        <v>118</v>
      </c>
      <c r="AC663" t="s">
        <v>119</v>
      </c>
      <c r="AD663" t="s">
        <v>113</v>
      </c>
      <c r="AE663" t="s">
        <v>120</v>
      </c>
      <c r="AG663" t="s">
        <v>121</v>
      </c>
    </row>
    <row r="664" spans="1:33" x14ac:dyDescent="0.25">
      <c r="A664" t="str">
        <f>"1558462077"</f>
        <v>1558462077</v>
      </c>
      <c r="B664" t="str">
        <f>"02400071"</f>
        <v>02400071</v>
      </c>
      <c r="C664" t="s">
        <v>4117</v>
      </c>
      <c r="D664" t="s">
        <v>4118</v>
      </c>
      <c r="E664" t="s">
        <v>4119</v>
      </c>
      <c r="G664" t="s">
        <v>4120</v>
      </c>
      <c r="J664" t="s">
        <v>352</v>
      </c>
      <c r="L664" t="s">
        <v>112</v>
      </c>
      <c r="M664" t="s">
        <v>113</v>
      </c>
      <c r="R664" t="s">
        <v>4121</v>
      </c>
      <c r="W664" t="s">
        <v>4119</v>
      </c>
      <c r="X664" t="s">
        <v>409</v>
      </c>
      <c r="Y664" t="s">
        <v>116</v>
      </c>
      <c r="Z664" t="s">
        <v>117</v>
      </c>
      <c r="AA664" t="str">
        <f>"14215-2814"</f>
        <v>14215-2814</v>
      </c>
      <c r="AB664" t="s">
        <v>621</v>
      </c>
      <c r="AC664" t="s">
        <v>119</v>
      </c>
      <c r="AD664" t="s">
        <v>113</v>
      </c>
      <c r="AE664" t="s">
        <v>120</v>
      </c>
      <c r="AG664" t="s">
        <v>121</v>
      </c>
    </row>
    <row r="665" spans="1:33" x14ac:dyDescent="0.25">
      <c r="A665" t="str">
        <f>"1467574194"</f>
        <v>1467574194</v>
      </c>
      <c r="B665" t="str">
        <f>"01842864"</f>
        <v>01842864</v>
      </c>
      <c r="C665" t="s">
        <v>4122</v>
      </c>
      <c r="D665" t="s">
        <v>4123</v>
      </c>
      <c r="E665" t="s">
        <v>4124</v>
      </c>
      <c r="G665" t="s">
        <v>4122</v>
      </c>
      <c r="H665" t="s">
        <v>579</v>
      </c>
      <c r="J665" t="s">
        <v>4125</v>
      </c>
      <c r="L665" t="s">
        <v>112</v>
      </c>
      <c r="M665" t="s">
        <v>113</v>
      </c>
      <c r="R665" t="s">
        <v>4126</v>
      </c>
      <c r="W665" t="s">
        <v>4124</v>
      </c>
      <c r="X665" t="s">
        <v>4127</v>
      </c>
      <c r="Y665" t="s">
        <v>958</v>
      </c>
      <c r="Z665" t="s">
        <v>117</v>
      </c>
      <c r="AA665" t="str">
        <f>"14226-1039"</f>
        <v>14226-1039</v>
      </c>
      <c r="AB665" t="s">
        <v>118</v>
      </c>
      <c r="AC665" t="s">
        <v>119</v>
      </c>
      <c r="AD665" t="s">
        <v>113</v>
      </c>
      <c r="AE665" t="s">
        <v>120</v>
      </c>
      <c r="AG665" t="s">
        <v>121</v>
      </c>
    </row>
    <row r="666" spans="1:33" x14ac:dyDescent="0.25">
      <c r="A666" t="str">
        <f>"1467598276"</f>
        <v>1467598276</v>
      </c>
      <c r="B666" t="str">
        <f>"03487950"</f>
        <v>03487950</v>
      </c>
      <c r="C666" t="s">
        <v>4128</v>
      </c>
      <c r="D666" t="s">
        <v>4129</v>
      </c>
      <c r="E666" t="s">
        <v>4130</v>
      </c>
      <c r="G666" t="s">
        <v>4131</v>
      </c>
      <c r="H666" t="s">
        <v>4132</v>
      </c>
      <c r="J666" t="s">
        <v>4133</v>
      </c>
      <c r="L666" t="s">
        <v>112</v>
      </c>
      <c r="M666" t="s">
        <v>113</v>
      </c>
      <c r="R666" t="s">
        <v>4134</v>
      </c>
      <c r="W666" t="s">
        <v>4130</v>
      </c>
      <c r="X666" t="s">
        <v>474</v>
      </c>
      <c r="Y666" t="s">
        <v>116</v>
      </c>
      <c r="Z666" t="s">
        <v>117</v>
      </c>
      <c r="AA666" t="str">
        <f>"14214-1316"</f>
        <v>14214-1316</v>
      </c>
      <c r="AB666" t="s">
        <v>118</v>
      </c>
      <c r="AC666" t="s">
        <v>119</v>
      </c>
      <c r="AD666" t="s">
        <v>113</v>
      </c>
      <c r="AE666" t="s">
        <v>120</v>
      </c>
      <c r="AG666" t="s">
        <v>121</v>
      </c>
    </row>
    <row r="667" spans="1:33" x14ac:dyDescent="0.25">
      <c r="A667" t="str">
        <f>"1972632628"</f>
        <v>1972632628</v>
      </c>
      <c r="C667" t="s">
        <v>4135</v>
      </c>
      <c r="G667" t="s">
        <v>4135</v>
      </c>
      <c r="H667" t="s">
        <v>437</v>
      </c>
      <c r="J667" t="s">
        <v>438</v>
      </c>
      <c r="K667" t="s">
        <v>303</v>
      </c>
      <c r="L667" t="s">
        <v>229</v>
      </c>
      <c r="M667" t="s">
        <v>113</v>
      </c>
      <c r="R667" t="s">
        <v>4136</v>
      </c>
      <c r="S667" t="s">
        <v>3611</v>
      </c>
      <c r="T667" t="s">
        <v>116</v>
      </c>
      <c r="U667" t="s">
        <v>117</v>
      </c>
      <c r="V667" t="str">
        <f>"142121501"</f>
        <v>142121501</v>
      </c>
      <c r="AC667" t="s">
        <v>119</v>
      </c>
      <c r="AD667" t="s">
        <v>113</v>
      </c>
      <c r="AE667" t="s">
        <v>306</v>
      </c>
      <c r="AG667" t="s">
        <v>121</v>
      </c>
    </row>
    <row r="668" spans="1:33" x14ac:dyDescent="0.25">
      <c r="A668" t="str">
        <f>"1972633543"</f>
        <v>1972633543</v>
      </c>
      <c r="B668" t="str">
        <f>"03278448"</f>
        <v>03278448</v>
      </c>
      <c r="C668" t="s">
        <v>4137</v>
      </c>
      <c r="D668" t="s">
        <v>4138</v>
      </c>
      <c r="E668" t="s">
        <v>4139</v>
      </c>
      <c r="L668" t="s">
        <v>229</v>
      </c>
      <c r="M668" t="s">
        <v>113</v>
      </c>
      <c r="R668" t="s">
        <v>4137</v>
      </c>
      <c r="W668" t="s">
        <v>4139</v>
      </c>
      <c r="X668" t="s">
        <v>4140</v>
      </c>
      <c r="Y668" t="s">
        <v>153</v>
      </c>
      <c r="Z668" t="s">
        <v>117</v>
      </c>
      <c r="AA668" t="str">
        <f>"14303-1200"</f>
        <v>14303-1200</v>
      </c>
      <c r="AB668" t="s">
        <v>4141</v>
      </c>
      <c r="AC668" t="s">
        <v>119</v>
      </c>
      <c r="AD668" t="s">
        <v>113</v>
      </c>
      <c r="AE668" t="s">
        <v>120</v>
      </c>
      <c r="AG668" t="s">
        <v>121</v>
      </c>
    </row>
    <row r="669" spans="1:33" x14ac:dyDescent="0.25">
      <c r="A669" t="str">
        <f>"1972664449"</f>
        <v>1972664449</v>
      </c>
      <c r="B669" t="str">
        <f>"03038786"</f>
        <v>03038786</v>
      </c>
      <c r="C669" t="s">
        <v>4142</v>
      </c>
      <c r="D669" t="s">
        <v>4143</v>
      </c>
      <c r="E669" t="s">
        <v>4144</v>
      </c>
      <c r="G669" t="s">
        <v>4142</v>
      </c>
      <c r="H669" t="s">
        <v>2193</v>
      </c>
      <c r="J669" t="s">
        <v>4145</v>
      </c>
      <c r="L669" t="s">
        <v>142</v>
      </c>
      <c r="M669" t="s">
        <v>113</v>
      </c>
      <c r="R669" t="s">
        <v>4146</v>
      </c>
      <c r="W669" t="s">
        <v>4147</v>
      </c>
      <c r="X669" t="s">
        <v>3705</v>
      </c>
      <c r="Y669" t="s">
        <v>958</v>
      </c>
      <c r="Z669" t="s">
        <v>117</v>
      </c>
      <c r="AA669" t="str">
        <f>"14226-1727"</f>
        <v>14226-1727</v>
      </c>
      <c r="AB669" t="s">
        <v>1755</v>
      </c>
      <c r="AC669" t="s">
        <v>119</v>
      </c>
      <c r="AD669" t="s">
        <v>113</v>
      </c>
      <c r="AE669" t="s">
        <v>120</v>
      </c>
      <c r="AG669" t="s">
        <v>121</v>
      </c>
    </row>
    <row r="670" spans="1:33" x14ac:dyDescent="0.25">
      <c r="A670" t="str">
        <f>"1972692515"</f>
        <v>1972692515</v>
      </c>
      <c r="B670" t="str">
        <f>"02330069"</f>
        <v>02330069</v>
      </c>
      <c r="C670" t="s">
        <v>4148</v>
      </c>
      <c r="D670" t="s">
        <v>4149</v>
      </c>
      <c r="E670" t="s">
        <v>4150</v>
      </c>
      <c r="G670" t="s">
        <v>4151</v>
      </c>
      <c r="H670" t="s">
        <v>213</v>
      </c>
      <c r="J670" t="s">
        <v>4152</v>
      </c>
      <c r="L670" t="s">
        <v>728</v>
      </c>
      <c r="M670" t="s">
        <v>113</v>
      </c>
      <c r="R670" t="s">
        <v>4153</v>
      </c>
      <c r="W670" t="s">
        <v>4150</v>
      </c>
      <c r="X670" t="s">
        <v>216</v>
      </c>
      <c r="Y670" t="s">
        <v>116</v>
      </c>
      <c r="Z670" t="s">
        <v>117</v>
      </c>
      <c r="AA670" t="str">
        <f>"14222-2006"</f>
        <v>14222-2006</v>
      </c>
      <c r="AB670" t="s">
        <v>118</v>
      </c>
      <c r="AC670" t="s">
        <v>119</v>
      </c>
      <c r="AD670" t="s">
        <v>113</v>
      </c>
      <c r="AE670" t="s">
        <v>120</v>
      </c>
      <c r="AG670" t="s">
        <v>121</v>
      </c>
    </row>
    <row r="671" spans="1:33" x14ac:dyDescent="0.25">
      <c r="A671" t="str">
        <f>"1972694248"</f>
        <v>1972694248</v>
      </c>
      <c r="B671" t="str">
        <f>"01281507"</f>
        <v>01281507</v>
      </c>
      <c r="C671" t="s">
        <v>4154</v>
      </c>
      <c r="D671" t="s">
        <v>4155</v>
      </c>
      <c r="E671" t="s">
        <v>4156</v>
      </c>
      <c r="G671" t="s">
        <v>4154</v>
      </c>
      <c r="H671" t="s">
        <v>4157</v>
      </c>
      <c r="J671" t="s">
        <v>4158</v>
      </c>
      <c r="L671" t="s">
        <v>1033</v>
      </c>
      <c r="M671" t="s">
        <v>113</v>
      </c>
      <c r="R671" t="s">
        <v>4159</v>
      </c>
      <c r="W671" t="s">
        <v>4160</v>
      </c>
      <c r="X671" t="s">
        <v>4161</v>
      </c>
      <c r="Y671" t="s">
        <v>986</v>
      </c>
      <c r="Z671" t="s">
        <v>117</v>
      </c>
      <c r="AA671" t="str">
        <f>"14701-5331"</f>
        <v>14701-5331</v>
      </c>
      <c r="AB671" t="s">
        <v>2359</v>
      </c>
      <c r="AC671" t="s">
        <v>119</v>
      </c>
      <c r="AD671" t="s">
        <v>113</v>
      </c>
      <c r="AE671" t="s">
        <v>120</v>
      </c>
      <c r="AG671" t="s">
        <v>121</v>
      </c>
    </row>
    <row r="672" spans="1:33" x14ac:dyDescent="0.25">
      <c r="A672" t="str">
        <f>"1699732925"</f>
        <v>1699732925</v>
      </c>
      <c r="B672" t="str">
        <f>"03266566"</f>
        <v>03266566</v>
      </c>
      <c r="C672" t="s">
        <v>4162</v>
      </c>
      <c r="D672" t="s">
        <v>4163</v>
      </c>
      <c r="E672" t="s">
        <v>4164</v>
      </c>
      <c r="G672" t="s">
        <v>4162</v>
      </c>
      <c r="H672" t="s">
        <v>227</v>
      </c>
      <c r="J672" t="s">
        <v>4165</v>
      </c>
      <c r="L672" t="s">
        <v>142</v>
      </c>
      <c r="M672" t="s">
        <v>113</v>
      </c>
      <c r="R672" t="s">
        <v>4166</v>
      </c>
      <c r="W672" t="s">
        <v>4167</v>
      </c>
      <c r="X672" t="s">
        <v>4168</v>
      </c>
      <c r="Y672" t="s">
        <v>4169</v>
      </c>
      <c r="Z672" t="s">
        <v>117</v>
      </c>
      <c r="AA672" t="str">
        <f>"12866-1003"</f>
        <v>12866-1003</v>
      </c>
      <c r="AB672" t="s">
        <v>118</v>
      </c>
      <c r="AC672" t="s">
        <v>119</v>
      </c>
      <c r="AD672" t="s">
        <v>113</v>
      </c>
      <c r="AE672" t="s">
        <v>120</v>
      </c>
      <c r="AG672" t="s">
        <v>121</v>
      </c>
    </row>
    <row r="673" spans="1:33" x14ac:dyDescent="0.25">
      <c r="A673" t="str">
        <f>"1699738815"</f>
        <v>1699738815</v>
      </c>
      <c r="B673" t="str">
        <f>"00687536"</f>
        <v>00687536</v>
      </c>
      <c r="C673" t="s">
        <v>4170</v>
      </c>
      <c r="D673" t="s">
        <v>4171</v>
      </c>
      <c r="E673" t="s">
        <v>4172</v>
      </c>
      <c r="G673" t="s">
        <v>4170</v>
      </c>
      <c r="H673" t="s">
        <v>4173</v>
      </c>
      <c r="J673" t="s">
        <v>4174</v>
      </c>
      <c r="L673" t="s">
        <v>142</v>
      </c>
      <c r="M673" t="s">
        <v>113</v>
      </c>
      <c r="R673" t="s">
        <v>4175</v>
      </c>
      <c r="W673" t="s">
        <v>4172</v>
      </c>
      <c r="X673" t="s">
        <v>4176</v>
      </c>
      <c r="Y673" t="s">
        <v>116</v>
      </c>
      <c r="Z673" t="s">
        <v>117</v>
      </c>
      <c r="AA673" t="str">
        <f>"14203-2209"</f>
        <v>14203-2209</v>
      </c>
      <c r="AB673" t="s">
        <v>1755</v>
      </c>
      <c r="AC673" t="s">
        <v>119</v>
      </c>
      <c r="AD673" t="s">
        <v>113</v>
      </c>
      <c r="AE673" t="s">
        <v>120</v>
      </c>
      <c r="AG673" t="s">
        <v>121</v>
      </c>
    </row>
    <row r="674" spans="1:33" x14ac:dyDescent="0.25">
      <c r="A674" t="str">
        <f>"1699741140"</f>
        <v>1699741140</v>
      </c>
      <c r="B674" t="str">
        <f>"03114472"</f>
        <v>03114472</v>
      </c>
      <c r="C674" t="s">
        <v>4177</v>
      </c>
      <c r="D674" t="s">
        <v>4178</v>
      </c>
      <c r="E674" t="s">
        <v>4177</v>
      </c>
      <c r="G674" t="s">
        <v>4179</v>
      </c>
      <c r="H674" t="s">
        <v>1659</v>
      </c>
      <c r="L674" t="s">
        <v>69</v>
      </c>
      <c r="M674" t="s">
        <v>113</v>
      </c>
      <c r="R674" t="s">
        <v>4177</v>
      </c>
      <c r="W674" t="s">
        <v>4177</v>
      </c>
      <c r="X674" t="s">
        <v>1663</v>
      </c>
      <c r="Y674" t="s">
        <v>1381</v>
      </c>
      <c r="Z674" t="s">
        <v>117</v>
      </c>
      <c r="AA674" t="str">
        <f>"14063-1769"</f>
        <v>14063-1769</v>
      </c>
      <c r="AB674" t="s">
        <v>4180</v>
      </c>
      <c r="AC674" t="s">
        <v>119</v>
      </c>
      <c r="AD674" t="s">
        <v>113</v>
      </c>
      <c r="AE674" t="s">
        <v>120</v>
      </c>
      <c r="AG674" t="s">
        <v>121</v>
      </c>
    </row>
    <row r="675" spans="1:33" x14ac:dyDescent="0.25">
      <c r="A675" t="str">
        <f>"1699741934"</f>
        <v>1699741934</v>
      </c>
      <c r="B675" t="str">
        <f>"02343373"</f>
        <v>02343373</v>
      </c>
      <c r="C675" t="s">
        <v>4181</v>
      </c>
      <c r="D675" t="s">
        <v>4182</v>
      </c>
      <c r="E675" t="s">
        <v>4183</v>
      </c>
      <c r="G675" t="s">
        <v>4181</v>
      </c>
      <c r="H675" t="s">
        <v>744</v>
      </c>
      <c r="J675" t="s">
        <v>4184</v>
      </c>
      <c r="L675" t="s">
        <v>150</v>
      </c>
      <c r="M675" t="s">
        <v>113</v>
      </c>
      <c r="R675" t="s">
        <v>4185</v>
      </c>
      <c r="W675" t="s">
        <v>4183</v>
      </c>
      <c r="X675" t="s">
        <v>3261</v>
      </c>
      <c r="Y675" t="s">
        <v>116</v>
      </c>
      <c r="Z675" t="s">
        <v>117</v>
      </c>
      <c r="AA675" t="str">
        <f>"14228-2044"</f>
        <v>14228-2044</v>
      </c>
      <c r="AB675" t="s">
        <v>118</v>
      </c>
      <c r="AC675" t="s">
        <v>119</v>
      </c>
      <c r="AD675" t="s">
        <v>113</v>
      </c>
      <c r="AE675" t="s">
        <v>120</v>
      </c>
      <c r="AG675" t="s">
        <v>121</v>
      </c>
    </row>
    <row r="676" spans="1:33" x14ac:dyDescent="0.25">
      <c r="A676" t="str">
        <f>"1699747964"</f>
        <v>1699747964</v>
      </c>
      <c r="B676" t="str">
        <f>"01981795"</f>
        <v>01981795</v>
      </c>
      <c r="C676" t="s">
        <v>4186</v>
      </c>
      <c r="D676" t="s">
        <v>4187</v>
      </c>
      <c r="E676" t="s">
        <v>4188</v>
      </c>
      <c r="G676" t="s">
        <v>4186</v>
      </c>
      <c r="H676" t="s">
        <v>4189</v>
      </c>
      <c r="J676" t="s">
        <v>4190</v>
      </c>
      <c r="L676" t="s">
        <v>150</v>
      </c>
      <c r="M676" t="s">
        <v>113</v>
      </c>
      <c r="R676" t="s">
        <v>4191</v>
      </c>
      <c r="W676" t="s">
        <v>4188</v>
      </c>
      <c r="X676" t="s">
        <v>4192</v>
      </c>
      <c r="Y676" t="s">
        <v>326</v>
      </c>
      <c r="Z676" t="s">
        <v>117</v>
      </c>
      <c r="AA676" t="str">
        <f>"14127-1732"</f>
        <v>14127-1732</v>
      </c>
      <c r="AB676" t="s">
        <v>118</v>
      </c>
      <c r="AC676" t="s">
        <v>119</v>
      </c>
      <c r="AD676" t="s">
        <v>113</v>
      </c>
      <c r="AE676" t="s">
        <v>120</v>
      </c>
      <c r="AG676" t="s">
        <v>121</v>
      </c>
    </row>
    <row r="677" spans="1:33" x14ac:dyDescent="0.25">
      <c r="A677" t="str">
        <f>"1699748491"</f>
        <v>1699748491</v>
      </c>
      <c r="B677" t="str">
        <f>"00667276"</f>
        <v>00667276</v>
      </c>
      <c r="C677" t="s">
        <v>4193</v>
      </c>
      <c r="D677" t="s">
        <v>4194</v>
      </c>
      <c r="E677" t="s">
        <v>4195</v>
      </c>
      <c r="G677" t="s">
        <v>4196</v>
      </c>
      <c r="H677" t="s">
        <v>4197</v>
      </c>
      <c r="J677" t="s">
        <v>4198</v>
      </c>
      <c r="L677" t="s">
        <v>112</v>
      </c>
      <c r="M677" t="s">
        <v>113</v>
      </c>
      <c r="R677" t="s">
        <v>4199</v>
      </c>
      <c r="W677" t="s">
        <v>4195</v>
      </c>
      <c r="X677" t="s">
        <v>4200</v>
      </c>
      <c r="Y677" t="s">
        <v>116</v>
      </c>
      <c r="Z677" t="s">
        <v>117</v>
      </c>
      <c r="AA677" t="str">
        <f>"14201-1510"</f>
        <v>14201-1510</v>
      </c>
      <c r="AB677" t="s">
        <v>118</v>
      </c>
      <c r="AC677" t="s">
        <v>119</v>
      </c>
      <c r="AD677" t="s">
        <v>113</v>
      </c>
      <c r="AE677" t="s">
        <v>120</v>
      </c>
      <c r="AG677" t="s">
        <v>121</v>
      </c>
    </row>
    <row r="678" spans="1:33" x14ac:dyDescent="0.25">
      <c r="A678" t="str">
        <f>"1699751990"</f>
        <v>1699751990</v>
      </c>
      <c r="B678" t="str">
        <f>"00686833"</f>
        <v>00686833</v>
      </c>
      <c r="C678" t="s">
        <v>4201</v>
      </c>
      <c r="D678" t="s">
        <v>4202</v>
      </c>
      <c r="E678" t="s">
        <v>4203</v>
      </c>
      <c r="G678" t="s">
        <v>4201</v>
      </c>
      <c r="H678" t="s">
        <v>449</v>
      </c>
      <c r="J678" t="s">
        <v>4204</v>
      </c>
      <c r="L678" t="s">
        <v>142</v>
      </c>
      <c r="M678" t="s">
        <v>113</v>
      </c>
      <c r="R678" t="s">
        <v>4205</v>
      </c>
      <c r="W678" t="s">
        <v>4203</v>
      </c>
      <c r="X678" t="s">
        <v>784</v>
      </c>
      <c r="Y678" t="s">
        <v>116</v>
      </c>
      <c r="Z678" t="s">
        <v>117</v>
      </c>
      <c r="AA678" t="str">
        <f>"14209-1194"</f>
        <v>14209-1194</v>
      </c>
      <c r="AB678" t="s">
        <v>118</v>
      </c>
      <c r="AC678" t="s">
        <v>119</v>
      </c>
      <c r="AD678" t="s">
        <v>113</v>
      </c>
      <c r="AE678" t="s">
        <v>120</v>
      </c>
      <c r="AG678" t="s">
        <v>121</v>
      </c>
    </row>
    <row r="679" spans="1:33" x14ac:dyDescent="0.25">
      <c r="A679" t="str">
        <f>"1699768283"</f>
        <v>1699768283</v>
      </c>
      <c r="B679" t="str">
        <f>"01348136"</f>
        <v>01348136</v>
      </c>
      <c r="C679" t="s">
        <v>4206</v>
      </c>
      <c r="D679" t="s">
        <v>4207</v>
      </c>
      <c r="E679" t="s">
        <v>4208</v>
      </c>
      <c r="G679" t="s">
        <v>4206</v>
      </c>
      <c r="H679" t="s">
        <v>1173</v>
      </c>
      <c r="J679" t="s">
        <v>4209</v>
      </c>
      <c r="L679" t="s">
        <v>112</v>
      </c>
      <c r="M679" t="s">
        <v>113</v>
      </c>
      <c r="R679" t="s">
        <v>4210</v>
      </c>
      <c r="W679" t="s">
        <v>4208</v>
      </c>
      <c r="X679" t="s">
        <v>4211</v>
      </c>
      <c r="Y679" t="s">
        <v>116</v>
      </c>
      <c r="Z679" t="s">
        <v>117</v>
      </c>
      <c r="AA679" t="str">
        <f>"14203-1126"</f>
        <v>14203-1126</v>
      </c>
      <c r="AB679" t="s">
        <v>118</v>
      </c>
      <c r="AC679" t="s">
        <v>119</v>
      </c>
      <c r="AD679" t="s">
        <v>113</v>
      </c>
      <c r="AE679" t="s">
        <v>120</v>
      </c>
      <c r="AG679" t="s">
        <v>121</v>
      </c>
    </row>
    <row r="680" spans="1:33" x14ac:dyDescent="0.25">
      <c r="A680" t="str">
        <f>"1699771832"</f>
        <v>1699771832</v>
      </c>
      <c r="B680" t="str">
        <f>"02389751"</f>
        <v>02389751</v>
      </c>
      <c r="C680" t="s">
        <v>4212</v>
      </c>
      <c r="D680" t="s">
        <v>4213</v>
      </c>
      <c r="E680" t="s">
        <v>4214</v>
      </c>
      <c r="G680" t="s">
        <v>4212</v>
      </c>
      <c r="H680" t="s">
        <v>4215</v>
      </c>
      <c r="J680" t="s">
        <v>4216</v>
      </c>
      <c r="L680" t="s">
        <v>112</v>
      </c>
      <c r="M680" t="s">
        <v>113</v>
      </c>
      <c r="R680" t="s">
        <v>4217</v>
      </c>
      <c r="W680" t="s">
        <v>4214</v>
      </c>
      <c r="X680" t="s">
        <v>709</v>
      </c>
      <c r="Y680" t="s">
        <v>116</v>
      </c>
      <c r="Z680" t="s">
        <v>117</v>
      </c>
      <c r="AA680" t="str">
        <f>"14263-0001"</f>
        <v>14263-0001</v>
      </c>
      <c r="AB680" t="s">
        <v>118</v>
      </c>
      <c r="AC680" t="s">
        <v>119</v>
      </c>
      <c r="AD680" t="s">
        <v>113</v>
      </c>
      <c r="AE680" t="s">
        <v>120</v>
      </c>
      <c r="AG680" t="s">
        <v>121</v>
      </c>
    </row>
    <row r="681" spans="1:33" x14ac:dyDescent="0.25">
      <c r="A681" t="str">
        <f>"1699772913"</f>
        <v>1699772913</v>
      </c>
      <c r="B681" t="str">
        <f>"01184183"</f>
        <v>01184183</v>
      </c>
      <c r="C681" t="s">
        <v>4218</v>
      </c>
      <c r="D681" t="s">
        <v>4219</v>
      </c>
      <c r="E681" t="s">
        <v>4220</v>
      </c>
      <c r="G681" t="s">
        <v>4218</v>
      </c>
      <c r="H681" t="s">
        <v>3068</v>
      </c>
      <c r="J681" t="s">
        <v>4221</v>
      </c>
      <c r="L681" t="s">
        <v>112</v>
      </c>
      <c r="M681" t="s">
        <v>113</v>
      </c>
      <c r="R681" t="s">
        <v>4222</v>
      </c>
      <c r="W681" t="s">
        <v>4220</v>
      </c>
      <c r="X681" t="s">
        <v>4004</v>
      </c>
      <c r="Y681" t="s">
        <v>116</v>
      </c>
      <c r="Z681" t="s">
        <v>117</v>
      </c>
      <c r="AA681" t="str">
        <f>"14263-0001"</f>
        <v>14263-0001</v>
      </c>
      <c r="AB681" t="s">
        <v>118</v>
      </c>
      <c r="AC681" t="s">
        <v>119</v>
      </c>
      <c r="AD681" t="s">
        <v>113</v>
      </c>
      <c r="AE681" t="s">
        <v>120</v>
      </c>
      <c r="AG681" t="s">
        <v>121</v>
      </c>
    </row>
    <row r="682" spans="1:33" x14ac:dyDescent="0.25">
      <c r="A682" t="str">
        <f>"1699782276"</f>
        <v>1699782276</v>
      </c>
      <c r="B682" t="str">
        <f>"01052042"</f>
        <v>01052042</v>
      </c>
      <c r="C682" t="s">
        <v>4223</v>
      </c>
      <c r="D682" t="s">
        <v>4224</v>
      </c>
      <c r="E682" t="s">
        <v>4225</v>
      </c>
      <c r="G682" t="s">
        <v>4223</v>
      </c>
      <c r="H682" t="s">
        <v>213</v>
      </c>
      <c r="J682" t="s">
        <v>4226</v>
      </c>
      <c r="L682" t="s">
        <v>142</v>
      </c>
      <c r="M682" t="s">
        <v>113</v>
      </c>
      <c r="R682" t="s">
        <v>4227</v>
      </c>
      <c r="W682" t="s">
        <v>4225</v>
      </c>
      <c r="Y682" t="s">
        <v>116</v>
      </c>
      <c r="Z682" t="s">
        <v>117</v>
      </c>
      <c r="AA682" t="str">
        <f>"14222-2099"</f>
        <v>14222-2099</v>
      </c>
      <c r="AB682" t="s">
        <v>118</v>
      </c>
      <c r="AC682" t="s">
        <v>119</v>
      </c>
      <c r="AD682" t="s">
        <v>113</v>
      </c>
      <c r="AE682" t="s">
        <v>120</v>
      </c>
      <c r="AG682" t="s">
        <v>121</v>
      </c>
    </row>
    <row r="683" spans="1:33" x14ac:dyDescent="0.25">
      <c r="A683" t="str">
        <f>"1336220789"</f>
        <v>1336220789</v>
      </c>
      <c r="B683" t="str">
        <f>"01971879"</f>
        <v>01971879</v>
      </c>
      <c r="C683" t="s">
        <v>4228</v>
      </c>
      <c r="D683" t="s">
        <v>4229</v>
      </c>
      <c r="E683" t="s">
        <v>4230</v>
      </c>
      <c r="G683" t="s">
        <v>4228</v>
      </c>
      <c r="H683" t="s">
        <v>4231</v>
      </c>
      <c r="J683" t="s">
        <v>4232</v>
      </c>
      <c r="L683" t="s">
        <v>142</v>
      </c>
      <c r="M683" t="s">
        <v>113</v>
      </c>
      <c r="R683" t="s">
        <v>4230</v>
      </c>
      <c r="W683" t="s">
        <v>4233</v>
      </c>
      <c r="X683" t="s">
        <v>4234</v>
      </c>
      <c r="Y683" t="s">
        <v>240</v>
      </c>
      <c r="Z683" t="s">
        <v>117</v>
      </c>
      <c r="AA683" t="str">
        <f>"14221-2920"</f>
        <v>14221-2920</v>
      </c>
      <c r="AB683" t="s">
        <v>118</v>
      </c>
      <c r="AC683" t="s">
        <v>119</v>
      </c>
      <c r="AD683" t="s">
        <v>113</v>
      </c>
      <c r="AE683" t="s">
        <v>120</v>
      </c>
      <c r="AG683" t="s">
        <v>121</v>
      </c>
    </row>
    <row r="684" spans="1:33" x14ac:dyDescent="0.25">
      <c r="A684" t="str">
        <f>"1336226430"</f>
        <v>1336226430</v>
      </c>
      <c r="C684" t="s">
        <v>4235</v>
      </c>
      <c r="G684" t="s">
        <v>4236</v>
      </c>
      <c r="H684" t="s">
        <v>351</v>
      </c>
      <c r="J684" t="s">
        <v>352</v>
      </c>
      <c r="K684" t="s">
        <v>303</v>
      </c>
      <c r="L684" t="s">
        <v>229</v>
      </c>
      <c r="M684" t="s">
        <v>113</v>
      </c>
      <c r="R684" t="s">
        <v>4237</v>
      </c>
      <c r="S684" t="s">
        <v>405</v>
      </c>
      <c r="T684" t="s">
        <v>116</v>
      </c>
      <c r="U684" t="s">
        <v>117</v>
      </c>
      <c r="V684" t="str">
        <f>"142151139"</f>
        <v>142151139</v>
      </c>
      <c r="AC684" t="s">
        <v>119</v>
      </c>
      <c r="AD684" t="s">
        <v>113</v>
      </c>
      <c r="AE684" t="s">
        <v>306</v>
      </c>
      <c r="AG684" t="s">
        <v>121</v>
      </c>
    </row>
    <row r="685" spans="1:33" x14ac:dyDescent="0.25">
      <c r="A685" t="str">
        <f>"1336242387"</f>
        <v>1336242387</v>
      </c>
      <c r="B685" t="str">
        <f>"02202977"</f>
        <v>02202977</v>
      </c>
      <c r="C685" t="s">
        <v>4238</v>
      </c>
      <c r="D685" t="s">
        <v>4239</v>
      </c>
      <c r="E685" t="s">
        <v>4240</v>
      </c>
      <c r="G685" t="s">
        <v>4241</v>
      </c>
      <c r="H685" t="s">
        <v>4242</v>
      </c>
      <c r="L685" t="s">
        <v>150</v>
      </c>
      <c r="M685" t="s">
        <v>113</v>
      </c>
      <c r="R685" t="s">
        <v>4241</v>
      </c>
      <c r="W685" t="s">
        <v>4240</v>
      </c>
      <c r="X685" t="s">
        <v>4243</v>
      </c>
      <c r="Y685" t="s">
        <v>3362</v>
      </c>
      <c r="Z685" t="s">
        <v>117</v>
      </c>
      <c r="AA685" t="str">
        <f>"14136-1452"</f>
        <v>14136-1452</v>
      </c>
      <c r="AB685" t="s">
        <v>118</v>
      </c>
      <c r="AC685" t="s">
        <v>119</v>
      </c>
      <c r="AD685" t="s">
        <v>113</v>
      </c>
      <c r="AE685" t="s">
        <v>120</v>
      </c>
      <c r="AG685" t="s">
        <v>121</v>
      </c>
    </row>
    <row r="686" spans="1:33" x14ac:dyDescent="0.25">
      <c r="A686" t="str">
        <f>"1336246040"</f>
        <v>1336246040</v>
      </c>
      <c r="C686" t="s">
        <v>4244</v>
      </c>
      <c r="H686" t="s">
        <v>279</v>
      </c>
      <c r="K686" t="s">
        <v>303</v>
      </c>
      <c r="L686" t="s">
        <v>229</v>
      </c>
      <c r="M686" t="s">
        <v>113</v>
      </c>
      <c r="R686" t="s">
        <v>4244</v>
      </c>
      <c r="S686" t="s">
        <v>4245</v>
      </c>
      <c r="T686" t="s">
        <v>268</v>
      </c>
      <c r="U686" t="s">
        <v>117</v>
      </c>
      <c r="V686" t="str">
        <f>"141509463"</f>
        <v>141509463</v>
      </c>
      <c r="AC686" t="s">
        <v>119</v>
      </c>
      <c r="AD686" t="s">
        <v>113</v>
      </c>
      <c r="AE686" t="s">
        <v>306</v>
      </c>
      <c r="AG686" t="s">
        <v>121</v>
      </c>
    </row>
    <row r="687" spans="1:33" x14ac:dyDescent="0.25">
      <c r="A687" t="str">
        <f>"1336253210"</f>
        <v>1336253210</v>
      </c>
      <c r="B687" t="str">
        <f>"01774038"</f>
        <v>01774038</v>
      </c>
      <c r="C687" t="s">
        <v>4246</v>
      </c>
      <c r="D687" t="s">
        <v>4247</v>
      </c>
      <c r="E687" t="s">
        <v>4248</v>
      </c>
      <c r="G687" t="s">
        <v>4246</v>
      </c>
      <c r="H687" t="s">
        <v>4249</v>
      </c>
      <c r="J687" t="s">
        <v>4250</v>
      </c>
      <c r="L687" t="s">
        <v>728</v>
      </c>
      <c r="M687" t="s">
        <v>113</v>
      </c>
      <c r="R687" t="s">
        <v>4251</v>
      </c>
      <c r="W687" t="s">
        <v>4252</v>
      </c>
      <c r="X687" t="s">
        <v>253</v>
      </c>
      <c r="Y687" t="s">
        <v>116</v>
      </c>
      <c r="Z687" t="s">
        <v>117</v>
      </c>
      <c r="AA687" t="str">
        <f>"14215-3021"</f>
        <v>14215-3021</v>
      </c>
      <c r="AB687" t="s">
        <v>118</v>
      </c>
      <c r="AC687" t="s">
        <v>119</v>
      </c>
      <c r="AD687" t="s">
        <v>113</v>
      </c>
      <c r="AE687" t="s">
        <v>120</v>
      </c>
      <c r="AG687" t="s">
        <v>121</v>
      </c>
    </row>
    <row r="688" spans="1:33" x14ac:dyDescent="0.25">
      <c r="A688" t="str">
        <f>"1336291210"</f>
        <v>1336291210</v>
      </c>
      <c r="C688" t="s">
        <v>4253</v>
      </c>
      <c r="G688" t="s">
        <v>4254</v>
      </c>
      <c r="H688" t="s">
        <v>3328</v>
      </c>
      <c r="J688" t="s">
        <v>4255</v>
      </c>
      <c r="K688" t="s">
        <v>303</v>
      </c>
      <c r="L688" t="s">
        <v>112</v>
      </c>
      <c r="M688" t="s">
        <v>113</v>
      </c>
      <c r="R688" t="s">
        <v>4256</v>
      </c>
      <c r="S688" t="s">
        <v>4257</v>
      </c>
      <c r="T688" t="s">
        <v>116</v>
      </c>
      <c r="U688" t="s">
        <v>117</v>
      </c>
      <c r="V688" t="str">
        <f>"14201"</f>
        <v>14201</v>
      </c>
      <c r="AC688" t="s">
        <v>119</v>
      </c>
      <c r="AD688" t="s">
        <v>113</v>
      </c>
      <c r="AE688" t="s">
        <v>306</v>
      </c>
      <c r="AG688" t="s">
        <v>121</v>
      </c>
    </row>
    <row r="689" spans="1:33" x14ac:dyDescent="0.25">
      <c r="A689" t="str">
        <f>"1336291640"</f>
        <v>1336291640</v>
      </c>
      <c r="B689" t="str">
        <f>"02995279"</f>
        <v>02995279</v>
      </c>
      <c r="C689" t="s">
        <v>4258</v>
      </c>
      <c r="D689" t="s">
        <v>4259</v>
      </c>
      <c r="E689" t="s">
        <v>4260</v>
      </c>
      <c r="F689">
        <v>166002556</v>
      </c>
      <c r="G689" t="s">
        <v>4261</v>
      </c>
      <c r="H689" t="s">
        <v>4262</v>
      </c>
      <c r="J689" t="s">
        <v>4263</v>
      </c>
      <c r="L689" t="s">
        <v>1143</v>
      </c>
      <c r="M689" t="s">
        <v>199</v>
      </c>
      <c r="R689" t="s">
        <v>4264</v>
      </c>
      <c r="W689" t="s">
        <v>4265</v>
      </c>
      <c r="X689" t="s">
        <v>4266</v>
      </c>
      <c r="Y689" t="s">
        <v>1557</v>
      </c>
      <c r="Z689" t="s">
        <v>117</v>
      </c>
      <c r="AA689" t="str">
        <f>"14757"</f>
        <v>14757</v>
      </c>
      <c r="AB689" t="s">
        <v>1146</v>
      </c>
      <c r="AC689" t="s">
        <v>119</v>
      </c>
      <c r="AD689" t="s">
        <v>113</v>
      </c>
      <c r="AE689" t="s">
        <v>120</v>
      </c>
      <c r="AG689" t="s">
        <v>121</v>
      </c>
    </row>
    <row r="690" spans="1:33" x14ac:dyDescent="0.25">
      <c r="A690" t="str">
        <f>"1336293356"</f>
        <v>1336293356</v>
      </c>
      <c r="B690" t="str">
        <f>"03772387"</f>
        <v>03772387</v>
      </c>
      <c r="C690" t="s">
        <v>4267</v>
      </c>
      <c r="D690" t="s">
        <v>4268</v>
      </c>
      <c r="E690" t="s">
        <v>4269</v>
      </c>
      <c r="G690" t="s">
        <v>4270</v>
      </c>
      <c r="H690" t="s">
        <v>471</v>
      </c>
      <c r="J690" t="s">
        <v>4271</v>
      </c>
      <c r="L690" t="s">
        <v>229</v>
      </c>
      <c r="M690" t="s">
        <v>113</v>
      </c>
      <c r="R690" t="s">
        <v>4272</v>
      </c>
      <c r="W690" t="s">
        <v>4269</v>
      </c>
      <c r="X690" t="s">
        <v>474</v>
      </c>
      <c r="Y690" t="s">
        <v>116</v>
      </c>
      <c r="Z690" t="s">
        <v>117</v>
      </c>
      <c r="AA690" t="str">
        <f>"14214-1316"</f>
        <v>14214-1316</v>
      </c>
      <c r="AB690" t="s">
        <v>621</v>
      </c>
      <c r="AC690" t="s">
        <v>119</v>
      </c>
      <c r="AD690" t="s">
        <v>113</v>
      </c>
      <c r="AE690" t="s">
        <v>120</v>
      </c>
      <c r="AG690" t="s">
        <v>121</v>
      </c>
    </row>
    <row r="691" spans="1:33" x14ac:dyDescent="0.25">
      <c r="A691" t="str">
        <f>"1336296532"</f>
        <v>1336296532</v>
      </c>
      <c r="B691" t="str">
        <f>"02866035"</f>
        <v>02866035</v>
      </c>
      <c r="C691" t="s">
        <v>4273</v>
      </c>
      <c r="D691" t="s">
        <v>4274</v>
      </c>
      <c r="E691" t="s">
        <v>4275</v>
      </c>
      <c r="G691" t="s">
        <v>4276</v>
      </c>
      <c r="H691" t="s">
        <v>4277</v>
      </c>
      <c r="J691" t="s">
        <v>4278</v>
      </c>
      <c r="L691" t="s">
        <v>112</v>
      </c>
      <c r="M691" t="s">
        <v>113</v>
      </c>
      <c r="R691" t="s">
        <v>4279</v>
      </c>
      <c r="W691" t="s">
        <v>4275</v>
      </c>
      <c r="X691" t="s">
        <v>253</v>
      </c>
      <c r="Y691" t="s">
        <v>116</v>
      </c>
      <c r="Z691" t="s">
        <v>117</v>
      </c>
      <c r="AA691" t="str">
        <f>"14215-3021"</f>
        <v>14215-3021</v>
      </c>
      <c r="AB691" t="s">
        <v>118</v>
      </c>
      <c r="AC691" t="s">
        <v>119</v>
      </c>
      <c r="AD691" t="s">
        <v>113</v>
      </c>
      <c r="AE691" t="s">
        <v>120</v>
      </c>
      <c r="AG691" t="s">
        <v>121</v>
      </c>
    </row>
    <row r="692" spans="1:33" x14ac:dyDescent="0.25">
      <c r="A692" t="str">
        <f>"1336317445"</f>
        <v>1336317445</v>
      </c>
      <c r="B692" t="str">
        <f>"02877594"</f>
        <v>02877594</v>
      </c>
      <c r="C692" t="s">
        <v>4280</v>
      </c>
      <c r="D692" t="s">
        <v>4281</v>
      </c>
      <c r="E692" t="s">
        <v>4282</v>
      </c>
      <c r="L692" t="s">
        <v>112</v>
      </c>
      <c r="M692" t="s">
        <v>199</v>
      </c>
      <c r="R692" t="s">
        <v>4283</v>
      </c>
      <c r="W692" t="s">
        <v>4284</v>
      </c>
      <c r="X692" t="s">
        <v>4285</v>
      </c>
      <c r="Y692" t="s">
        <v>958</v>
      </c>
      <c r="Z692" t="s">
        <v>117</v>
      </c>
      <c r="AA692" t="str">
        <f>"14226-4081"</f>
        <v>14226-4081</v>
      </c>
      <c r="AB692" t="s">
        <v>634</v>
      </c>
      <c r="AC692" t="s">
        <v>119</v>
      </c>
      <c r="AD692" t="s">
        <v>113</v>
      </c>
      <c r="AE692" t="s">
        <v>120</v>
      </c>
      <c r="AG692" t="s">
        <v>121</v>
      </c>
    </row>
    <row r="693" spans="1:33" x14ac:dyDescent="0.25">
      <c r="A693" t="str">
        <f>"1336337989"</f>
        <v>1336337989</v>
      </c>
      <c r="B693" t="str">
        <f>"02649609"</f>
        <v>02649609</v>
      </c>
      <c r="C693" t="s">
        <v>4286</v>
      </c>
      <c r="D693" t="s">
        <v>4287</v>
      </c>
      <c r="E693" t="s">
        <v>4288</v>
      </c>
      <c r="L693" t="s">
        <v>150</v>
      </c>
      <c r="M693" t="s">
        <v>199</v>
      </c>
      <c r="R693" t="s">
        <v>4289</v>
      </c>
      <c r="W693" t="s">
        <v>4290</v>
      </c>
      <c r="X693" t="s">
        <v>1304</v>
      </c>
      <c r="Y693" t="s">
        <v>116</v>
      </c>
      <c r="Z693" t="s">
        <v>117</v>
      </c>
      <c r="AA693" t="str">
        <f>"14220-2039"</f>
        <v>14220-2039</v>
      </c>
      <c r="AB693" t="s">
        <v>118</v>
      </c>
      <c r="AC693" t="s">
        <v>119</v>
      </c>
      <c r="AD693" t="s">
        <v>113</v>
      </c>
      <c r="AE693" t="s">
        <v>120</v>
      </c>
      <c r="AG693" t="s">
        <v>121</v>
      </c>
    </row>
    <row r="694" spans="1:33" x14ac:dyDescent="0.25">
      <c r="A694" t="str">
        <f>"1336342336"</f>
        <v>1336342336</v>
      </c>
      <c r="B694" t="str">
        <f>"02893236"</f>
        <v>02893236</v>
      </c>
      <c r="C694" t="s">
        <v>4291</v>
      </c>
      <c r="D694" t="s">
        <v>4292</v>
      </c>
      <c r="E694" t="s">
        <v>4293</v>
      </c>
      <c r="G694" t="s">
        <v>4294</v>
      </c>
      <c r="H694" t="s">
        <v>590</v>
      </c>
      <c r="J694" t="s">
        <v>4295</v>
      </c>
      <c r="L694" t="s">
        <v>1033</v>
      </c>
      <c r="M694" t="s">
        <v>113</v>
      </c>
      <c r="R694" t="s">
        <v>4296</v>
      </c>
      <c r="W694" t="s">
        <v>4296</v>
      </c>
      <c r="X694" t="s">
        <v>605</v>
      </c>
      <c r="Y694" t="s">
        <v>326</v>
      </c>
      <c r="Z694" t="s">
        <v>117</v>
      </c>
      <c r="AA694" t="str">
        <f>"14127-2600"</f>
        <v>14127-2600</v>
      </c>
      <c r="AB694" t="s">
        <v>621</v>
      </c>
      <c r="AC694" t="s">
        <v>119</v>
      </c>
      <c r="AD694" t="s">
        <v>113</v>
      </c>
      <c r="AE694" t="s">
        <v>120</v>
      </c>
      <c r="AG694" t="s">
        <v>121</v>
      </c>
    </row>
    <row r="695" spans="1:33" x14ac:dyDescent="0.25">
      <c r="A695" t="str">
        <f>"1336346782"</f>
        <v>1336346782</v>
      </c>
      <c r="B695" t="str">
        <f>"02901682"</f>
        <v>02901682</v>
      </c>
      <c r="C695" t="s">
        <v>4297</v>
      </c>
      <c r="D695" t="s">
        <v>4298</v>
      </c>
      <c r="E695" t="s">
        <v>4299</v>
      </c>
      <c r="G695" t="s">
        <v>4297</v>
      </c>
      <c r="H695" t="s">
        <v>4300</v>
      </c>
      <c r="J695" t="s">
        <v>4301</v>
      </c>
      <c r="L695" t="s">
        <v>142</v>
      </c>
      <c r="M695" t="s">
        <v>113</v>
      </c>
      <c r="R695" t="s">
        <v>4302</v>
      </c>
      <c r="W695" t="s">
        <v>4299</v>
      </c>
      <c r="X695" t="s">
        <v>216</v>
      </c>
      <c r="Y695" t="s">
        <v>116</v>
      </c>
      <c r="Z695" t="s">
        <v>117</v>
      </c>
      <c r="AA695" t="str">
        <f>"14222-2006"</f>
        <v>14222-2006</v>
      </c>
      <c r="AB695" t="s">
        <v>118</v>
      </c>
      <c r="AC695" t="s">
        <v>119</v>
      </c>
      <c r="AD695" t="s">
        <v>113</v>
      </c>
      <c r="AE695" t="s">
        <v>120</v>
      </c>
      <c r="AG695" t="s">
        <v>121</v>
      </c>
    </row>
    <row r="696" spans="1:33" x14ac:dyDescent="0.25">
      <c r="A696" t="str">
        <f>"1710994363"</f>
        <v>1710994363</v>
      </c>
      <c r="B696" t="str">
        <f>"02256393"</f>
        <v>02256393</v>
      </c>
      <c r="C696" t="s">
        <v>4303</v>
      </c>
      <c r="D696" t="s">
        <v>4304</v>
      </c>
      <c r="E696" t="s">
        <v>4305</v>
      </c>
      <c r="G696" t="s">
        <v>4303</v>
      </c>
      <c r="H696" t="s">
        <v>3311</v>
      </c>
      <c r="J696" t="s">
        <v>4306</v>
      </c>
      <c r="L696" t="s">
        <v>142</v>
      </c>
      <c r="M696" t="s">
        <v>113</v>
      </c>
      <c r="R696" t="s">
        <v>4307</v>
      </c>
      <c r="W696" t="s">
        <v>4305</v>
      </c>
      <c r="X696" t="s">
        <v>4308</v>
      </c>
      <c r="Y696" t="s">
        <v>116</v>
      </c>
      <c r="Z696" t="s">
        <v>117</v>
      </c>
      <c r="AA696" t="str">
        <f>"14214-2692"</f>
        <v>14214-2692</v>
      </c>
      <c r="AB696" t="s">
        <v>118</v>
      </c>
      <c r="AC696" t="s">
        <v>119</v>
      </c>
      <c r="AD696" t="s">
        <v>113</v>
      </c>
      <c r="AE696" t="s">
        <v>120</v>
      </c>
      <c r="AG696" t="s">
        <v>121</v>
      </c>
    </row>
    <row r="697" spans="1:33" x14ac:dyDescent="0.25">
      <c r="A697" t="str">
        <f>"1952402372"</f>
        <v>1952402372</v>
      </c>
      <c r="C697" t="s">
        <v>4309</v>
      </c>
      <c r="G697" t="s">
        <v>4310</v>
      </c>
      <c r="H697" t="s">
        <v>4311</v>
      </c>
      <c r="J697" t="s">
        <v>4312</v>
      </c>
      <c r="K697" t="s">
        <v>303</v>
      </c>
      <c r="L697" t="s">
        <v>229</v>
      </c>
      <c r="M697" t="s">
        <v>113</v>
      </c>
      <c r="R697" t="s">
        <v>4309</v>
      </c>
      <c r="S697" t="s">
        <v>4313</v>
      </c>
      <c r="T697" t="s">
        <v>116</v>
      </c>
      <c r="U697" t="s">
        <v>117</v>
      </c>
      <c r="V697" t="str">
        <f>"142091606"</f>
        <v>142091606</v>
      </c>
      <c r="AC697" t="s">
        <v>119</v>
      </c>
      <c r="AD697" t="s">
        <v>113</v>
      </c>
      <c r="AE697" t="s">
        <v>306</v>
      </c>
      <c r="AG697" t="s">
        <v>121</v>
      </c>
    </row>
    <row r="698" spans="1:33" x14ac:dyDescent="0.25">
      <c r="A698" t="str">
        <f>"1952484370"</f>
        <v>1952484370</v>
      </c>
      <c r="B698" t="str">
        <f>"02090408"</f>
        <v>02090408</v>
      </c>
      <c r="C698" t="s">
        <v>4314</v>
      </c>
      <c r="D698" t="s">
        <v>4315</v>
      </c>
      <c r="E698" t="s">
        <v>4316</v>
      </c>
      <c r="G698" t="s">
        <v>4317</v>
      </c>
      <c r="H698" t="s">
        <v>4318</v>
      </c>
      <c r="J698" t="s">
        <v>4319</v>
      </c>
      <c r="L698" t="s">
        <v>150</v>
      </c>
      <c r="M698" t="s">
        <v>199</v>
      </c>
      <c r="R698" t="s">
        <v>4320</v>
      </c>
      <c r="W698" t="s">
        <v>4316</v>
      </c>
      <c r="X698" t="s">
        <v>216</v>
      </c>
      <c r="Y698" t="s">
        <v>116</v>
      </c>
      <c r="Z698" t="s">
        <v>117</v>
      </c>
      <c r="AA698" t="str">
        <f>"14222-2006"</f>
        <v>14222-2006</v>
      </c>
      <c r="AB698" t="s">
        <v>118</v>
      </c>
      <c r="AC698" t="s">
        <v>119</v>
      </c>
      <c r="AD698" t="s">
        <v>113</v>
      </c>
      <c r="AE698" t="s">
        <v>120</v>
      </c>
      <c r="AG698" t="s">
        <v>121</v>
      </c>
    </row>
    <row r="699" spans="1:33" x14ac:dyDescent="0.25">
      <c r="A699" t="str">
        <f>"1831229780"</f>
        <v>1831229780</v>
      </c>
      <c r="B699" t="str">
        <f>"03003032"</f>
        <v>03003032</v>
      </c>
      <c r="C699" t="s">
        <v>869</v>
      </c>
      <c r="D699" t="s">
        <v>4321</v>
      </c>
      <c r="E699" t="s">
        <v>4322</v>
      </c>
      <c r="H699" t="s">
        <v>4323</v>
      </c>
      <c r="L699" t="s">
        <v>2004</v>
      </c>
      <c r="M699" t="s">
        <v>113</v>
      </c>
      <c r="R699" t="s">
        <v>869</v>
      </c>
      <c r="W699" t="s">
        <v>4322</v>
      </c>
      <c r="X699" t="s">
        <v>136</v>
      </c>
      <c r="Y699" t="s">
        <v>116</v>
      </c>
      <c r="Z699" t="s">
        <v>117</v>
      </c>
      <c r="AA699" t="str">
        <f>"14209-1120"</f>
        <v>14209-1120</v>
      </c>
      <c r="AB699" t="s">
        <v>979</v>
      </c>
      <c r="AC699" t="s">
        <v>119</v>
      </c>
      <c r="AD699" t="s">
        <v>113</v>
      </c>
      <c r="AE699" t="s">
        <v>120</v>
      </c>
      <c r="AG699" t="s">
        <v>121</v>
      </c>
    </row>
    <row r="700" spans="1:33" x14ac:dyDescent="0.25">
      <c r="A700" t="str">
        <f>"1831235621"</f>
        <v>1831235621</v>
      </c>
      <c r="B700" t="str">
        <f>"03857210"</f>
        <v>03857210</v>
      </c>
      <c r="C700" t="s">
        <v>4324</v>
      </c>
      <c r="D700" t="s">
        <v>4325</v>
      </c>
      <c r="E700" t="s">
        <v>4326</v>
      </c>
      <c r="G700" t="s">
        <v>4327</v>
      </c>
      <c r="H700" t="s">
        <v>4132</v>
      </c>
      <c r="J700" t="s">
        <v>4328</v>
      </c>
      <c r="L700" t="s">
        <v>112</v>
      </c>
      <c r="M700" t="s">
        <v>113</v>
      </c>
      <c r="R700" t="s">
        <v>4329</v>
      </c>
      <c r="W700" t="s">
        <v>4326</v>
      </c>
      <c r="X700" t="s">
        <v>216</v>
      </c>
      <c r="Y700" t="s">
        <v>116</v>
      </c>
      <c r="Z700" t="s">
        <v>117</v>
      </c>
      <c r="AA700" t="str">
        <f>"14222-2006"</f>
        <v>14222-2006</v>
      </c>
      <c r="AB700" t="s">
        <v>118</v>
      </c>
      <c r="AC700" t="s">
        <v>119</v>
      </c>
      <c r="AD700" t="s">
        <v>113</v>
      </c>
      <c r="AE700" t="s">
        <v>120</v>
      </c>
      <c r="AG700" t="s">
        <v>121</v>
      </c>
    </row>
    <row r="701" spans="1:33" x14ac:dyDescent="0.25">
      <c r="A701" t="str">
        <f>"1831242973"</f>
        <v>1831242973</v>
      </c>
      <c r="B701" t="str">
        <f>"02857394"</f>
        <v>02857394</v>
      </c>
      <c r="C701" t="s">
        <v>4330</v>
      </c>
      <c r="D701" t="s">
        <v>4331</v>
      </c>
      <c r="E701" t="s">
        <v>4332</v>
      </c>
      <c r="G701" t="s">
        <v>4330</v>
      </c>
      <c r="H701" t="s">
        <v>707</v>
      </c>
      <c r="J701" t="s">
        <v>4333</v>
      </c>
      <c r="L701" t="s">
        <v>112</v>
      </c>
      <c r="M701" t="s">
        <v>113</v>
      </c>
      <c r="R701" t="s">
        <v>4334</v>
      </c>
      <c r="W701" t="s">
        <v>4332</v>
      </c>
      <c r="X701" t="s">
        <v>4335</v>
      </c>
      <c r="Y701" t="s">
        <v>240</v>
      </c>
      <c r="Z701" t="s">
        <v>117</v>
      </c>
      <c r="AA701" t="str">
        <f>"14221-2320"</f>
        <v>14221-2320</v>
      </c>
      <c r="AB701" t="s">
        <v>118</v>
      </c>
      <c r="AC701" t="s">
        <v>119</v>
      </c>
      <c r="AD701" t="s">
        <v>113</v>
      </c>
      <c r="AE701" t="s">
        <v>120</v>
      </c>
      <c r="AG701" t="s">
        <v>121</v>
      </c>
    </row>
    <row r="702" spans="1:33" x14ac:dyDescent="0.25">
      <c r="A702" t="str">
        <f>"1831256494"</f>
        <v>1831256494</v>
      </c>
      <c r="B702" t="str">
        <f>"02362545"</f>
        <v>02362545</v>
      </c>
      <c r="C702" t="s">
        <v>4336</v>
      </c>
      <c r="D702" t="s">
        <v>4337</v>
      </c>
      <c r="E702" t="s">
        <v>4338</v>
      </c>
      <c r="L702" t="s">
        <v>112</v>
      </c>
      <c r="M702" t="s">
        <v>113</v>
      </c>
      <c r="R702" t="s">
        <v>4339</v>
      </c>
      <c r="W702" t="s">
        <v>4339</v>
      </c>
      <c r="X702" t="s">
        <v>253</v>
      </c>
      <c r="Y702" t="s">
        <v>116</v>
      </c>
      <c r="Z702" t="s">
        <v>117</v>
      </c>
      <c r="AA702" t="str">
        <f>"14215-3021"</f>
        <v>14215-3021</v>
      </c>
      <c r="AB702" t="s">
        <v>118</v>
      </c>
      <c r="AC702" t="s">
        <v>119</v>
      </c>
      <c r="AD702" t="s">
        <v>113</v>
      </c>
      <c r="AE702" t="s">
        <v>120</v>
      </c>
      <c r="AG702" t="s">
        <v>121</v>
      </c>
    </row>
    <row r="703" spans="1:33" x14ac:dyDescent="0.25">
      <c r="A703" t="str">
        <f>"1831315779"</f>
        <v>1831315779</v>
      </c>
      <c r="B703" t="str">
        <f>"02984054"</f>
        <v>02984054</v>
      </c>
      <c r="C703" t="s">
        <v>4340</v>
      </c>
      <c r="D703" t="s">
        <v>4341</v>
      </c>
      <c r="E703" t="s">
        <v>4342</v>
      </c>
      <c r="G703" t="s">
        <v>4340</v>
      </c>
      <c r="H703" t="s">
        <v>4343</v>
      </c>
      <c r="J703" t="s">
        <v>4344</v>
      </c>
      <c r="L703" t="s">
        <v>142</v>
      </c>
      <c r="M703" t="s">
        <v>113</v>
      </c>
      <c r="R703" t="s">
        <v>4345</v>
      </c>
      <c r="W703" t="s">
        <v>4346</v>
      </c>
      <c r="X703" t="s">
        <v>176</v>
      </c>
      <c r="Y703" t="s">
        <v>116</v>
      </c>
      <c r="Z703" t="s">
        <v>117</v>
      </c>
      <c r="AA703" t="str">
        <f>"14203-1126"</f>
        <v>14203-1126</v>
      </c>
      <c r="AB703" t="s">
        <v>118</v>
      </c>
      <c r="AC703" t="s">
        <v>119</v>
      </c>
      <c r="AD703" t="s">
        <v>113</v>
      </c>
      <c r="AE703" t="s">
        <v>120</v>
      </c>
      <c r="AG703" t="s">
        <v>121</v>
      </c>
    </row>
    <row r="704" spans="1:33" x14ac:dyDescent="0.25">
      <c r="A704" t="str">
        <f>"1902860067"</f>
        <v>1902860067</v>
      </c>
      <c r="B704" t="str">
        <f>"02103473"</f>
        <v>02103473</v>
      </c>
      <c r="C704" t="s">
        <v>4347</v>
      </c>
      <c r="D704" t="s">
        <v>4348</v>
      </c>
      <c r="E704" t="s">
        <v>4349</v>
      </c>
      <c r="G704" t="s">
        <v>4347</v>
      </c>
      <c r="H704" t="s">
        <v>4350</v>
      </c>
      <c r="J704" t="s">
        <v>4351</v>
      </c>
      <c r="L704" t="s">
        <v>1033</v>
      </c>
      <c r="M704" t="s">
        <v>113</v>
      </c>
      <c r="R704" t="s">
        <v>4352</v>
      </c>
      <c r="W704" t="s">
        <v>4353</v>
      </c>
      <c r="X704" t="s">
        <v>176</v>
      </c>
      <c r="Y704" t="s">
        <v>116</v>
      </c>
      <c r="Z704" t="s">
        <v>117</v>
      </c>
      <c r="AA704" t="str">
        <f>"14203-1126"</f>
        <v>14203-1126</v>
      </c>
      <c r="AB704" t="s">
        <v>118</v>
      </c>
      <c r="AC704" t="s">
        <v>119</v>
      </c>
      <c r="AD704" t="s">
        <v>113</v>
      </c>
      <c r="AE704" t="s">
        <v>120</v>
      </c>
      <c r="AG704" t="s">
        <v>121</v>
      </c>
    </row>
    <row r="705" spans="1:33" x14ac:dyDescent="0.25">
      <c r="A705" t="str">
        <f>"1902860729"</f>
        <v>1902860729</v>
      </c>
      <c r="B705" t="str">
        <f>"01353355"</f>
        <v>01353355</v>
      </c>
      <c r="C705" t="s">
        <v>4354</v>
      </c>
      <c r="D705" t="s">
        <v>4355</v>
      </c>
      <c r="E705" t="s">
        <v>4356</v>
      </c>
      <c r="G705" t="s">
        <v>4354</v>
      </c>
      <c r="H705" t="s">
        <v>4357</v>
      </c>
      <c r="J705" t="s">
        <v>4358</v>
      </c>
      <c r="L705" t="s">
        <v>112</v>
      </c>
      <c r="M705" t="s">
        <v>113</v>
      </c>
      <c r="R705" t="s">
        <v>4359</v>
      </c>
      <c r="W705" t="s">
        <v>4356</v>
      </c>
      <c r="X705" t="s">
        <v>2761</v>
      </c>
      <c r="Y705" t="s">
        <v>2762</v>
      </c>
      <c r="Z705" t="s">
        <v>117</v>
      </c>
      <c r="AA705" t="str">
        <f>"14642-0001"</f>
        <v>14642-0001</v>
      </c>
      <c r="AB705" t="s">
        <v>118</v>
      </c>
      <c r="AC705" t="s">
        <v>119</v>
      </c>
      <c r="AD705" t="s">
        <v>113</v>
      </c>
      <c r="AE705" t="s">
        <v>120</v>
      </c>
      <c r="AG705" t="s">
        <v>121</v>
      </c>
    </row>
    <row r="706" spans="1:33" x14ac:dyDescent="0.25">
      <c r="A706" t="str">
        <f>"1902862782"</f>
        <v>1902862782</v>
      </c>
      <c r="B706" t="str">
        <f>"00784758"</f>
        <v>00784758</v>
      </c>
      <c r="C706" t="s">
        <v>4360</v>
      </c>
      <c r="D706" t="s">
        <v>4361</v>
      </c>
      <c r="E706" t="s">
        <v>4362</v>
      </c>
      <c r="G706" t="s">
        <v>4360</v>
      </c>
      <c r="H706" t="s">
        <v>4099</v>
      </c>
      <c r="J706" t="s">
        <v>4363</v>
      </c>
      <c r="L706" t="s">
        <v>142</v>
      </c>
      <c r="M706" t="s">
        <v>113</v>
      </c>
      <c r="R706" t="s">
        <v>4364</v>
      </c>
      <c r="W706" t="s">
        <v>4362</v>
      </c>
      <c r="X706" t="s">
        <v>784</v>
      </c>
      <c r="Y706" t="s">
        <v>116</v>
      </c>
      <c r="Z706" t="s">
        <v>117</v>
      </c>
      <c r="AA706" t="str">
        <f>"14209-1194"</f>
        <v>14209-1194</v>
      </c>
      <c r="AB706" t="s">
        <v>118</v>
      </c>
      <c r="AC706" t="s">
        <v>119</v>
      </c>
      <c r="AD706" t="s">
        <v>113</v>
      </c>
      <c r="AE706" t="s">
        <v>120</v>
      </c>
      <c r="AG706" t="s">
        <v>121</v>
      </c>
    </row>
    <row r="707" spans="1:33" x14ac:dyDescent="0.25">
      <c r="A707" t="str">
        <f>"1902864473"</f>
        <v>1902864473</v>
      </c>
      <c r="B707" t="str">
        <f>"01357166"</f>
        <v>01357166</v>
      </c>
      <c r="C707" t="s">
        <v>4365</v>
      </c>
      <c r="D707" t="s">
        <v>4366</v>
      </c>
      <c r="E707" t="s">
        <v>4367</v>
      </c>
      <c r="L707" t="s">
        <v>142</v>
      </c>
      <c r="M707" t="s">
        <v>113</v>
      </c>
      <c r="R707" t="s">
        <v>4368</v>
      </c>
      <c r="W707" t="s">
        <v>4367</v>
      </c>
      <c r="X707" t="s">
        <v>4369</v>
      </c>
      <c r="Y707" t="s">
        <v>116</v>
      </c>
      <c r="Z707" t="s">
        <v>117</v>
      </c>
      <c r="AA707" t="str">
        <f>"14203-1126"</f>
        <v>14203-1126</v>
      </c>
      <c r="AB707" t="s">
        <v>118</v>
      </c>
      <c r="AC707" t="s">
        <v>119</v>
      </c>
      <c r="AD707" t="s">
        <v>113</v>
      </c>
      <c r="AE707" t="s">
        <v>120</v>
      </c>
      <c r="AG707" t="s">
        <v>121</v>
      </c>
    </row>
    <row r="708" spans="1:33" x14ac:dyDescent="0.25">
      <c r="A708" t="str">
        <f>"1902871791"</f>
        <v>1902871791</v>
      </c>
      <c r="B708" t="str">
        <f>"01842768"</f>
        <v>01842768</v>
      </c>
      <c r="C708" t="s">
        <v>4370</v>
      </c>
      <c r="D708" t="s">
        <v>4371</v>
      </c>
      <c r="E708" t="s">
        <v>4372</v>
      </c>
      <c r="G708" t="s">
        <v>4370</v>
      </c>
      <c r="H708" t="s">
        <v>744</v>
      </c>
      <c r="J708" t="s">
        <v>4373</v>
      </c>
      <c r="L708" t="s">
        <v>150</v>
      </c>
      <c r="M708" t="s">
        <v>199</v>
      </c>
      <c r="R708" t="s">
        <v>4374</v>
      </c>
      <c r="W708" t="s">
        <v>4372</v>
      </c>
      <c r="X708" t="s">
        <v>4375</v>
      </c>
      <c r="Y708" t="s">
        <v>116</v>
      </c>
      <c r="Z708" t="s">
        <v>117</v>
      </c>
      <c r="AA708" t="str">
        <f>"14228-2041"</f>
        <v>14228-2041</v>
      </c>
      <c r="AB708" t="s">
        <v>118</v>
      </c>
      <c r="AC708" t="s">
        <v>119</v>
      </c>
      <c r="AD708" t="s">
        <v>113</v>
      </c>
      <c r="AE708" t="s">
        <v>120</v>
      </c>
      <c r="AG708" t="s">
        <v>121</v>
      </c>
    </row>
    <row r="709" spans="1:33" x14ac:dyDescent="0.25">
      <c r="A709" t="str">
        <f>"1902873474"</f>
        <v>1902873474</v>
      </c>
      <c r="B709" t="str">
        <f>"01492520"</f>
        <v>01492520</v>
      </c>
      <c r="C709" t="s">
        <v>4376</v>
      </c>
      <c r="D709" t="s">
        <v>4377</v>
      </c>
      <c r="E709" t="s">
        <v>4378</v>
      </c>
      <c r="G709" t="s">
        <v>4376</v>
      </c>
      <c r="H709" t="s">
        <v>205</v>
      </c>
      <c r="J709" t="s">
        <v>4379</v>
      </c>
      <c r="L709" t="s">
        <v>142</v>
      </c>
      <c r="M709" t="s">
        <v>113</v>
      </c>
      <c r="R709" t="s">
        <v>4380</v>
      </c>
      <c r="W709" t="s">
        <v>4378</v>
      </c>
      <c r="X709" t="s">
        <v>4381</v>
      </c>
      <c r="Y709" t="s">
        <v>240</v>
      </c>
      <c r="Z709" t="s">
        <v>117</v>
      </c>
      <c r="AA709" t="str">
        <f>"14221-3058"</f>
        <v>14221-3058</v>
      </c>
      <c r="AB709" t="s">
        <v>118</v>
      </c>
      <c r="AC709" t="s">
        <v>119</v>
      </c>
      <c r="AD709" t="s">
        <v>113</v>
      </c>
      <c r="AE709" t="s">
        <v>120</v>
      </c>
      <c r="AG709" t="s">
        <v>121</v>
      </c>
    </row>
    <row r="710" spans="1:33" x14ac:dyDescent="0.25">
      <c r="A710" t="str">
        <f>"1902873839"</f>
        <v>1902873839</v>
      </c>
      <c r="B710" t="str">
        <f>"01048255"</f>
        <v>01048255</v>
      </c>
      <c r="C710" t="s">
        <v>4382</v>
      </c>
      <c r="D710" t="s">
        <v>4383</v>
      </c>
      <c r="E710" t="s">
        <v>4384</v>
      </c>
      <c r="G710" t="s">
        <v>4382</v>
      </c>
      <c r="H710" t="s">
        <v>213</v>
      </c>
      <c r="J710" t="s">
        <v>4385</v>
      </c>
      <c r="L710" t="s">
        <v>112</v>
      </c>
      <c r="M710" t="s">
        <v>113</v>
      </c>
      <c r="R710" t="s">
        <v>4386</v>
      </c>
      <c r="W710" t="s">
        <v>4384</v>
      </c>
      <c r="X710" t="s">
        <v>216</v>
      </c>
      <c r="Y710" t="s">
        <v>116</v>
      </c>
      <c r="Z710" t="s">
        <v>117</v>
      </c>
      <c r="AA710" t="str">
        <f>"14222-2006"</f>
        <v>14222-2006</v>
      </c>
      <c r="AB710" t="s">
        <v>118</v>
      </c>
      <c r="AC710" t="s">
        <v>119</v>
      </c>
      <c r="AD710" t="s">
        <v>113</v>
      </c>
      <c r="AE710" t="s">
        <v>120</v>
      </c>
      <c r="AG710" t="s">
        <v>121</v>
      </c>
    </row>
    <row r="711" spans="1:33" x14ac:dyDescent="0.25">
      <c r="A711" t="str">
        <f>"1902881923"</f>
        <v>1902881923</v>
      </c>
      <c r="B711" t="str">
        <f>"02073903"</f>
        <v>02073903</v>
      </c>
      <c r="C711" t="s">
        <v>4387</v>
      </c>
      <c r="D711" t="s">
        <v>4388</v>
      </c>
      <c r="E711" t="s">
        <v>4389</v>
      </c>
      <c r="G711" t="s">
        <v>4387</v>
      </c>
      <c r="H711" t="s">
        <v>707</v>
      </c>
      <c r="J711" t="s">
        <v>4390</v>
      </c>
      <c r="L711" t="s">
        <v>142</v>
      </c>
      <c r="M711" t="s">
        <v>113</v>
      </c>
      <c r="R711" t="s">
        <v>4391</v>
      </c>
      <c r="W711" t="s">
        <v>4392</v>
      </c>
      <c r="X711" t="s">
        <v>709</v>
      </c>
      <c r="Y711" t="s">
        <v>116</v>
      </c>
      <c r="Z711" t="s">
        <v>117</v>
      </c>
      <c r="AA711" t="str">
        <f>"14263-0001"</f>
        <v>14263-0001</v>
      </c>
      <c r="AB711" t="s">
        <v>118</v>
      </c>
      <c r="AC711" t="s">
        <v>119</v>
      </c>
      <c r="AD711" t="s">
        <v>113</v>
      </c>
      <c r="AE711" t="s">
        <v>120</v>
      </c>
      <c r="AG711" t="s">
        <v>121</v>
      </c>
    </row>
    <row r="712" spans="1:33" x14ac:dyDescent="0.25">
      <c r="A712" t="str">
        <f>"1902882053"</f>
        <v>1902882053</v>
      </c>
      <c r="C712" t="s">
        <v>4393</v>
      </c>
      <c r="G712" t="s">
        <v>4393</v>
      </c>
      <c r="H712" t="s">
        <v>707</v>
      </c>
      <c r="J712" t="s">
        <v>4394</v>
      </c>
      <c r="K712" t="s">
        <v>303</v>
      </c>
      <c r="L712" t="s">
        <v>112</v>
      </c>
      <c r="M712" t="s">
        <v>113</v>
      </c>
      <c r="R712" t="s">
        <v>4395</v>
      </c>
      <c r="S712" t="s">
        <v>709</v>
      </c>
      <c r="T712" t="s">
        <v>116</v>
      </c>
      <c r="U712" t="s">
        <v>117</v>
      </c>
      <c r="V712" t="str">
        <f>"142630001"</f>
        <v>142630001</v>
      </c>
      <c r="AC712" t="s">
        <v>119</v>
      </c>
      <c r="AD712" t="s">
        <v>113</v>
      </c>
      <c r="AE712" t="s">
        <v>306</v>
      </c>
      <c r="AG712" t="s">
        <v>121</v>
      </c>
    </row>
    <row r="713" spans="1:33" x14ac:dyDescent="0.25">
      <c r="A713" t="str">
        <f>"1902885601"</f>
        <v>1902885601</v>
      </c>
      <c r="B713" t="str">
        <f>"02588374"</f>
        <v>02588374</v>
      </c>
      <c r="C713" t="s">
        <v>4396</v>
      </c>
      <c r="D713" t="s">
        <v>4397</v>
      </c>
      <c r="E713" t="s">
        <v>4398</v>
      </c>
      <c r="G713" t="s">
        <v>4396</v>
      </c>
      <c r="H713" t="s">
        <v>205</v>
      </c>
      <c r="J713" t="s">
        <v>4399</v>
      </c>
      <c r="L713" t="s">
        <v>142</v>
      </c>
      <c r="M713" t="s">
        <v>113</v>
      </c>
      <c r="R713" t="s">
        <v>4400</v>
      </c>
      <c r="W713" t="s">
        <v>4398</v>
      </c>
      <c r="X713" t="s">
        <v>4401</v>
      </c>
      <c r="Y713" t="s">
        <v>116</v>
      </c>
      <c r="Z713" t="s">
        <v>117</v>
      </c>
      <c r="AA713" t="str">
        <f>"14203-1194"</f>
        <v>14203-1194</v>
      </c>
      <c r="AB713" t="s">
        <v>118</v>
      </c>
      <c r="AC713" t="s">
        <v>119</v>
      </c>
      <c r="AD713" t="s">
        <v>113</v>
      </c>
      <c r="AE713" t="s">
        <v>120</v>
      </c>
      <c r="AG713" t="s">
        <v>121</v>
      </c>
    </row>
    <row r="714" spans="1:33" x14ac:dyDescent="0.25">
      <c r="A714" t="str">
        <f>"1902886120"</f>
        <v>1902886120</v>
      </c>
      <c r="B714" t="str">
        <f>"03759735"</f>
        <v>03759735</v>
      </c>
      <c r="C714" t="s">
        <v>4402</v>
      </c>
      <c r="D714" t="s">
        <v>4403</v>
      </c>
      <c r="E714" t="s">
        <v>4404</v>
      </c>
      <c r="G714" t="s">
        <v>4402</v>
      </c>
      <c r="H714" t="s">
        <v>4405</v>
      </c>
      <c r="J714" t="s">
        <v>4406</v>
      </c>
      <c r="L714" t="s">
        <v>142</v>
      </c>
      <c r="M714" t="s">
        <v>113</v>
      </c>
      <c r="R714" t="s">
        <v>4407</v>
      </c>
      <c r="W714" t="s">
        <v>4404</v>
      </c>
      <c r="X714" t="s">
        <v>4408</v>
      </c>
      <c r="Y714" t="s">
        <v>145</v>
      </c>
      <c r="Z714" t="s">
        <v>117</v>
      </c>
      <c r="AA714" t="str">
        <f>"14051-2606"</f>
        <v>14051-2606</v>
      </c>
      <c r="AB714" t="s">
        <v>118</v>
      </c>
      <c r="AC714" t="s">
        <v>119</v>
      </c>
      <c r="AD714" t="s">
        <v>113</v>
      </c>
      <c r="AE714" t="s">
        <v>120</v>
      </c>
      <c r="AG714" t="s">
        <v>121</v>
      </c>
    </row>
    <row r="715" spans="1:33" x14ac:dyDescent="0.25">
      <c r="A715" t="str">
        <f>"1902887102"</f>
        <v>1902887102</v>
      </c>
      <c r="B715" t="str">
        <f>"01272288"</f>
        <v>01272288</v>
      </c>
      <c r="C715" t="s">
        <v>4409</v>
      </c>
      <c r="D715" t="s">
        <v>4410</v>
      </c>
      <c r="E715" t="s">
        <v>4411</v>
      </c>
      <c r="G715" t="s">
        <v>4409</v>
      </c>
      <c r="H715" t="s">
        <v>4412</v>
      </c>
      <c r="J715" t="s">
        <v>4413</v>
      </c>
      <c r="L715" t="s">
        <v>112</v>
      </c>
      <c r="M715" t="s">
        <v>113</v>
      </c>
      <c r="R715" t="s">
        <v>4414</v>
      </c>
      <c r="W715" t="s">
        <v>4411</v>
      </c>
      <c r="X715" t="s">
        <v>4415</v>
      </c>
      <c r="Y715" t="s">
        <v>116</v>
      </c>
      <c r="Z715" t="s">
        <v>117</v>
      </c>
      <c r="AA715" t="str">
        <f>"14203"</f>
        <v>14203</v>
      </c>
      <c r="AB715" t="s">
        <v>118</v>
      </c>
      <c r="AC715" t="s">
        <v>119</v>
      </c>
      <c r="AD715" t="s">
        <v>113</v>
      </c>
      <c r="AE715" t="s">
        <v>120</v>
      </c>
      <c r="AG715" t="s">
        <v>121</v>
      </c>
    </row>
    <row r="716" spans="1:33" x14ac:dyDescent="0.25">
      <c r="A716" t="str">
        <f>"1902887128"</f>
        <v>1902887128</v>
      </c>
      <c r="B716" t="str">
        <f>"01112156"</f>
        <v>01112156</v>
      </c>
      <c r="C716" t="s">
        <v>4416</v>
      </c>
      <c r="D716" t="s">
        <v>4417</v>
      </c>
      <c r="E716" t="s">
        <v>4418</v>
      </c>
      <c r="G716" t="s">
        <v>4416</v>
      </c>
      <c r="H716" t="s">
        <v>4419</v>
      </c>
      <c r="J716" t="s">
        <v>4420</v>
      </c>
      <c r="L716" t="s">
        <v>142</v>
      </c>
      <c r="M716" t="s">
        <v>113</v>
      </c>
      <c r="R716" t="s">
        <v>4421</v>
      </c>
      <c r="W716" t="s">
        <v>4422</v>
      </c>
      <c r="X716" t="s">
        <v>4423</v>
      </c>
      <c r="Y716" t="s">
        <v>268</v>
      </c>
      <c r="Z716" t="s">
        <v>117</v>
      </c>
      <c r="AA716" t="str">
        <f>"14150-9405"</f>
        <v>14150-9405</v>
      </c>
      <c r="AB716" t="s">
        <v>118</v>
      </c>
      <c r="AC716" t="s">
        <v>119</v>
      </c>
      <c r="AD716" t="s">
        <v>113</v>
      </c>
      <c r="AE716" t="s">
        <v>120</v>
      </c>
      <c r="AG716" t="s">
        <v>121</v>
      </c>
    </row>
    <row r="717" spans="1:33" x14ac:dyDescent="0.25">
      <c r="A717" t="str">
        <f>"1477532752"</f>
        <v>1477532752</v>
      </c>
      <c r="B717" t="str">
        <f>"00767437"</f>
        <v>00767437</v>
      </c>
      <c r="C717" t="s">
        <v>4424</v>
      </c>
      <c r="D717" t="s">
        <v>4425</v>
      </c>
      <c r="E717" t="s">
        <v>4426</v>
      </c>
      <c r="G717" t="s">
        <v>4424</v>
      </c>
      <c r="H717" t="s">
        <v>4427</v>
      </c>
      <c r="J717" t="s">
        <v>4428</v>
      </c>
      <c r="L717" t="s">
        <v>150</v>
      </c>
      <c r="M717" t="s">
        <v>113</v>
      </c>
      <c r="R717" t="s">
        <v>4429</v>
      </c>
      <c r="W717" t="s">
        <v>4430</v>
      </c>
      <c r="X717" t="s">
        <v>4431</v>
      </c>
      <c r="Y717" t="s">
        <v>116</v>
      </c>
      <c r="Z717" t="s">
        <v>117</v>
      </c>
      <c r="AA717" t="str">
        <f>"14221-6837"</f>
        <v>14221-6837</v>
      </c>
      <c r="AB717" t="s">
        <v>118</v>
      </c>
      <c r="AC717" t="s">
        <v>119</v>
      </c>
      <c r="AD717" t="s">
        <v>113</v>
      </c>
      <c r="AE717" t="s">
        <v>120</v>
      </c>
      <c r="AG717" t="s">
        <v>121</v>
      </c>
    </row>
    <row r="718" spans="1:33" x14ac:dyDescent="0.25">
      <c r="A718" t="str">
        <f>"1477534352"</f>
        <v>1477534352</v>
      </c>
      <c r="B718" t="str">
        <f>"02600948"</f>
        <v>02600948</v>
      </c>
      <c r="C718" t="s">
        <v>4432</v>
      </c>
      <c r="D718" t="s">
        <v>4433</v>
      </c>
      <c r="E718" t="s">
        <v>4434</v>
      </c>
      <c r="G718" t="s">
        <v>4432</v>
      </c>
      <c r="H718" t="s">
        <v>579</v>
      </c>
      <c r="J718" t="s">
        <v>4435</v>
      </c>
      <c r="L718" t="s">
        <v>142</v>
      </c>
      <c r="M718" t="s">
        <v>113</v>
      </c>
      <c r="R718" t="s">
        <v>4436</v>
      </c>
      <c r="W718" t="s">
        <v>4434</v>
      </c>
      <c r="X718" t="s">
        <v>4434</v>
      </c>
      <c r="Y718" t="s">
        <v>153</v>
      </c>
      <c r="Z718" t="s">
        <v>117</v>
      </c>
      <c r="AA718" t="str">
        <f>"14301-1813"</f>
        <v>14301-1813</v>
      </c>
      <c r="AB718" t="s">
        <v>118</v>
      </c>
      <c r="AC718" t="s">
        <v>119</v>
      </c>
      <c r="AD718" t="s">
        <v>113</v>
      </c>
      <c r="AE718" t="s">
        <v>120</v>
      </c>
      <c r="AG718" t="s">
        <v>121</v>
      </c>
    </row>
    <row r="719" spans="1:33" x14ac:dyDescent="0.25">
      <c r="A719" t="str">
        <f>"1477540581"</f>
        <v>1477540581</v>
      </c>
      <c r="B719" t="str">
        <f>"03725495"</f>
        <v>03725495</v>
      </c>
      <c r="C719" t="s">
        <v>4437</v>
      </c>
      <c r="D719" t="s">
        <v>4438</v>
      </c>
      <c r="E719" t="s">
        <v>4439</v>
      </c>
      <c r="G719" t="s">
        <v>4440</v>
      </c>
      <c r="H719" t="s">
        <v>4441</v>
      </c>
      <c r="J719" t="s">
        <v>4442</v>
      </c>
      <c r="L719" t="s">
        <v>1033</v>
      </c>
      <c r="M719" t="s">
        <v>113</v>
      </c>
      <c r="R719" t="s">
        <v>4443</v>
      </c>
      <c r="W719" t="s">
        <v>4439</v>
      </c>
      <c r="X719" t="s">
        <v>1703</v>
      </c>
      <c r="Y719" t="s">
        <v>116</v>
      </c>
      <c r="Z719" t="s">
        <v>117</v>
      </c>
      <c r="AA719" t="str">
        <f>"14209-2013"</f>
        <v>14209-2013</v>
      </c>
      <c r="AB719" t="s">
        <v>621</v>
      </c>
      <c r="AC719" t="s">
        <v>119</v>
      </c>
      <c r="AD719" t="s">
        <v>113</v>
      </c>
      <c r="AE719" t="s">
        <v>120</v>
      </c>
      <c r="AG719" t="s">
        <v>121</v>
      </c>
    </row>
    <row r="720" spans="1:33" x14ac:dyDescent="0.25">
      <c r="A720" t="str">
        <f>"1477546034"</f>
        <v>1477546034</v>
      </c>
      <c r="B720" t="str">
        <f>"01292539"</f>
        <v>01292539</v>
      </c>
      <c r="C720" t="s">
        <v>4444</v>
      </c>
      <c r="D720" t="s">
        <v>4445</v>
      </c>
      <c r="E720" t="s">
        <v>4446</v>
      </c>
      <c r="G720" t="s">
        <v>4444</v>
      </c>
      <c r="H720" t="s">
        <v>3305</v>
      </c>
      <c r="J720" t="s">
        <v>4447</v>
      </c>
      <c r="L720" t="s">
        <v>142</v>
      </c>
      <c r="M720" t="s">
        <v>113</v>
      </c>
      <c r="R720" t="s">
        <v>4448</v>
      </c>
      <c r="W720" t="s">
        <v>4446</v>
      </c>
      <c r="X720" t="s">
        <v>4449</v>
      </c>
      <c r="Y720" t="s">
        <v>958</v>
      </c>
      <c r="Z720" t="s">
        <v>117</v>
      </c>
      <c r="AA720" t="str">
        <f>"14226-1738"</f>
        <v>14226-1738</v>
      </c>
      <c r="AB720" t="s">
        <v>118</v>
      </c>
      <c r="AC720" t="s">
        <v>119</v>
      </c>
      <c r="AD720" t="s">
        <v>113</v>
      </c>
      <c r="AE720" t="s">
        <v>120</v>
      </c>
      <c r="AG720" t="s">
        <v>121</v>
      </c>
    </row>
    <row r="721" spans="1:33" x14ac:dyDescent="0.25">
      <c r="A721" t="str">
        <f>"1477551331"</f>
        <v>1477551331</v>
      </c>
      <c r="B721" t="str">
        <f>"00830768"</f>
        <v>00830768</v>
      </c>
      <c r="C721" t="s">
        <v>4450</v>
      </c>
      <c r="D721" t="s">
        <v>4451</v>
      </c>
      <c r="E721" t="s">
        <v>4452</v>
      </c>
      <c r="G721" t="s">
        <v>330</v>
      </c>
      <c r="H721" t="s">
        <v>4453</v>
      </c>
      <c r="J721" t="s">
        <v>332</v>
      </c>
      <c r="L721" t="s">
        <v>112</v>
      </c>
      <c r="M721" t="s">
        <v>113</v>
      </c>
      <c r="R721" t="s">
        <v>4454</v>
      </c>
      <c r="W721" t="s">
        <v>4452</v>
      </c>
      <c r="X721" t="s">
        <v>4455</v>
      </c>
      <c r="Y721" t="s">
        <v>145</v>
      </c>
      <c r="Z721" t="s">
        <v>117</v>
      </c>
      <c r="AA721" t="str">
        <f>"14051-2116"</f>
        <v>14051-2116</v>
      </c>
      <c r="AB721" t="s">
        <v>118</v>
      </c>
      <c r="AC721" t="s">
        <v>119</v>
      </c>
      <c r="AD721" t="s">
        <v>113</v>
      </c>
      <c r="AE721" t="s">
        <v>120</v>
      </c>
      <c r="AG721" t="s">
        <v>121</v>
      </c>
    </row>
    <row r="722" spans="1:33" x14ac:dyDescent="0.25">
      <c r="A722" t="str">
        <f>"1972797280"</f>
        <v>1972797280</v>
      </c>
      <c r="B722" t="str">
        <f>"03728585"</f>
        <v>03728585</v>
      </c>
      <c r="C722" t="s">
        <v>4456</v>
      </c>
      <c r="D722" t="s">
        <v>4457</v>
      </c>
      <c r="E722" t="s">
        <v>4458</v>
      </c>
      <c r="G722" t="s">
        <v>4456</v>
      </c>
      <c r="J722" t="s">
        <v>438</v>
      </c>
      <c r="L722" t="s">
        <v>229</v>
      </c>
      <c r="M722" t="s">
        <v>113</v>
      </c>
      <c r="R722" t="s">
        <v>4459</v>
      </c>
      <c r="W722" t="s">
        <v>4458</v>
      </c>
      <c r="X722" t="s">
        <v>1218</v>
      </c>
      <c r="Y722" t="s">
        <v>318</v>
      </c>
      <c r="Z722" t="s">
        <v>117</v>
      </c>
      <c r="AA722" t="str">
        <f>"14225-4985"</f>
        <v>14225-4985</v>
      </c>
      <c r="AB722" t="s">
        <v>621</v>
      </c>
      <c r="AC722" t="s">
        <v>119</v>
      </c>
      <c r="AD722" t="s">
        <v>113</v>
      </c>
      <c r="AE722" t="s">
        <v>120</v>
      </c>
      <c r="AG722" t="s">
        <v>121</v>
      </c>
    </row>
    <row r="723" spans="1:33" x14ac:dyDescent="0.25">
      <c r="A723" t="str">
        <f>"1972826816"</f>
        <v>1972826816</v>
      </c>
      <c r="B723" t="str">
        <f>"03322718"</f>
        <v>03322718</v>
      </c>
      <c r="C723" t="s">
        <v>4460</v>
      </c>
      <c r="D723" t="s">
        <v>4461</v>
      </c>
      <c r="E723" t="s">
        <v>4462</v>
      </c>
      <c r="G723" t="s">
        <v>330</v>
      </c>
      <c r="H723" t="s">
        <v>4463</v>
      </c>
      <c r="J723" t="s">
        <v>332</v>
      </c>
      <c r="L723" t="s">
        <v>142</v>
      </c>
      <c r="M723" t="s">
        <v>113</v>
      </c>
      <c r="R723" t="s">
        <v>4464</v>
      </c>
      <c r="W723" t="s">
        <v>4462</v>
      </c>
      <c r="X723" t="s">
        <v>2705</v>
      </c>
      <c r="Y723" t="s">
        <v>116</v>
      </c>
      <c r="Z723" t="s">
        <v>117</v>
      </c>
      <c r="AA723" t="str">
        <f>"14215-1433"</f>
        <v>14215-1433</v>
      </c>
      <c r="AB723" t="s">
        <v>118</v>
      </c>
      <c r="AC723" t="s">
        <v>119</v>
      </c>
      <c r="AD723" t="s">
        <v>113</v>
      </c>
      <c r="AE723" t="s">
        <v>120</v>
      </c>
      <c r="AG723" t="s">
        <v>121</v>
      </c>
    </row>
    <row r="724" spans="1:33" x14ac:dyDescent="0.25">
      <c r="A724" t="str">
        <f>"1972865343"</f>
        <v>1972865343</v>
      </c>
      <c r="C724" t="s">
        <v>4465</v>
      </c>
      <c r="G724" t="s">
        <v>4466</v>
      </c>
      <c r="H724" t="s">
        <v>351</v>
      </c>
      <c r="J724" t="s">
        <v>352</v>
      </c>
      <c r="K724" t="s">
        <v>303</v>
      </c>
      <c r="L724" t="s">
        <v>229</v>
      </c>
      <c r="M724" t="s">
        <v>113</v>
      </c>
      <c r="R724" t="s">
        <v>4467</v>
      </c>
      <c r="S724" t="s">
        <v>354</v>
      </c>
      <c r="T724" t="s">
        <v>116</v>
      </c>
      <c r="U724" t="s">
        <v>117</v>
      </c>
      <c r="V724" t="str">
        <f>"142152814"</f>
        <v>142152814</v>
      </c>
      <c r="AC724" t="s">
        <v>119</v>
      </c>
      <c r="AD724" t="s">
        <v>113</v>
      </c>
      <c r="AE724" t="s">
        <v>306</v>
      </c>
      <c r="AG724" t="s">
        <v>121</v>
      </c>
    </row>
    <row r="725" spans="1:33" x14ac:dyDescent="0.25">
      <c r="A725" t="str">
        <f>"1972884880"</f>
        <v>1972884880</v>
      </c>
      <c r="C725" t="s">
        <v>4468</v>
      </c>
      <c r="G725" t="s">
        <v>4469</v>
      </c>
      <c r="H725" t="s">
        <v>351</v>
      </c>
      <c r="J725" t="s">
        <v>352</v>
      </c>
      <c r="K725" t="s">
        <v>303</v>
      </c>
      <c r="L725" t="s">
        <v>229</v>
      </c>
      <c r="M725" t="s">
        <v>113</v>
      </c>
      <c r="R725" t="s">
        <v>4470</v>
      </c>
      <c r="S725" t="s">
        <v>409</v>
      </c>
      <c r="T725" t="s">
        <v>116</v>
      </c>
      <c r="U725" t="s">
        <v>117</v>
      </c>
      <c r="V725" t="str">
        <f>"142152814"</f>
        <v>142152814</v>
      </c>
      <c r="AC725" t="s">
        <v>119</v>
      </c>
      <c r="AD725" t="s">
        <v>113</v>
      </c>
      <c r="AE725" t="s">
        <v>306</v>
      </c>
      <c r="AG725" t="s">
        <v>121</v>
      </c>
    </row>
    <row r="726" spans="1:33" x14ac:dyDescent="0.25">
      <c r="A726" t="str">
        <f>"1467605543"</f>
        <v>1467605543</v>
      </c>
      <c r="B726" t="str">
        <f>"03064371"</f>
        <v>03064371</v>
      </c>
      <c r="C726" t="s">
        <v>4471</v>
      </c>
      <c r="D726" t="s">
        <v>4472</v>
      </c>
      <c r="E726" t="s">
        <v>4473</v>
      </c>
      <c r="G726" t="s">
        <v>4474</v>
      </c>
      <c r="H726" t="s">
        <v>4475</v>
      </c>
      <c r="J726" t="s">
        <v>4476</v>
      </c>
      <c r="L726" t="s">
        <v>112</v>
      </c>
      <c r="M726" t="s">
        <v>113</v>
      </c>
      <c r="R726" t="s">
        <v>4477</v>
      </c>
      <c r="W726" t="s">
        <v>4473</v>
      </c>
      <c r="X726" t="s">
        <v>4478</v>
      </c>
      <c r="Y726" t="s">
        <v>116</v>
      </c>
      <c r="Z726" t="s">
        <v>117</v>
      </c>
      <c r="AA726" t="str">
        <f>"14222-1836"</f>
        <v>14222-1836</v>
      </c>
      <c r="AB726" t="s">
        <v>118</v>
      </c>
      <c r="AC726" t="s">
        <v>119</v>
      </c>
      <c r="AD726" t="s">
        <v>113</v>
      </c>
      <c r="AE726" t="s">
        <v>120</v>
      </c>
      <c r="AG726" t="s">
        <v>121</v>
      </c>
    </row>
    <row r="727" spans="1:33" x14ac:dyDescent="0.25">
      <c r="A727" t="str">
        <f>"1467613174"</f>
        <v>1467613174</v>
      </c>
      <c r="B727" t="str">
        <f>"03437670"</f>
        <v>03437670</v>
      </c>
      <c r="C727" t="s">
        <v>4479</v>
      </c>
      <c r="D727" t="s">
        <v>4480</v>
      </c>
      <c r="E727" t="s">
        <v>4481</v>
      </c>
      <c r="G727" t="s">
        <v>4479</v>
      </c>
      <c r="J727" t="s">
        <v>4482</v>
      </c>
      <c r="L727" t="s">
        <v>150</v>
      </c>
      <c r="M727" t="s">
        <v>199</v>
      </c>
      <c r="R727" t="s">
        <v>4481</v>
      </c>
      <c r="W727" t="s">
        <v>4481</v>
      </c>
      <c r="X727" t="s">
        <v>4483</v>
      </c>
      <c r="Y727" t="s">
        <v>116</v>
      </c>
      <c r="Z727" t="s">
        <v>117</v>
      </c>
      <c r="AA727" t="str">
        <f>"14208-2102"</f>
        <v>14208-2102</v>
      </c>
      <c r="AB727" t="s">
        <v>118</v>
      </c>
      <c r="AC727" t="s">
        <v>119</v>
      </c>
      <c r="AD727" t="s">
        <v>113</v>
      </c>
      <c r="AE727" t="s">
        <v>120</v>
      </c>
      <c r="AG727" t="s">
        <v>121</v>
      </c>
    </row>
    <row r="728" spans="1:33" x14ac:dyDescent="0.25">
      <c r="A728" t="str">
        <f>"1467614172"</f>
        <v>1467614172</v>
      </c>
      <c r="B728" t="str">
        <f>"03781739"</f>
        <v>03781739</v>
      </c>
      <c r="C728" t="s">
        <v>4484</v>
      </c>
      <c r="D728" t="s">
        <v>4485</v>
      </c>
      <c r="E728" t="s">
        <v>4486</v>
      </c>
      <c r="G728" t="s">
        <v>4487</v>
      </c>
      <c r="H728" t="s">
        <v>4488</v>
      </c>
      <c r="J728" t="s">
        <v>4489</v>
      </c>
      <c r="L728" t="s">
        <v>142</v>
      </c>
      <c r="M728" t="s">
        <v>113</v>
      </c>
      <c r="R728" t="s">
        <v>4490</v>
      </c>
      <c r="W728" t="s">
        <v>4486</v>
      </c>
      <c r="X728" t="s">
        <v>4491</v>
      </c>
      <c r="Y728" t="s">
        <v>240</v>
      </c>
      <c r="Z728" t="s">
        <v>117</v>
      </c>
      <c r="AA728" t="str">
        <f>"14221-5411"</f>
        <v>14221-5411</v>
      </c>
      <c r="AB728" t="s">
        <v>118</v>
      </c>
      <c r="AC728" t="s">
        <v>119</v>
      </c>
      <c r="AD728" t="s">
        <v>113</v>
      </c>
      <c r="AE728" t="s">
        <v>120</v>
      </c>
      <c r="AG728" t="s">
        <v>121</v>
      </c>
    </row>
    <row r="729" spans="1:33" x14ac:dyDescent="0.25">
      <c r="A729" t="str">
        <f>"1467615591"</f>
        <v>1467615591</v>
      </c>
      <c r="B729" t="str">
        <f>"03030480"</f>
        <v>03030480</v>
      </c>
      <c r="C729" t="s">
        <v>4492</v>
      </c>
      <c r="D729" t="s">
        <v>4493</v>
      </c>
      <c r="E729" t="s">
        <v>4494</v>
      </c>
      <c r="H729" t="s">
        <v>579</v>
      </c>
      <c r="L729" t="s">
        <v>112</v>
      </c>
      <c r="M729" t="s">
        <v>113</v>
      </c>
      <c r="R729" t="s">
        <v>4494</v>
      </c>
      <c r="W729" t="s">
        <v>4494</v>
      </c>
      <c r="X729" t="s">
        <v>152</v>
      </c>
      <c r="Y729" t="s">
        <v>153</v>
      </c>
      <c r="Z729" t="s">
        <v>117</v>
      </c>
      <c r="AA729" t="str">
        <f>"14301-1813"</f>
        <v>14301-1813</v>
      </c>
      <c r="AB729" t="s">
        <v>118</v>
      </c>
      <c r="AC729" t="s">
        <v>119</v>
      </c>
      <c r="AD729" t="s">
        <v>113</v>
      </c>
      <c r="AE729" t="s">
        <v>120</v>
      </c>
      <c r="AG729" t="s">
        <v>121</v>
      </c>
    </row>
    <row r="730" spans="1:33" x14ac:dyDescent="0.25">
      <c r="A730" t="str">
        <f>"1467624809"</f>
        <v>1467624809</v>
      </c>
      <c r="B730" t="str">
        <f>"02984494"</f>
        <v>02984494</v>
      </c>
      <c r="C730" t="s">
        <v>4495</v>
      </c>
      <c r="D730" t="s">
        <v>4496</v>
      </c>
      <c r="E730" t="s">
        <v>4497</v>
      </c>
      <c r="G730" t="s">
        <v>4495</v>
      </c>
      <c r="H730" t="s">
        <v>4498</v>
      </c>
      <c r="J730" t="s">
        <v>4499</v>
      </c>
      <c r="L730" t="s">
        <v>142</v>
      </c>
      <c r="M730" t="s">
        <v>113</v>
      </c>
      <c r="R730" t="s">
        <v>4500</v>
      </c>
      <c r="W730" t="s">
        <v>4497</v>
      </c>
      <c r="X730" t="s">
        <v>4501</v>
      </c>
      <c r="Y730" t="s">
        <v>889</v>
      </c>
      <c r="Z730" t="s">
        <v>117</v>
      </c>
      <c r="AA730" t="str">
        <f>"14120-2835"</f>
        <v>14120-2835</v>
      </c>
      <c r="AB730" t="s">
        <v>118</v>
      </c>
      <c r="AC730" t="s">
        <v>119</v>
      </c>
      <c r="AD730" t="s">
        <v>113</v>
      </c>
      <c r="AE730" t="s">
        <v>120</v>
      </c>
      <c r="AG730" t="s">
        <v>121</v>
      </c>
    </row>
    <row r="731" spans="1:33" x14ac:dyDescent="0.25">
      <c r="A731" t="str">
        <f>"1467645507"</f>
        <v>1467645507</v>
      </c>
      <c r="B731" t="str">
        <f>"02992776"</f>
        <v>02992776</v>
      </c>
      <c r="C731" t="s">
        <v>4502</v>
      </c>
      <c r="D731" t="s">
        <v>4503</v>
      </c>
      <c r="E731" t="s">
        <v>4504</v>
      </c>
      <c r="G731" t="s">
        <v>4505</v>
      </c>
      <c r="H731" t="s">
        <v>4506</v>
      </c>
      <c r="J731" t="s">
        <v>4507</v>
      </c>
      <c r="L731" t="s">
        <v>229</v>
      </c>
      <c r="M731" t="s">
        <v>113</v>
      </c>
      <c r="R731" t="s">
        <v>4508</v>
      </c>
      <c r="W731" t="s">
        <v>4509</v>
      </c>
      <c r="X731" t="s">
        <v>136</v>
      </c>
      <c r="Y731" t="s">
        <v>116</v>
      </c>
      <c r="Z731" t="s">
        <v>117</v>
      </c>
      <c r="AA731" t="str">
        <f>"14209-1120"</f>
        <v>14209-1120</v>
      </c>
      <c r="AB731" t="s">
        <v>118</v>
      </c>
      <c r="AC731" t="s">
        <v>119</v>
      </c>
      <c r="AD731" t="s">
        <v>113</v>
      </c>
      <c r="AE731" t="s">
        <v>120</v>
      </c>
      <c r="AG731" t="s">
        <v>121</v>
      </c>
    </row>
    <row r="732" spans="1:33" x14ac:dyDescent="0.25">
      <c r="A732" t="str">
        <f>"1467655779"</f>
        <v>1467655779</v>
      </c>
      <c r="B732" t="str">
        <f>"03249227"</f>
        <v>03249227</v>
      </c>
      <c r="C732" t="s">
        <v>4510</v>
      </c>
      <c r="D732" t="s">
        <v>4511</v>
      </c>
      <c r="E732" t="s">
        <v>4512</v>
      </c>
      <c r="G732" t="s">
        <v>4513</v>
      </c>
      <c r="H732" t="s">
        <v>4514</v>
      </c>
      <c r="J732" t="s">
        <v>1387</v>
      </c>
      <c r="L732" t="s">
        <v>142</v>
      </c>
      <c r="M732" t="s">
        <v>113</v>
      </c>
      <c r="R732" t="s">
        <v>4515</v>
      </c>
      <c r="W732" t="s">
        <v>4512</v>
      </c>
      <c r="X732" t="s">
        <v>1098</v>
      </c>
      <c r="Y732" t="s">
        <v>305</v>
      </c>
      <c r="Z732" t="s">
        <v>117</v>
      </c>
      <c r="AA732" t="str">
        <f>"14760-1513"</f>
        <v>14760-1513</v>
      </c>
      <c r="AB732" t="s">
        <v>118</v>
      </c>
      <c r="AC732" t="s">
        <v>119</v>
      </c>
      <c r="AD732" t="s">
        <v>113</v>
      </c>
      <c r="AE732" t="s">
        <v>120</v>
      </c>
      <c r="AG732" t="s">
        <v>121</v>
      </c>
    </row>
    <row r="733" spans="1:33" x14ac:dyDescent="0.25">
      <c r="A733" t="str">
        <f>"1467685925"</f>
        <v>1467685925</v>
      </c>
      <c r="B733" t="str">
        <f>"03361933"</f>
        <v>03361933</v>
      </c>
      <c r="C733" t="s">
        <v>4516</v>
      </c>
      <c r="D733" t="s">
        <v>4517</v>
      </c>
      <c r="E733" t="s">
        <v>4518</v>
      </c>
      <c r="G733" t="s">
        <v>4516</v>
      </c>
      <c r="H733" t="s">
        <v>4519</v>
      </c>
      <c r="J733" t="s">
        <v>4520</v>
      </c>
      <c r="L733" t="s">
        <v>112</v>
      </c>
      <c r="M733" t="s">
        <v>113</v>
      </c>
      <c r="R733" t="s">
        <v>4521</v>
      </c>
      <c r="W733" t="s">
        <v>4522</v>
      </c>
      <c r="X733" t="s">
        <v>176</v>
      </c>
      <c r="Y733" t="s">
        <v>116</v>
      </c>
      <c r="Z733" t="s">
        <v>117</v>
      </c>
      <c r="AA733" t="str">
        <f>"14203-1126"</f>
        <v>14203-1126</v>
      </c>
      <c r="AB733" t="s">
        <v>118</v>
      </c>
      <c r="AC733" t="s">
        <v>119</v>
      </c>
      <c r="AD733" t="s">
        <v>113</v>
      </c>
      <c r="AE733" t="s">
        <v>120</v>
      </c>
      <c r="AG733" t="s">
        <v>121</v>
      </c>
    </row>
    <row r="734" spans="1:33" x14ac:dyDescent="0.25">
      <c r="A734" t="str">
        <f>"1467686600"</f>
        <v>1467686600</v>
      </c>
      <c r="C734" t="s">
        <v>4523</v>
      </c>
      <c r="G734" t="s">
        <v>4523</v>
      </c>
      <c r="H734" t="s">
        <v>908</v>
      </c>
      <c r="J734" t="s">
        <v>4524</v>
      </c>
      <c r="K734" t="s">
        <v>303</v>
      </c>
      <c r="L734" t="s">
        <v>229</v>
      </c>
      <c r="M734" t="s">
        <v>113</v>
      </c>
      <c r="R734" t="s">
        <v>4525</v>
      </c>
      <c r="S734" t="s">
        <v>4526</v>
      </c>
      <c r="T734" t="s">
        <v>4527</v>
      </c>
      <c r="U734" t="s">
        <v>4528</v>
      </c>
      <c r="V734" t="str">
        <f>"296054444"</f>
        <v>296054444</v>
      </c>
      <c r="AC734" t="s">
        <v>119</v>
      </c>
      <c r="AD734" t="s">
        <v>113</v>
      </c>
      <c r="AE734" t="s">
        <v>306</v>
      </c>
      <c r="AG734" t="s">
        <v>121</v>
      </c>
    </row>
    <row r="735" spans="1:33" x14ac:dyDescent="0.25">
      <c r="A735" t="str">
        <f>"1467694703"</f>
        <v>1467694703</v>
      </c>
      <c r="B735" t="str">
        <f>"03229614"</f>
        <v>03229614</v>
      </c>
      <c r="C735" t="s">
        <v>4529</v>
      </c>
      <c r="D735" t="s">
        <v>4530</v>
      </c>
      <c r="E735" t="s">
        <v>4531</v>
      </c>
      <c r="H735" t="s">
        <v>359</v>
      </c>
      <c r="L735" t="s">
        <v>150</v>
      </c>
      <c r="M735" t="s">
        <v>113</v>
      </c>
      <c r="R735" t="s">
        <v>4532</v>
      </c>
      <c r="W735" t="s">
        <v>4531</v>
      </c>
      <c r="X735" t="s">
        <v>361</v>
      </c>
      <c r="Y735" t="s">
        <v>362</v>
      </c>
      <c r="Z735" t="s">
        <v>117</v>
      </c>
      <c r="AA735" t="str">
        <f>"14108-1026"</f>
        <v>14108-1026</v>
      </c>
      <c r="AB735" t="s">
        <v>118</v>
      </c>
      <c r="AC735" t="s">
        <v>119</v>
      </c>
      <c r="AD735" t="s">
        <v>113</v>
      </c>
      <c r="AE735" t="s">
        <v>120</v>
      </c>
      <c r="AG735" t="s">
        <v>121</v>
      </c>
    </row>
    <row r="736" spans="1:33" x14ac:dyDescent="0.25">
      <c r="A736" t="str">
        <f>"1467695262"</f>
        <v>1467695262</v>
      </c>
      <c r="B736" t="str">
        <f>"03609029"</f>
        <v>03609029</v>
      </c>
      <c r="C736" t="s">
        <v>4533</v>
      </c>
      <c r="D736" t="s">
        <v>4534</v>
      </c>
      <c r="E736" t="s">
        <v>4535</v>
      </c>
      <c r="G736" t="s">
        <v>4533</v>
      </c>
      <c r="H736" t="s">
        <v>4536</v>
      </c>
      <c r="J736" t="s">
        <v>4537</v>
      </c>
      <c r="L736" t="s">
        <v>142</v>
      </c>
      <c r="M736" t="s">
        <v>113</v>
      </c>
      <c r="R736" t="s">
        <v>4538</v>
      </c>
      <c r="W736" t="s">
        <v>4535</v>
      </c>
      <c r="X736" t="s">
        <v>4539</v>
      </c>
      <c r="Y736" t="s">
        <v>318</v>
      </c>
      <c r="Z736" t="s">
        <v>117</v>
      </c>
      <c r="AA736" t="str">
        <f>"14227-2212"</f>
        <v>14227-2212</v>
      </c>
      <c r="AB736" t="s">
        <v>118</v>
      </c>
      <c r="AC736" t="s">
        <v>119</v>
      </c>
      <c r="AD736" t="s">
        <v>113</v>
      </c>
      <c r="AE736" t="s">
        <v>120</v>
      </c>
      <c r="AG736" t="s">
        <v>121</v>
      </c>
    </row>
    <row r="737" spans="1:33" x14ac:dyDescent="0.25">
      <c r="A737" t="str">
        <f>"1467703892"</f>
        <v>1467703892</v>
      </c>
      <c r="C737" t="s">
        <v>4540</v>
      </c>
      <c r="G737" t="s">
        <v>4541</v>
      </c>
      <c r="H737" t="s">
        <v>351</v>
      </c>
      <c r="K737" t="s">
        <v>303</v>
      </c>
      <c r="L737" t="s">
        <v>229</v>
      </c>
      <c r="M737" t="s">
        <v>113</v>
      </c>
      <c r="R737" t="s">
        <v>4542</v>
      </c>
      <c r="S737" t="s">
        <v>354</v>
      </c>
      <c r="T737" t="s">
        <v>116</v>
      </c>
      <c r="U737" t="s">
        <v>117</v>
      </c>
      <c r="V737" t="str">
        <f>"142152814"</f>
        <v>142152814</v>
      </c>
      <c r="AC737" t="s">
        <v>119</v>
      </c>
      <c r="AD737" t="s">
        <v>113</v>
      </c>
      <c r="AE737" t="s">
        <v>306</v>
      </c>
      <c r="AG737" t="s">
        <v>121</v>
      </c>
    </row>
    <row r="738" spans="1:33" x14ac:dyDescent="0.25">
      <c r="A738" t="str">
        <f>"1467717454"</f>
        <v>1467717454</v>
      </c>
      <c r="B738" t="str">
        <f>"03841229"</f>
        <v>03841229</v>
      </c>
      <c r="C738" t="s">
        <v>4543</v>
      </c>
      <c r="D738" t="s">
        <v>4544</v>
      </c>
      <c r="E738" t="s">
        <v>4545</v>
      </c>
      <c r="G738" t="s">
        <v>4543</v>
      </c>
      <c r="H738" t="s">
        <v>4546</v>
      </c>
      <c r="J738" t="s">
        <v>4547</v>
      </c>
      <c r="L738" t="s">
        <v>112</v>
      </c>
      <c r="M738" t="s">
        <v>113</v>
      </c>
      <c r="R738" t="s">
        <v>4548</v>
      </c>
      <c r="W738" t="s">
        <v>4545</v>
      </c>
      <c r="X738" t="s">
        <v>2892</v>
      </c>
      <c r="Y738" t="s">
        <v>240</v>
      </c>
      <c r="Z738" t="s">
        <v>117</v>
      </c>
      <c r="AA738" t="str">
        <f>"14221-5838"</f>
        <v>14221-5838</v>
      </c>
      <c r="AB738" t="s">
        <v>118</v>
      </c>
      <c r="AC738" t="s">
        <v>119</v>
      </c>
      <c r="AD738" t="s">
        <v>113</v>
      </c>
      <c r="AE738" t="s">
        <v>120</v>
      </c>
      <c r="AG738" t="s">
        <v>121</v>
      </c>
    </row>
    <row r="739" spans="1:33" x14ac:dyDescent="0.25">
      <c r="A739" t="str">
        <f>"1386626117"</f>
        <v>1386626117</v>
      </c>
      <c r="B739" t="str">
        <f>"02429394"</f>
        <v>02429394</v>
      </c>
      <c r="C739" t="s">
        <v>4549</v>
      </c>
      <c r="D739" t="s">
        <v>4550</v>
      </c>
      <c r="E739" t="s">
        <v>4551</v>
      </c>
      <c r="G739" t="s">
        <v>4552</v>
      </c>
      <c r="H739" t="s">
        <v>4553</v>
      </c>
      <c r="J739" t="s">
        <v>4554</v>
      </c>
      <c r="L739" t="s">
        <v>142</v>
      </c>
      <c r="M739" t="s">
        <v>113</v>
      </c>
      <c r="R739" t="s">
        <v>4555</v>
      </c>
      <c r="W739" t="s">
        <v>4551</v>
      </c>
      <c r="AB739" t="s">
        <v>118</v>
      </c>
      <c r="AC739" t="s">
        <v>119</v>
      </c>
      <c r="AD739" t="s">
        <v>113</v>
      </c>
      <c r="AE739" t="s">
        <v>120</v>
      </c>
      <c r="AG739" t="s">
        <v>121</v>
      </c>
    </row>
    <row r="740" spans="1:33" x14ac:dyDescent="0.25">
      <c r="A740" t="str">
        <f>"1386632628"</f>
        <v>1386632628</v>
      </c>
      <c r="B740" t="str">
        <f>"00475443"</f>
        <v>00475443</v>
      </c>
      <c r="C740" t="s">
        <v>4569</v>
      </c>
      <c r="D740" t="s">
        <v>4570</v>
      </c>
      <c r="E740" t="s">
        <v>4571</v>
      </c>
      <c r="G740" t="s">
        <v>4572</v>
      </c>
      <c r="H740" t="s">
        <v>4573</v>
      </c>
      <c r="J740" t="s">
        <v>4574</v>
      </c>
      <c r="L740" t="s">
        <v>280</v>
      </c>
      <c r="M740" t="s">
        <v>199</v>
      </c>
      <c r="R740" t="s">
        <v>4569</v>
      </c>
      <c r="W740" t="s">
        <v>4571</v>
      </c>
      <c r="X740" t="s">
        <v>4575</v>
      </c>
      <c r="Y740" t="s">
        <v>663</v>
      </c>
      <c r="Z740" t="s">
        <v>117</v>
      </c>
      <c r="AA740" t="str">
        <f>"14094-6142"</f>
        <v>14094-6142</v>
      </c>
      <c r="AB740" t="s">
        <v>282</v>
      </c>
      <c r="AC740" t="s">
        <v>119</v>
      </c>
      <c r="AD740" t="s">
        <v>113</v>
      </c>
      <c r="AE740" t="s">
        <v>120</v>
      </c>
      <c r="AG740" t="s">
        <v>121</v>
      </c>
    </row>
    <row r="741" spans="1:33" x14ac:dyDescent="0.25">
      <c r="A741" t="str">
        <f>"1386631851"</f>
        <v>1386631851</v>
      </c>
      <c r="B741" t="str">
        <f>"02157633"</f>
        <v>02157633</v>
      </c>
      <c r="C741" t="s">
        <v>4564</v>
      </c>
      <c r="D741" t="s">
        <v>4565</v>
      </c>
      <c r="E741" t="s">
        <v>4566</v>
      </c>
      <c r="G741" t="s">
        <v>4564</v>
      </c>
      <c r="J741" t="s">
        <v>4567</v>
      </c>
      <c r="L741" t="s">
        <v>142</v>
      </c>
      <c r="M741" t="s">
        <v>113</v>
      </c>
      <c r="R741" t="s">
        <v>4568</v>
      </c>
      <c r="W741" t="s">
        <v>4566</v>
      </c>
      <c r="X741" t="s">
        <v>136</v>
      </c>
      <c r="Y741" t="s">
        <v>116</v>
      </c>
      <c r="Z741" t="s">
        <v>117</v>
      </c>
      <c r="AA741" t="str">
        <f>"14209-1120"</f>
        <v>14209-1120</v>
      </c>
      <c r="AB741" t="s">
        <v>118</v>
      </c>
      <c r="AC741" t="s">
        <v>119</v>
      </c>
      <c r="AD741" t="s">
        <v>113</v>
      </c>
      <c r="AE741" t="s">
        <v>120</v>
      </c>
      <c r="AG741" t="s">
        <v>121</v>
      </c>
    </row>
    <row r="742" spans="1:33" x14ac:dyDescent="0.25">
      <c r="A742" t="str">
        <f>"1386631547"</f>
        <v>1386631547</v>
      </c>
      <c r="B742" t="str">
        <f>"01083421"</f>
        <v>01083421</v>
      </c>
      <c r="C742" t="s">
        <v>4556</v>
      </c>
      <c r="D742" t="s">
        <v>4557</v>
      </c>
      <c r="E742" t="s">
        <v>4558</v>
      </c>
      <c r="G742" t="s">
        <v>4559</v>
      </c>
      <c r="H742" t="s">
        <v>4560</v>
      </c>
      <c r="J742" t="s">
        <v>4561</v>
      </c>
      <c r="L742" t="s">
        <v>280</v>
      </c>
      <c r="M742" t="s">
        <v>199</v>
      </c>
      <c r="R742" t="s">
        <v>4556</v>
      </c>
      <c r="W742" t="s">
        <v>4556</v>
      </c>
      <c r="X742" t="s">
        <v>4562</v>
      </c>
      <c r="Y742" t="s">
        <v>4563</v>
      </c>
      <c r="Z742" t="s">
        <v>117</v>
      </c>
      <c r="AA742" t="str">
        <f>"11772-4900"</f>
        <v>11772-4900</v>
      </c>
      <c r="AB742" t="s">
        <v>282</v>
      </c>
      <c r="AC742" t="s">
        <v>119</v>
      </c>
      <c r="AD742" t="s">
        <v>113</v>
      </c>
      <c r="AE742" t="s">
        <v>120</v>
      </c>
      <c r="AG742" t="s">
        <v>121</v>
      </c>
    </row>
    <row r="743" spans="1:33" x14ac:dyDescent="0.25">
      <c r="A743" t="str">
        <f>"1386636389"</f>
        <v>1386636389</v>
      </c>
      <c r="B743" t="str">
        <f>"02282846"</f>
        <v>02282846</v>
      </c>
      <c r="C743" t="s">
        <v>4576</v>
      </c>
      <c r="D743" t="s">
        <v>4577</v>
      </c>
      <c r="E743" t="s">
        <v>4578</v>
      </c>
      <c r="G743" t="s">
        <v>4576</v>
      </c>
      <c r="H743" t="s">
        <v>4579</v>
      </c>
      <c r="J743" t="s">
        <v>4580</v>
      </c>
      <c r="L743" t="s">
        <v>142</v>
      </c>
      <c r="M743" t="s">
        <v>113</v>
      </c>
      <c r="R743" t="s">
        <v>4581</v>
      </c>
      <c r="W743" t="s">
        <v>4578</v>
      </c>
      <c r="X743" t="s">
        <v>4582</v>
      </c>
      <c r="Y743" t="s">
        <v>240</v>
      </c>
      <c r="Z743" t="s">
        <v>117</v>
      </c>
      <c r="AA743" t="str">
        <f>"14221-4641"</f>
        <v>14221-4641</v>
      </c>
      <c r="AB743" t="s">
        <v>118</v>
      </c>
      <c r="AC743" t="s">
        <v>119</v>
      </c>
      <c r="AD743" t="s">
        <v>113</v>
      </c>
      <c r="AE743" t="s">
        <v>120</v>
      </c>
      <c r="AG743" t="s">
        <v>121</v>
      </c>
    </row>
    <row r="744" spans="1:33" x14ac:dyDescent="0.25">
      <c r="A744" t="str">
        <f>"1386638047"</f>
        <v>1386638047</v>
      </c>
      <c r="B744" t="str">
        <f>"00892315"</f>
        <v>00892315</v>
      </c>
      <c r="C744" t="s">
        <v>4583</v>
      </c>
      <c r="D744" t="s">
        <v>4584</v>
      </c>
      <c r="E744" t="s">
        <v>4585</v>
      </c>
      <c r="G744" t="s">
        <v>4586</v>
      </c>
      <c r="H744" t="s">
        <v>4587</v>
      </c>
      <c r="L744" t="s">
        <v>112</v>
      </c>
      <c r="M744" t="s">
        <v>113</v>
      </c>
      <c r="R744" t="s">
        <v>4586</v>
      </c>
      <c r="W744" t="s">
        <v>4588</v>
      </c>
      <c r="X744" t="s">
        <v>4589</v>
      </c>
      <c r="Y744" t="s">
        <v>986</v>
      </c>
      <c r="Z744" t="s">
        <v>117</v>
      </c>
      <c r="AA744" t="str">
        <f>"14701-2608"</f>
        <v>14701-2608</v>
      </c>
      <c r="AB744" t="s">
        <v>634</v>
      </c>
      <c r="AC744" t="s">
        <v>119</v>
      </c>
      <c r="AD744" t="s">
        <v>113</v>
      </c>
      <c r="AE744" t="s">
        <v>120</v>
      </c>
      <c r="AG744" t="s">
        <v>121</v>
      </c>
    </row>
    <row r="745" spans="1:33" x14ac:dyDescent="0.25">
      <c r="A745" t="str">
        <f>"1386643781"</f>
        <v>1386643781</v>
      </c>
      <c r="B745" t="str">
        <f>"02022622"</f>
        <v>02022622</v>
      </c>
      <c r="C745" t="s">
        <v>4590</v>
      </c>
      <c r="D745" t="s">
        <v>4591</v>
      </c>
      <c r="E745" t="s">
        <v>4592</v>
      </c>
      <c r="G745" t="s">
        <v>4593</v>
      </c>
      <c r="H745" t="s">
        <v>4594</v>
      </c>
      <c r="J745" t="s">
        <v>4595</v>
      </c>
      <c r="L745" t="s">
        <v>150</v>
      </c>
      <c r="M745" t="s">
        <v>113</v>
      </c>
      <c r="R745" t="s">
        <v>4596</v>
      </c>
      <c r="W745" t="s">
        <v>4592</v>
      </c>
      <c r="X745" t="s">
        <v>518</v>
      </c>
      <c r="Y745" t="s">
        <v>305</v>
      </c>
      <c r="Z745" t="s">
        <v>117</v>
      </c>
      <c r="AA745" t="str">
        <f>"14760-1500"</f>
        <v>14760-1500</v>
      </c>
      <c r="AB745" t="s">
        <v>118</v>
      </c>
      <c r="AC745" t="s">
        <v>119</v>
      </c>
      <c r="AD745" t="s">
        <v>113</v>
      </c>
      <c r="AE745" t="s">
        <v>120</v>
      </c>
      <c r="AG745" t="s">
        <v>121</v>
      </c>
    </row>
    <row r="746" spans="1:33" x14ac:dyDescent="0.25">
      <c r="A746" t="str">
        <f>"1386649721"</f>
        <v>1386649721</v>
      </c>
      <c r="B746" t="str">
        <f>"00691263"</f>
        <v>00691263</v>
      </c>
      <c r="C746" t="s">
        <v>4597</v>
      </c>
      <c r="D746" t="s">
        <v>4598</v>
      </c>
      <c r="E746" t="s">
        <v>4599</v>
      </c>
      <c r="G746" t="s">
        <v>4597</v>
      </c>
      <c r="H746" t="s">
        <v>3800</v>
      </c>
      <c r="J746" t="s">
        <v>4600</v>
      </c>
      <c r="L746" t="s">
        <v>150</v>
      </c>
      <c r="M746" t="s">
        <v>113</v>
      </c>
      <c r="R746" t="s">
        <v>4601</v>
      </c>
      <c r="W746" t="s">
        <v>4599</v>
      </c>
      <c r="X746" t="s">
        <v>3963</v>
      </c>
      <c r="Y746" t="s">
        <v>240</v>
      </c>
      <c r="Z746" t="s">
        <v>117</v>
      </c>
      <c r="AA746" t="str">
        <f>"14221-5771"</f>
        <v>14221-5771</v>
      </c>
      <c r="AB746" t="s">
        <v>118</v>
      </c>
      <c r="AC746" t="s">
        <v>119</v>
      </c>
      <c r="AD746" t="s">
        <v>113</v>
      </c>
      <c r="AE746" t="s">
        <v>120</v>
      </c>
      <c r="AG746" t="s">
        <v>121</v>
      </c>
    </row>
    <row r="747" spans="1:33" x14ac:dyDescent="0.25">
      <c r="A747" t="str">
        <f>"1386650943"</f>
        <v>1386650943</v>
      </c>
      <c r="B747" t="str">
        <f>"01072191"</f>
        <v>01072191</v>
      </c>
      <c r="C747" t="s">
        <v>4602</v>
      </c>
      <c r="D747" t="s">
        <v>4603</v>
      </c>
      <c r="E747" t="s">
        <v>4604</v>
      </c>
      <c r="G747" t="s">
        <v>4602</v>
      </c>
      <c r="H747" t="s">
        <v>250</v>
      </c>
      <c r="J747" t="s">
        <v>4605</v>
      </c>
      <c r="L747" t="s">
        <v>142</v>
      </c>
      <c r="M747" t="s">
        <v>113</v>
      </c>
      <c r="R747" t="s">
        <v>4606</v>
      </c>
      <c r="W747" t="s">
        <v>4604</v>
      </c>
      <c r="X747" t="s">
        <v>4607</v>
      </c>
      <c r="Y747" t="s">
        <v>116</v>
      </c>
      <c r="Z747" t="s">
        <v>117</v>
      </c>
      <c r="AA747" t="str">
        <f>"14215-1145"</f>
        <v>14215-1145</v>
      </c>
      <c r="AB747" t="s">
        <v>118</v>
      </c>
      <c r="AC747" t="s">
        <v>119</v>
      </c>
      <c r="AD747" t="s">
        <v>113</v>
      </c>
      <c r="AE747" t="s">
        <v>120</v>
      </c>
      <c r="AG747" t="s">
        <v>121</v>
      </c>
    </row>
    <row r="748" spans="1:33" x14ac:dyDescent="0.25">
      <c r="A748" t="str">
        <f>"1386651974"</f>
        <v>1386651974</v>
      </c>
      <c r="B748" t="str">
        <f>"02166118"</f>
        <v>02166118</v>
      </c>
      <c r="C748" t="s">
        <v>4608</v>
      </c>
      <c r="D748" t="s">
        <v>4609</v>
      </c>
      <c r="E748" t="s">
        <v>4610</v>
      </c>
      <c r="G748" t="s">
        <v>4608</v>
      </c>
      <c r="H748" t="s">
        <v>4611</v>
      </c>
      <c r="J748" t="s">
        <v>4612</v>
      </c>
      <c r="L748" t="s">
        <v>142</v>
      </c>
      <c r="M748" t="s">
        <v>113</v>
      </c>
      <c r="R748" t="s">
        <v>4613</v>
      </c>
      <c r="W748" t="s">
        <v>4610</v>
      </c>
      <c r="X748" t="s">
        <v>778</v>
      </c>
      <c r="Y748" t="s">
        <v>240</v>
      </c>
      <c r="Z748" t="s">
        <v>117</v>
      </c>
      <c r="AA748" t="str">
        <f>"14221-8243"</f>
        <v>14221-8243</v>
      </c>
      <c r="AB748" t="s">
        <v>118</v>
      </c>
      <c r="AC748" t="s">
        <v>119</v>
      </c>
      <c r="AD748" t="s">
        <v>113</v>
      </c>
      <c r="AE748" t="s">
        <v>120</v>
      </c>
      <c r="AG748" t="s">
        <v>121</v>
      </c>
    </row>
    <row r="749" spans="1:33" x14ac:dyDescent="0.25">
      <c r="A749" t="str">
        <f>"1386656494"</f>
        <v>1386656494</v>
      </c>
      <c r="B749" t="str">
        <f>"01754030"</f>
        <v>01754030</v>
      </c>
      <c r="C749" t="s">
        <v>4614</v>
      </c>
      <c r="D749" t="s">
        <v>4615</v>
      </c>
      <c r="E749" t="s">
        <v>4616</v>
      </c>
      <c r="G749" t="s">
        <v>4614</v>
      </c>
      <c r="H749" t="s">
        <v>4617</v>
      </c>
      <c r="J749" t="s">
        <v>4618</v>
      </c>
      <c r="L749" t="s">
        <v>142</v>
      </c>
      <c r="M749" t="s">
        <v>113</v>
      </c>
      <c r="R749" t="s">
        <v>4619</v>
      </c>
      <c r="W749" t="s">
        <v>4616</v>
      </c>
      <c r="X749" t="s">
        <v>4620</v>
      </c>
      <c r="Y749" t="s">
        <v>116</v>
      </c>
      <c r="Z749" t="s">
        <v>117</v>
      </c>
      <c r="AA749" t="str">
        <f>"14209-1120"</f>
        <v>14209-1120</v>
      </c>
      <c r="AB749" t="s">
        <v>118</v>
      </c>
      <c r="AC749" t="s">
        <v>119</v>
      </c>
      <c r="AD749" t="s">
        <v>113</v>
      </c>
      <c r="AE749" t="s">
        <v>120</v>
      </c>
      <c r="AG749" t="s">
        <v>121</v>
      </c>
    </row>
    <row r="750" spans="1:33" x14ac:dyDescent="0.25">
      <c r="A750" t="str">
        <f>"1386687374"</f>
        <v>1386687374</v>
      </c>
      <c r="B750" t="str">
        <f>"03140609"</f>
        <v>03140609</v>
      </c>
      <c r="C750" t="s">
        <v>4621</v>
      </c>
      <c r="D750" t="s">
        <v>4622</v>
      </c>
      <c r="E750" t="s">
        <v>4623</v>
      </c>
      <c r="G750" t="s">
        <v>4624</v>
      </c>
      <c r="H750" t="s">
        <v>4625</v>
      </c>
      <c r="J750" t="s">
        <v>4626</v>
      </c>
      <c r="L750" t="s">
        <v>142</v>
      </c>
      <c r="M750" t="s">
        <v>199</v>
      </c>
      <c r="R750" t="s">
        <v>4627</v>
      </c>
      <c r="W750" t="s">
        <v>4623</v>
      </c>
      <c r="X750" t="s">
        <v>216</v>
      </c>
      <c r="Y750" t="s">
        <v>116</v>
      </c>
      <c r="Z750" t="s">
        <v>117</v>
      </c>
      <c r="AA750" t="str">
        <f>"14222-2006"</f>
        <v>14222-2006</v>
      </c>
      <c r="AB750" t="s">
        <v>118</v>
      </c>
      <c r="AC750" t="s">
        <v>119</v>
      </c>
      <c r="AD750" t="s">
        <v>113</v>
      </c>
      <c r="AE750" t="s">
        <v>120</v>
      </c>
      <c r="AG750" t="s">
        <v>121</v>
      </c>
    </row>
    <row r="751" spans="1:33" x14ac:dyDescent="0.25">
      <c r="A751" t="str">
        <f>"1386693190"</f>
        <v>1386693190</v>
      </c>
      <c r="B751" t="str">
        <f>"02050035"</f>
        <v>02050035</v>
      </c>
      <c r="C751" t="s">
        <v>4628</v>
      </c>
      <c r="D751" t="s">
        <v>4629</v>
      </c>
      <c r="E751" t="s">
        <v>4630</v>
      </c>
      <c r="G751" t="s">
        <v>4631</v>
      </c>
      <c r="H751" t="s">
        <v>4632</v>
      </c>
      <c r="J751" t="s">
        <v>4633</v>
      </c>
      <c r="L751" t="s">
        <v>150</v>
      </c>
      <c r="M751" t="s">
        <v>199</v>
      </c>
      <c r="R751" t="s">
        <v>4634</v>
      </c>
      <c r="W751" t="s">
        <v>4635</v>
      </c>
      <c r="X751" t="s">
        <v>4636</v>
      </c>
      <c r="Y751" t="s">
        <v>116</v>
      </c>
      <c r="Z751" t="s">
        <v>117</v>
      </c>
      <c r="AA751" t="str">
        <f>"14201-2398"</f>
        <v>14201-2398</v>
      </c>
      <c r="AB751" t="s">
        <v>118</v>
      </c>
      <c r="AC751" t="s">
        <v>119</v>
      </c>
      <c r="AD751" t="s">
        <v>113</v>
      </c>
      <c r="AE751" t="s">
        <v>120</v>
      </c>
      <c r="AG751" t="s">
        <v>121</v>
      </c>
    </row>
    <row r="752" spans="1:33" x14ac:dyDescent="0.25">
      <c r="A752" t="str">
        <f>"1386696540"</f>
        <v>1386696540</v>
      </c>
      <c r="B752" t="str">
        <f>"02462164"</f>
        <v>02462164</v>
      </c>
      <c r="C752" t="s">
        <v>4637</v>
      </c>
      <c r="D752" t="s">
        <v>4638</v>
      </c>
      <c r="E752" t="s">
        <v>4639</v>
      </c>
      <c r="G752" t="s">
        <v>4637</v>
      </c>
      <c r="H752" t="s">
        <v>4640</v>
      </c>
      <c r="J752" t="s">
        <v>4641</v>
      </c>
      <c r="L752" t="s">
        <v>142</v>
      </c>
      <c r="M752" t="s">
        <v>113</v>
      </c>
      <c r="R752" t="s">
        <v>4639</v>
      </c>
      <c r="W752" t="s">
        <v>4639</v>
      </c>
      <c r="X752" t="s">
        <v>4642</v>
      </c>
      <c r="Y752" t="s">
        <v>240</v>
      </c>
      <c r="Z752" t="s">
        <v>117</v>
      </c>
      <c r="AA752" t="str">
        <f>"14221-6800"</f>
        <v>14221-6800</v>
      </c>
      <c r="AB752" t="s">
        <v>118</v>
      </c>
      <c r="AC752" t="s">
        <v>119</v>
      </c>
      <c r="AD752" t="s">
        <v>113</v>
      </c>
      <c r="AE752" t="s">
        <v>120</v>
      </c>
      <c r="AG752" t="s">
        <v>121</v>
      </c>
    </row>
    <row r="753" spans="1:33" x14ac:dyDescent="0.25">
      <c r="A753" t="str">
        <f>"1386696722"</f>
        <v>1386696722</v>
      </c>
      <c r="B753" t="str">
        <f>"01251918"</f>
        <v>01251918</v>
      </c>
      <c r="C753" t="s">
        <v>4643</v>
      </c>
      <c r="D753" t="s">
        <v>4644</v>
      </c>
      <c r="E753" t="s">
        <v>4645</v>
      </c>
      <c r="G753" t="s">
        <v>4643</v>
      </c>
      <c r="H753" t="s">
        <v>4646</v>
      </c>
      <c r="J753" t="s">
        <v>4647</v>
      </c>
      <c r="L753" t="s">
        <v>112</v>
      </c>
      <c r="M753" t="s">
        <v>113</v>
      </c>
      <c r="R753" t="s">
        <v>4648</v>
      </c>
      <c r="W753" t="s">
        <v>4645</v>
      </c>
      <c r="X753" t="s">
        <v>4649</v>
      </c>
      <c r="Y753" t="s">
        <v>240</v>
      </c>
      <c r="Z753" t="s">
        <v>117</v>
      </c>
      <c r="AA753" t="str">
        <f>"14221-3275"</f>
        <v>14221-3275</v>
      </c>
      <c r="AB753" t="s">
        <v>634</v>
      </c>
      <c r="AC753" t="s">
        <v>119</v>
      </c>
      <c r="AD753" t="s">
        <v>113</v>
      </c>
      <c r="AE753" t="s">
        <v>120</v>
      </c>
      <c r="AG753" t="s">
        <v>121</v>
      </c>
    </row>
    <row r="754" spans="1:33" x14ac:dyDescent="0.25">
      <c r="A754" t="str">
        <f>"1386739852"</f>
        <v>1386739852</v>
      </c>
      <c r="B754" t="str">
        <f>"02838719"</f>
        <v>02838719</v>
      </c>
      <c r="C754" t="s">
        <v>4650</v>
      </c>
      <c r="D754" t="s">
        <v>4651</v>
      </c>
      <c r="E754" t="s">
        <v>4652</v>
      </c>
      <c r="G754" t="s">
        <v>4653</v>
      </c>
      <c r="H754" t="s">
        <v>4654</v>
      </c>
      <c r="J754" t="s">
        <v>4655</v>
      </c>
      <c r="L754" t="s">
        <v>112</v>
      </c>
      <c r="M754" t="s">
        <v>113</v>
      </c>
      <c r="R754" t="s">
        <v>4656</v>
      </c>
      <c r="W754" t="s">
        <v>4652</v>
      </c>
      <c r="X754" t="s">
        <v>838</v>
      </c>
      <c r="Y754" t="s">
        <v>240</v>
      </c>
      <c r="Z754" t="s">
        <v>117</v>
      </c>
      <c r="AA754" t="str">
        <f>"14221-3647"</f>
        <v>14221-3647</v>
      </c>
      <c r="AB754" t="s">
        <v>118</v>
      </c>
      <c r="AC754" t="s">
        <v>119</v>
      </c>
      <c r="AD754" t="s">
        <v>113</v>
      </c>
      <c r="AE754" t="s">
        <v>120</v>
      </c>
      <c r="AG754" t="s">
        <v>121</v>
      </c>
    </row>
    <row r="755" spans="1:33" x14ac:dyDescent="0.25">
      <c r="A755" t="str">
        <f>"1386749398"</f>
        <v>1386749398</v>
      </c>
      <c r="B755" t="str">
        <f>"01477632"</f>
        <v>01477632</v>
      </c>
      <c r="C755" t="s">
        <v>4657</v>
      </c>
      <c r="D755" t="s">
        <v>4658</v>
      </c>
      <c r="E755" t="s">
        <v>4659</v>
      </c>
      <c r="G755" t="s">
        <v>4660</v>
      </c>
      <c r="H755" t="s">
        <v>213</v>
      </c>
      <c r="J755" t="s">
        <v>4661</v>
      </c>
      <c r="L755" t="s">
        <v>150</v>
      </c>
      <c r="M755" t="s">
        <v>113</v>
      </c>
      <c r="R755" t="s">
        <v>4662</v>
      </c>
      <c r="W755" t="s">
        <v>4659</v>
      </c>
      <c r="X755" t="s">
        <v>216</v>
      </c>
      <c r="Y755" t="s">
        <v>116</v>
      </c>
      <c r="Z755" t="s">
        <v>117</v>
      </c>
      <c r="AA755" t="str">
        <f>"14222-2006"</f>
        <v>14222-2006</v>
      </c>
      <c r="AB755" t="s">
        <v>118</v>
      </c>
      <c r="AC755" t="s">
        <v>119</v>
      </c>
      <c r="AD755" t="s">
        <v>113</v>
      </c>
      <c r="AE755" t="s">
        <v>120</v>
      </c>
      <c r="AG755" t="s">
        <v>121</v>
      </c>
    </row>
    <row r="756" spans="1:33" x14ac:dyDescent="0.25">
      <c r="A756" t="str">
        <f>"1700851599"</f>
        <v>1700851599</v>
      </c>
      <c r="B756" t="str">
        <f>"01560127"</f>
        <v>01560127</v>
      </c>
      <c r="C756" t="s">
        <v>4663</v>
      </c>
      <c r="D756" t="s">
        <v>4664</v>
      </c>
      <c r="E756" t="s">
        <v>4665</v>
      </c>
      <c r="G756" t="s">
        <v>4666</v>
      </c>
      <c r="H756" t="s">
        <v>744</v>
      </c>
      <c r="J756" t="s">
        <v>4667</v>
      </c>
      <c r="L756" t="s">
        <v>150</v>
      </c>
      <c r="M756" t="s">
        <v>113</v>
      </c>
      <c r="R756" t="s">
        <v>4668</v>
      </c>
      <c r="W756" t="s">
        <v>4665</v>
      </c>
      <c r="X756" t="s">
        <v>216</v>
      </c>
      <c r="Y756" t="s">
        <v>116</v>
      </c>
      <c r="Z756" t="s">
        <v>117</v>
      </c>
      <c r="AA756" t="str">
        <f>"14222-2006"</f>
        <v>14222-2006</v>
      </c>
      <c r="AB756" t="s">
        <v>118</v>
      </c>
      <c r="AC756" t="s">
        <v>119</v>
      </c>
      <c r="AD756" t="s">
        <v>113</v>
      </c>
      <c r="AE756" t="s">
        <v>120</v>
      </c>
      <c r="AG756" t="s">
        <v>121</v>
      </c>
    </row>
    <row r="757" spans="1:33" x14ac:dyDescent="0.25">
      <c r="A757" t="str">
        <f>"1700854882"</f>
        <v>1700854882</v>
      </c>
      <c r="B757" t="str">
        <f>"02277470"</f>
        <v>02277470</v>
      </c>
      <c r="C757" t="s">
        <v>4669</v>
      </c>
      <c r="D757" t="s">
        <v>4670</v>
      </c>
      <c r="E757" t="s">
        <v>4671</v>
      </c>
      <c r="G757" t="s">
        <v>4669</v>
      </c>
      <c r="H757" t="s">
        <v>213</v>
      </c>
      <c r="J757" t="s">
        <v>4672</v>
      </c>
      <c r="L757" t="s">
        <v>112</v>
      </c>
      <c r="M757" t="s">
        <v>113</v>
      </c>
      <c r="R757" t="s">
        <v>4673</v>
      </c>
      <c r="W757" t="s">
        <v>4671</v>
      </c>
      <c r="X757" t="s">
        <v>4674</v>
      </c>
      <c r="Y757" t="s">
        <v>116</v>
      </c>
      <c r="Z757" t="s">
        <v>117</v>
      </c>
      <c r="AA757" t="str">
        <f>"14222-2006"</f>
        <v>14222-2006</v>
      </c>
      <c r="AB757" t="s">
        <v>118</v>
      </c>
      <c r="AC757" t="s">
        <v>119</v>
      </c>
      <c r="AD757" t="s">
        <v>113</v>
      </c>
      <c r="AE757" t="s">
        <v>120</v>
      </c>
      <c r="AG757" t="s">
        <v>121</v>
      </c>
    </row>
    <row r="758" spans="1:33" x14ac:dyDescent="0.25">
      <c r="A758" t="str">
        <f>"1700857687"</f>
        <v>1700857687</v>
      </c>
      <c r="B758" t="str">
        <f>"00631365"</f>
        <v>00631365</v>
      </c>
      <c r="C758" t="s">
        <v>4675</v>
      </c>
      <c r="D758" t="s">
        <v>4676</v>
      </c>
      <c r="E758" t="s">
        <v>4677</v>
      </c>
      <c r="H758" t="s">
        <v>4678</v>
      </c>
      <c r="L758" t="s">
        <v>142</v>
      </c>
      <c r="M758" t="s">
        <v>113</v>
      </c>
      <c r="R758" t="s">
        <v>4679</v>
      </c>
      <c r="W758" t="s">
        <v>4677</v>
      </c>
      <c r="X758" t="s">
        <v>4680</v>
      </c>
      <c r="Y758" t="s">
        <v>116</v>
      </c>
      <c r="Z758" t="s">
        <v>117</v>
      </c>
      <c r="AA758" t="str">
        <f>"14213-1957"</f>
        <v>14213-1957</v>
      </c>
      <c r="AB758" t="s">
        <v>4681</v>
      </c>
      <c r="AC758" t="s">
        <v>119</v>
      </c>
      <c r="AD758" t="s">
        <v>113</v>
      </c>
      <c r="AE758" t="s">
        <v>120</v>
      </c>
      <c r="AG758" t="s">
        <v>121</v>
      </c>
    </row>
    <row r="759" spans="1:33" x14ac:dyDescent="0.25">
      <c r="A759" t="str">
        <f>"1700858313"</f>
        <v>1700858313</v>
      </c>
      <c r="B759" t="str">
        <f>"01585515"</f>
        <v>01585515</v>
      </c>
      <c r="C759" t="s">
        <v>4682</v>
      </c>
      <c r="D759" t="s">
        <v>4683</v>
      </c>
      <c r="E759" t="s">
        <v>4684</v>
      </c>
      <c r="G759" t="s">
        <v>4682</v>
      </c>
      <c r="H759" t="s">
        <v>566</v>
      </c>
      <c r="J759" t="s">
        <v>4685</v>
      </c>
      <c r="L759" t="s">
        <v>150</v>
      </c>
      <c r="M759" t="s">
        <v>113</v>
      </c>
      <c r="R759" t="s">
        <v>4686</v>
      </c>
      <c r="W759" t="s">
        <v>4687</v>
      </c>
      <c r="Y759" t="s">
        <v>116</v>
      </c>
      <c r="Z759" t="s">
        <v>117</v>
      </c>
      <c r="AA759" t="str">
        <f>"14222-2099"</f>
        <v>14222-2099</v>
      </c>
      <c r="AB759" t="s">
        <v>118</v>
      </c>
      <c r="AC759" t="s">
        <v>119</v>
      </c>
      <c r="AD759" t="s">
        <v>113</v>
      </c>
      <c r="AE759" t="s">
        <v>120</v>
      </c>
      <c r="AG759" t="s">
        <v>121</v>
      </c>
    </row>
    <row r="760" spans="1:33" x14ac:dyDescent="0.25">
      <c r="A760" t="str">
        <f>"1972695534"</f>
        <v>1972695534</v>
      </c>
      <c r="B760" t="str">
        <f>"02346945"</f>
        <v>02346945</v>
      </c>
      <c r="C760" t="s">
        <v>4688</v>
      </c>
      <c r="D760" t="s">
        <v>4689</v>
      </c>
      <c r="E760" t="s">
        <v>4690</v>
      </c>
      <c r="G760" t="s">
        <v>4691</v>
      </c>
      <c r="H760" t="s">
        <v>4692</v>
      </c>
      <c r="J760" t="s">
        <v>4693</v>
      </c>
      <c r="L760" t="s">
        <v>142</v>
      </c>
      <c r="M760" t="s">
        <v>113</v>
      </c>
      <c r="R760" t="s">
        <v>4694</v>
      </c>
      <c r="W760" t="s">
        <v>4690</v>
      </c>
      <c r="X760" t="s">
        <v>4690</v>
      </c>
      <c r="Y760" t="s">
        <v>4695</v>
      </c>
      <c r="Z760" t="s">
        <v>117</v>
      </c>
      <c r="AA760" t="str">
        <f>"14105-1027"</f>
        <v>14105-1027</v>
      </c>
      <c r="AB760" t="s">
        <v>118</v>
      </c>
      <c r="AC760" t="s">
        <v>119</v>
      </c>
      <c r="AD760" t="s">
        <v>113</v>
      </c>
      <c r="AE760" t="s">
        <v>120</v>
      </c>
      <c r="AG760" t="s">
        <v>121</v>
      </c>
    </row>
    <row r="761" spans="1:33" x14ac:dyDescent="0.25">
      <c r="A761" t="str">
        <f>"1972705077"</f>
        <v>1972705077</v>
      </c>
      <c r="B761" t="str">
        <f>"03353986"</f>
        <v>03353986</v>
      </c>
      <c r="C761" t="s">
        <v>4696</v>
      </c>
      <c r="D761" t="s">
        <v>4697</v>
      </c>
      <c r="E761" t="s">
        <v>4698</v>
      </c>
      <c r="G761" t="s">
        <v>4696</v>
      </c>
      <c r="H761" t="s">
        <v>4699</v>
      </c>
      <c r="J761" t="s">
        <v>4700</v>
      </c>
      <c r="L761" t="s">
        <v>142</v>
      </c>
      <c r="M761" t="s">
        <v>113</v>
      </c>
      <c r="R761" t="s">
        <v>4701</v>
      </c>
      <c r="W761" t="s">
        <v>4698</v>
      </c>
      <c r="X761" t="s">
        <v>4702</v>
      </c>
      <c r="Y761" t="s">
        <v>4703</v>
      </c>
      <c r="Z761" t="s">
        <v>117</v>
      </c>
      <c r="AA761" t="str">
        <f>"14221-7800"</f>
        <v>14221-7800</v>
      </c>
      <c r="AB761" t="s">
        <v>118</v>
      </c>
      <c r="AC761" t="s">
        <v>119</v>
      </c>
      <c r="AD761" t="s">
        <v>113</v>
      </c>
      <c r="AE761" t="s">
        <v>120</v>
      </c>
      <c r="AG761" t="s">
        <v>121</v>
      </c>
    </row>
    <row r="762" spans="1:33" x14ac:dyDescent="0.25">
      <c r="A762" t="str">
        <f>"1972705408"</f>
        <v>1972705408</v>
      </c>
      <c r="B762" t="str">
        <f>"03781977"</f>
        <v>03781977</v>
      </c>
      <c r="C762" t="s">
        <v>4704</v>
      </c>
      <c r="D762" t="s">
        <v>4705</v>
      </c>
      <c r="E762" t="s">
        <v>4706</v>
      </c>
      <c r="G762" t="s">
        <v>4704</v>
      </c>
      <c r="H762" t="s">
        <v>236</v>
      </c>
      <c r="J762" t="s">
        <v>4707</v>
      </c>
      <c r="L762" t="s">
        <v>142</v>
      </c>
      <c r="M762" t="s">
        <v>113</v>
      </c>
      <c r="R762" t="s">
        <v>4706</v>
      </c>
      <c r="W762" t="s">
        <v>4706</v>
      </c>
      <c r="X762" t="s">
        <v>4708</v>
      </c>
      <c r="Y762" t="s">
        <v>240</v>
      </c>
      <c r="Z762" t="s">
        <v>117</v>
      </c>
      <c r="AA762" t="str">
        <f>"14221-5270"</f>
        <v>14221-5270</v>
      </c>
      <c r="AB762" t="s">
        <v>118</v>
      </c>
      <c r="AC762" t="s">
        <v>119</v>
      </c>
      <c r="AD762" t="s">
        <v>113</v>
      </c>
      <c r="AE762" t="s">
        <v>120</v>
      </c>
      <c r="AG762" t="s">
        <v>121</v>
      </c>
    </row>
    <row r="763" spans="1:33" x14ac:dyDescent="0.25">
      <c r="A763" t="str">
        <f>"1972705978"</f>
        <v>1972705978</v>
      </c>
      <c r="B763" t="str">
        <f>"02440242"</f>
        <v>02440242</v>
      </c>
      <c r="C763" t="s">
        <v>4709</v>
      </c>
      <c r="D763" t="s">
        <v>4710</v>
      </c>
      <c r="E763" t="s">
        <v>4711</v>
      </c>
      <c r="G763" t="s">
        <v>4709</v>
      </c>
      <c r="H763" t="s">
        <v>579</v>
      </c>
      <c r="J763" t="s">
        <v>4712</v>
      </c>
      <c r="L763" t="s">
        <v>112</v>
      </c>
      <c r="M763" t="s">
        <v>113</v>
      </c>
      <c r="R763" t="s">
        <v>4713</v>
      </c>
      <c r="W763" t="s">
        <v>4711</v>
      </c>
      <c r="X763" t="s">
        <v>4714</v>
      </c>
      <c r="Y763" t="s">
        <v>116</v>
      </c>
      <c r="Z763" t="s">
        <v>117</v>
      </c>
      <c r="AA763" t="str">
        <f>"14215-3021"</f>
        <v>14215-3021</v>
      </c>
      <c r="AB763" t="s">
        <v>118</v>
      </c>
      <c r="AC763" t="s">
        <v>119</v>
      </c>
      <c r="AD763" t="s">
        <v>113</v>
      </c>
      <c r="AE763" t="s">
        <v>120</v>
      </c>
      <c r="AG763" t="s">
        <v>121</v>
      </c>
    </row>
    <row r="764" spans="1:33" x14ac:dyDescent="0.25">
      <c r="A764" t="str">
        <f>"1972723526"</f>
        <v>1972723526</v>
      </c>
      <c r="C764" t="s">
        <v>4715</v>
      </c>
      <c r="G764" t="s">
        <v>4715</v>
      </c>
      <c r="H764" t="s">
        <v>937</v>
      </c>
      <c r="J764" t="s">
        <v>4716</v>
      </c>
      <c r="K764" t="s">
        <v>303</v>
      </c>
      <c r="L764" t="s">
        <v>229</v>
      </c>
      <c r="M764" t="s">
        <v>113</v>
      </c>
      <c r="R764" t="s">
        <v>4717</v>
      </c>
      <c r="S764" t="s">
        <v>3739</v>
      </c>
      <c r="T764" t="s">
        <v>240</v>
      </c>
      <c r="U764" t="s">
        <v>117</v>
      </c>
      <c r="V764" t="str">
        <f>"142216728"</f>
        <v>142216728</v>
      </c>
      <c r="AC764" t="s">
        <v>119</v>
      </c>
      <c r="AD764" t="s">
        <v>113</v>
      </c>
      <c r="AE764" t="s">
        <v>306</v>
      </c>
      <c r="AG764" t="s">
        <v>121</v>
      </c>
    </row>
    <row r="765" spans="1:33" x14ac:dyDescent="0.25">
      <c r="A765" t="str">
        <f>"1972768042"</f>
        <v>1972768042</v>
      </c>
      <c r="B765" t="str">
        <f>"03353519"</f>
        <v>03353519</v>
      </c>
      <c r="C765" t="s">
        <v>4718</v>
      </c>
      <c r="D765" t="s">
        <v>4719</v>
      </c>
      <c r="E765" t="s">
        <v>4720</v>
      </c>
      <c r="G765" t="s">
        <v>4718</v>
      </c>
      <c r="H765" t="s">
        <v>4721</v>
      </c>
      <c r="J765" t="s">
        <v>4722</v>
      </c>
      <c r="L765" t="s">
        <v>142</v>
      </c>
      <c r="M765" t="s">
        <v>113</v>
      </c>
      <c r="R765" t="s">
        <v>4723</v>
      </c>
      <c r="W765" t="s">
        <v>4724</v>
      </c>
      <c r="X765" t="s">
        <v>176</v>
      </c>
      <c r="Y765" t="s">
        <v>116</v>
      </c>
      <c r="Z765" t="s">
        <v>117</v>
      </c>
      <c r="AA765" t="str">
        <f>"14203-1126"</f>
        <v>14203-1126</v>
      </c>
      <c r="AB765" t="s">
        <v>118</v>
      </c>
      <c r="AC765" t="s">
        <v>119</v>
      </c>
      <c r="AD765" t="s">
        <v>113</v>
      </c>
      <c r="AE765" t="s">
        <v>120</v>
      </c>
      <c r="AG765" t="s">
        <v>121</v>
      </c>
    </row>
    <row r="766" spans="1:33" x14ac:dyDescent="0.25">
      <c r="A766" t="str">
        <f>"1972769248"</f>
        <v>1972769248</v>
      </c>
      <c r="B766" t="str">
        <f>"03179875"</f>
        <v>03179875</v>
      </c>
      <c r="C766" t="s">
        <v>4725</v>
      </c>
      <c r="D766" t="s">
        <v>4726</v>
      </c>
      <c r="E766" t="s">
        <v>4727</v>
      </c>
      <c r="G766" t="s">
        <v>859</v>
      </c>
      <c r="H766" t="s">
        <v>4728</v>
      </c>
      <c r="J766" t="s">
        <v>861</v>
      </c>
      <c r="L766" t="s">
        <v>112</v>
      </c>
      <c r="M766" t="s">
        <v>113</v>
      </c>
      <c r="R766" t="s">
        <v>4729</v>
      </c>
      <c r="W766" t="s">
        <v>4727</v>
      </c>
      <c r="X766" t="s">
        <v>216</v>
      </c>
      <c r="Y766" t="s">
        <v>116</v>
      </c>
      <c r="Z766" t="s">
        <v>117</v>
      </c>
      <c r="AA766" t="str">
        <f>"14222-2006"</f>
        <v>14222-2006</v>
      </c>
      <c r="AB766" t="s">
        <v>118</v>
      </c>
      <c r="AC766" t="s">
        <v>119</v>
      </c>
      <c r="AD766" t="s">
        <v>113</v>
      </c>
      <c r="AE766" t="s">
        <v>120</v>
      </c>
      <c r="AG766" t="s">
        <v>121</v>
      </c>
    </row>
    <row r="767" spans="1:33" x14ac:dyDescent="0.25">
      <c r="A767" t="str">
        <f>"1972772838"</f>
        <v>1972772838</v>
      </c>
      <c r="B767" t="str">
        <f>"00481021"</f>
        <v>00481021</v>
      </c>
      <c r="C767" t="s">
        <v>4730</v>
      </c>
      <c r="D767" t="s">
        <v>4731</v>
      </c>
      <c r="E767" t="s">
        <v>4732</v>
      </c>
      <c r="G767" t="s">
        <v>4733</v>
      </c>
      <c r="H767" t="s">
        <v>4734</v>
      </c>
      <c r="J767" t="s">
        <v>4735</v>
      </c>
      <c r="L767" t="s">
        <v>112</v>
      </c>
      <c r="M767" t="s">
        <v>113</v>
      </c>
      <c r="R767" t="s">
        <v>4736</v>
      </c>
      <c r="W767" t="s">
        <v>4732</v>
      </c>
      <c r="X767" t="s">
        <v>4737</v>
      </c>
      <c r="Y767" t="s">
        <v>240</v>
      </c>
      <c r="Z767" t="s">
        <v>117</v>
      </c>
      <c r="AA767" t="str">
        <f>"14221-8208"</f>
        <v>14221-8208</v>
      </c>
      <c r="AB767" t="s">
        <v>118</v>
      </c>
      <c r="AC767" t="s">
        <v>119</v>
      </c>
      <c r="AD767" t="s">
        <v>113</v>
      </c>
      <c r="AE767" t="s">
        <v>120</v>
      </c>
      <c r="AG767" t="s">
        <v>121</v>
      </c>
    </row>
    <row r="768" spans="1:33" x14ac:dyDescent="0.25">
      <c r="A768" t="str">
        <f>"1538188560"</f>
        <v>1538188560</v>
      </c>
      <c r="B768" t="str">
        <f>"00626077"</f>
        <v>00626077</v>
      </c>
      <c r="C768" t="s">
        <v>4738</v>
      </c>
      <c r="D768" t="s">
        <v>4739</v>
      </c>
      <c r="E768" t="s">
        <v>4740</v>
      </c>
      <c r="G768" t="s">
        <v>4738</v>
      </c>
      <c r="H768" t="s">
        <v>4741</v>
      </c>
      <c r="J768" t="s">
        <v>4742</v>
      </c>
      <c r="L768" t="s">
        <v>150</v>
      </c>
      <c r="M768" t="s">
        <v>113</v>
      </c>
      <c r="R768" t="s">
        <v>4743</v>
      </c>
      <c r="W768" t="s">
        <v>4740</v>
      </c>
      <c r="X768" t="s">
        <v>4744</v>
      </c>
      <c r="Y768" t="s">
        <v>2946</v>
      </c>
      <c r="Z768" t="s">
        <v>117</v>
      </c>
      <c r="AA768" t="str">
        <f>"14075-2404"</f>
        <v>14075-2404</v>
      </c>
      <c r="AB768" t="s">
        <v>118</v>
      </c>
      <c r="AC768" t="s">
        <v>119</v>
      </c>
      <c r="AD768" t="s">
        <v>113</v>
      </c>
      <c r="AE768" t="s">
        <v>120</v>
      </c>
      <c r="AG768" t="s">
        <v>121</v>
      </c>
    </row>
    <row r="769" spans="1:33" x14ac:dyDescent="0.25">
      <c r="A769" t="str">
        <f>"1538204748"</f>
        <v>1538204748</v>
      </c>
      <c r="B769" t="str">
        <f>"03361539"</f>
        <v>03361539</v>
      </c>
      <c r="C769" t="s">
        <v>4745</v>
      </c>
      <c r="D769" t="s">
        <v>4746</v>
      </c>
      <c r="E769" t="s">
        <v>4747</v>
      </c>
      <c r="G769" t="s">
        <v>4745</v>
      </c>
      <c r="H769" t="s">
        <v>4748</v>
      </c>
      <c r="J769" t="s">
        <v>4749</v>
      </c>
      <c r="L769" t="s">
        <v>142</v>
      </c>
      <c r="M769" t="s">
        <v>113</v>
      </c>
      <c r="R769" t="s">
        <v>4750</v>
      </c>
      <c r="W769" t="s">
        <v>4747</v>
      </c>
      <c r="X769" t="s">
        <v>216</v>
      </c>
      <c r="Y769" t="s">
        <v>116</v>
      </c>
      <c r="Z769" t="s">
        <v>117</v>
      </c>
      <c r="AA769" t="str">
        <f>"14222-2006"</f>
        <v>14222-2006</v>
      </c>
      <c r="AB769" t="s">
        <v>118</v>
      </c>
      <c r="AC769" t="s">
        <v>119</v>
      </c>
      <c r="AD769" t="s">
        <v>113</v>
      </c>
      <c r="AE769" t="s">
        <v>120</v>
      </c>
      <c r="AG769" t="s">
        <v>121</v>
      </c>
    </row>
    <row r="770" spans="1:33" x14ac:dyDescent="0.25">
      <c r="A770" t="str">
        <f>"1538223110"</f>
        <v>1538223110</v>
      </c>
      <c r="B770" t="str">
        <f>"03004877"</f>
        <v>03004877</v>
      </c>
      <c r="C770" t="s">
        <v>4751</v>
      </c>
      <c r="D770" t="s">
        <v>4752</v>
      </c>
      <c r="E770" t="s">
        <v>4753</v>
      </c>
      <c r="F770">
        <v>160968914</v>
      </c>
      <c r="G770" t="s">
        <v>4754</v>
      </c>
      <c r="H770" t="s">
        <v>983</v>
      </c>
      <c r="J770" t="s">
        <v>4755</v>
      </c>
      <c r="L770" t="s">
        <v>4756</v>
      </c>
      <c r="M770" t="s">
        <v>199</v>
      </c>
      <c r="R770" t="s">
        <v>4757</v>
      </c>
      <c r="W770" t="s">
        <v>4753</v>
      </c>
      <c r="X770" t="s">
        <v>4758</v>
      </c>
      <c r="Y770" t="s">
        <v>986</v>
      </c>
      <c r="Z770" t="s">
        <v>117</v>
      </c>
      <c r="AA770" t="str">
        <f>"14701-2828"</f>
        <v>14701-2828</v>
      </c>
      <c r="AB770" t="s">
        <v>1460</v>
      </c>
      <c r="AC770" t="s">
        <v>119</v>
      </c>
      <c r="AD770" t="s">
        <v>113</v>
      </c>
      <c r="AE770" t="s">
        <v>120</v>
      </c>
      <c r="AG770" t="s">
        <v>121</v>
      </c>
    </row>
    <row r="771" spans="1:33" x14ac:dyDescent="0.25">
      <c r="A771" t="str">
        <f>"1538225636"</f>
        <v>1538225636</v>
      </c>
      <c r="B771" t="str">
        <f>"00631003"</f>
        <v>00631003</v>
      </c>
      <c r="C771" t="s">
        <v>4759</v>
      </c>
      <c r="D771" t="s">
        <v>4760</v>
      </c>
      <c r="E771" t="s">
        <v>4761</v>
      </c>
      <c r="G771" t="s">
        <v>4759</v>
      </c>
      <c r="H771" t="s">
        <v>4762</v>
      </c>
      <c r="J771" t="s">
        <v>4763</v>
      </c>
      <c r="L771" t="s">
        <v>142</v>
      </c>
      <c r="M771" t="s">
        <v>113</v>
      </c>
      <c r="R771" t="s">
        <v>4764</v>
      </c>
      <c r="W771" t="s">
        <v>4761</v>
      </c>
      <c r="X771" t="s">
        <v>4765</v>
      </c>
      <c r="Y771" t="s">
        <v>116</v>
      </c>
      <c r="Z771" t="s">
        <v>117</v>
      </c>
      <c r="AA771" t="str">
        <f>"14209-1802"</f>
        <v>14209-1802</v>
      </c>
      <c r="AB771" t="s">
        <v>118</v>
      </c>
      <c r="AC771" t="s">
        <v>119</v>
      </c>
      <c r="AD771" t="s">
        <v>113</v>
      </c>
      <c r="AE771" t="s">
        <v>120</v>
      </c>
      <c r="AG771" t="s">
        <v>121</v>
      </c>
    </row>
    <row r="772" spans="1:33" x14ac:dyDescent="0.25">
      <c r="A772" t="str">
        <f>"1538234661"</f>
        <v>1538234661</v>
      </c>
      <c r="B772" t="str">
        <f>"00815581"</f>
        <v>00815581</v>
      </c>
      <c r="C772" t="s">
        <v>4766</v>
      </c>
      <c r="D772" t="s">
        <v>4767</v>
      </c>
      <c r="E772" t="s">
        <v>4768</v>
      </c>
      <c r="G772" t="s">
        <v>4766</v>
      </c>
      <c r="H772" t="s">
        <v>250</v>
      </c>
      <c r="J772" t="s">
        <v>4769</v>
      </c>
      <c r="L772" t="s">
        <v>142</v>
      </c>
      <c r="M772" t="s">
        <v>113</v>
      </c>
      <c r="R772" t="s">
        <v>4770</v>
      </c>
      <c r="W772" t="s">
        <v>4768</v>
      </c>
      <c r="X772" t="s">
        <v>4771</v>
      </c>
      <c r="Y772" t="s">
        <v>116</v>
      </c>
      <c r="Z772" t="s">
        <v>117</v>
      </c>
      <c r="AA772" t="str">
        <f>"14203-1126"</f>
        <v>14203-1126</v>
      </c>
      <c r="AB772" t="s">
        <v>118</v>
      </c>
      <c r="AC772" t="s">
        <v>119</v>
      </c>
      <c r="AD772" t="s">
        <v>113</v>
      </c>
      <c r="AE772" t="s">
        <v>120</v>
      </c>
      <c r="AG772" t="s">
        <v>121</v>
      </c>
    </row>
    <row r="773" spans="1:33" x14ac:dyDescent="0.25">
      <c r="A773" t="str">
        <f>"1538235882"</f>
        <v>1538235882</v>
      </c>
      <c r="C773" t="s">
        <v>4772</v>
      </c>
      <c r="G773" t="s">
        <v>4772</v>
      </c>
      <c r="H773" t="s">
        <v>590</v>
      </c>
      <c r="J773" t="s">
        <v>4773</v>
      </c>
      <c r="K773" t="s">
        <v>303</v>
      </c>
      <c r="L773" t="s">
        <v>229</v>
      </c>
      <c r="M773" t="s">
        <v>113</v>
      </c>
      <c r="R773" t="s">
        <v>4774</v>
      </c>
      <c r="S773" t="s">
        <v>4775</v>
      </c>
      <c r="T773" t="s">
        <v>116</v>
      </c>
      <c r="U773" t="s">
        <v>117</v>
      </c>
      <c r="V773" t="str">
        <f>"142090424"</f>
        <v>142090424</v>
      </c>
      <c r="AC773" t="s">
        <v>119</v>
      </c>
      <c r="AD773" t="s">
        <v>113</v>
      </c>
      <c r="AE773" t="s">
        <v>306</v>
      </c>
      <c r="AG773" t="s">
        <v>121</v>
      </c>
    </row>
    <row r="774" spans="1:33" x14ac:dyDescent="0.25">
      <c r="A774" t="str">
        <f>"1538244033"</f>
        <v>1538244033</v>
      </c>
      <c r="B774" t="str">
        <f>"02430711"</f>
        <v>02430711</v>
      </c>
      <c r="C774" t="s">
        <v>4776</v>
      </c>
      <c r="D774" t="s">
        <v>4777</v>
      </c>
      <c r="E774" t="s">
        <v>4778</v>
      </c>
      <c r="G774" t="s">
        <v>4776</v>
      </c>
      <c r="H774" t="s">
        <v>213</v>
      </c>
      <c r="J774" t="s">
        <v>4779</v>
      </c>
      <c r="L774" t="s">
        <v>728</v>
      </c>
      <c r="M774" t="s">
        <v>113</v>
      </c>
      <c r="R774" t="s">
        <v>4780</v>
      </c>
      <c r="W774" t="s">
        <v>4778</v>
      </c>
      <c r="X774" t="s">
        <v>216</v>
      </c>
      <c r="Y774" t="s">
        <v>116</v>
      </c>
      <c r="Z774" t="s">
        <v>117</v>
      </c>
      <c r="AA774" t="str">
        <f>"14222-2006"</f>
        <v>14222-2006</v>
      </c>
      <c r="AB774" t="s">
        <v>118</v>
      </c>
      <c r="AC774" t="s">
        <v>119</v>
      </c>
      <c r="AD774" t="s">
        <v>113</v>
      </c>
      <c r="AE774" t="s">
        <v>120</v>
      </c>
      <c r="AG774" t="s">
        <v>121</v>
      </c>
    </row>
    <row r="775" spans="1:33" x14ac:dyDescent="0.25">
      <c r="A775" t="str">
        <f>"1538257001"</f>
        <v>1538257001</v>
      </c>
      <c r="B775" t="str">
        <f>"02330156"</f>
        <v>02330156</v>
      </c>
      <c r="C775" t="s">
        <v>4781</v>
      </c>
      <c r="D775" t="s">
        <v>4782</v>
      </c>
      <c r="E775" t="s">
        <v>4783</v>
      </c>
      <c r="G775" t="s">
        <v>4784</v>
      </c>
      <c r="H775" t="s">
        <v>4785</v>
      </c>
      <c r="J775" t="s">
        <v>4786</v>
      </c>
      <c r="L775" t="s">
        <v>112</v>
      </c>
      <c r="M775" t="s">
        <v>113</v>
      </c>
      <c r="R775" t="s">
        <v>4787</v>
      </c>
      <c r="W775" t="s">
        <v>4788</v>
      </c>
      <c r="X775" t="s">
        <v>4789</v>
      </c>
      <c r="Y775" t="s">
        <v>153</v>
      </c>
      <c r="Z775" t="s">
        <v>117</v>
      </c>
      <c r="AA775" t="str">
        <f>"14301-1014"</f>
        <v>14301-1014</v>
      </c>
      <c r="AB775" t="s">
        <v>634</v>
      </c>
      <c r="AC775" t="s">
        <v>119</v>
      </c>
      <c r="AD775" t="s">
        <v>113</v>
      </c>
      <c r="AE775" t="s">
        <v>120</v>
      </c>
      <c r="AG775" t="s">
        <v>121</v>
      </c>
    </row>
    <row r="776" spans="1:33" x14ac:dyDescent="0.25">
      <c r="A776" t="str">
        <f>"1538257423"</f>
        <v>1538257423</v>
      </c>
      <c r="B776" t="str">
        <f>"02344585"</f>
        <v>02344585</v>
      </c>
      <c r="C776" t="s">
        <v>4790</v>
      </c>
      <c r="D776" t="s">
        <v>4791</v>
      </c>
      <c r="E776" t="s">
        <v>4792</v>
      </c>
      <c r="G776" t="s">
        <v>4793</v>
      </c>
      <c r="H776" t="s">
        <v>4794</v>
      </c>
      <c r="J776" t="s">
        <v>4795</v>
      </c>
      <c r="L776" t="s">
        <v>112</v>
      </c>
      <c r="M776" t="s">
        <v>113</v>
      </c>
      <c r="R776" t="s">
        <v>4796</v>
      </c>
      <c r="W776" t="s">
        <v>4792</v>
      </c>
      <c r="X776" t="s">
        <v>709</v>
      </c>
      <c r="Y776" t="s">
        <v>116</v>
      </c>
      <c r="Z776" t="s">
        <v>117</v>
      </c>
      <c r="AA776" t="str">
        <f>"14263-0001"</f>
        <v>14263-0001</v>
      </c>
      <c r="AB776" t="s">
        <v>118</v>
      </c>
      <c r="AC776" t="s">
        <v>119</v>
      </c>
      <c r="AD776" t="s">
        <v>113</v>
      </c>
      <c r="AE776" t="s">
        <v>120</v>
      </c>
      <c r="AG776" t="s">
        <v>121</v>
      </c>
    </row>
    <row r="777" spans="1:33" x14ac:dyDescent="0.25">
      <c r="A777" t="str">
        <f>"1538305826"</f>
        <v>1538305826</v>
      </c>
      <c r="B777" t="str">
        <f>"03065730"</f>
        <v>03065730</v>
      </c>
      <c r="C777" t="s">
        <v>4797</v>
      </c>
      <c r="D777" t="s">
        <v>4798</v>
      </c>
      <c r="E777" t="s">
        <v>4799</v>
      </c>
      <c r="G777" t="s">
        <v>4797</v>
      </c>
      <c r="H777" t="s">
        <v>806</v>
      </c>
      <c r="J777" t="s">
        <v>4800</v>
      </c>
      <c r="L777" t="s">
        <v>142</v>
      </c>
      <c r="M777" t="s">
        <v>113</v>
      </c>
      <c r="R777" t="s">
        <v>4801</v>
      </c>
      <c r="W777" t="s">
        <v>4802</v>
      </c>
      <c r="X777" t="s">
        <v>3705</v>
      </c>
      <c r="Y777" t="s">
        <v>116</v>
      </c>
      <c r="Z777" t="s">
        <v>117</v>
      </c>
      <c r="AA777" t="str">
        <f>"14226-1727"</f>
        <v>14226-1727</v>
      </c>
      <c r="AB777" t="s">
        <v>118</v>
      </c>
      <c r="AC777" t="s">
        <v>119</v>
      </c>
      <c r="AD777" t="s">
        <v>113</v>
      </c>
      <c r="AE777" t="s">
        <v>120</v>
      </c>
      <c r="AG777" t="s">
        <v>121</v>
      </c>
    </row>
    <row r="778" spans="1:33" x14ac:dyDescent="0.25">
      <c r="A778" t="str">
        <f>"1538335195"</f>
        <v>1538335195</v>
      </c>
      <c r="B778" t="str">
        <f>"03180572"</f>
        <v>03180572</v>
      </c>
      <c r="C778" t="s">
        <v>4803</v>
      </c>
      <c r="D778" t="s">
        <v>4804</v>
      </c>
      <c r="E778" t="s">
        <v>4805</v>
      </c>
      <c r="G778" t="s">
        <v>4806</v>
      </c>
      <c r="H778" t="s">
        <v>4807</v>
      </c>
      <c r="J778" t="s">
        <v>4808</v>
      </c>
      <c r="L778" t="s">
        <v>112</v>
      </c>
      <c r="M778" t="s">
        <v>113</v>
      </c>
      <c r="R778" t="s">
        <v>4805</v>
      </c>
      <c r="W778" t="s">
        <v>4809</v>
      </c>
      <c r="X778" t="s">
        <v>136</v>
      </c>
      <c r="Y778" t="s">
        <v>116</v>
      </c>
      <c r="Z778" t="s">
        <v>117</v>
      </c>
      <c r="AA778" t="str">
        <f>"14209-1120"</f>
        <v>14209-1120</v>
      </c>
      <c r="AB778" t="s">
        <v>118</v>
      </c>
      <c r="AC778" t="s">
        <v>119</v>
      </c>
      <c r="AD778" t="s">
        <v>113</v>
      </c>
      <c r="AE778" t="s">
        <v>120</v>
      </c>
      <c r="AG778" t="s">
        <v>121</v>
      </c>
    </row>
    <row r="779" spans="1:33" x14ac:dyDescent="0.25">
      <c r="A779" t="str">
        <f>"1538351986"</f>
        <v>1538351986</v>
      </c>
      <c r="B779" t="str">
        <f>"03240324"</f>
        <v>03240324</v>
      </c>
      <c r="C779" t="s">
        <v>4810</v>
      </c>
      <c r="D779" t="s">
        <v>4811</v>
      </c>
      <c r="E779" t="s">
        <v>4812</v>
      </c>
      <c r="G779" t="s">
        <v>4812</v>
      </c>
      <c r="H779" t="s">
        <v>4813</v>
      </c>
      <c r="L779" t="s">
        <v>112</v>
      </c>
      <c r="M779" t="s">
        <v>113</v>
      </c>
      <c r="R779" t="s">
        <v>4812</v>
      </c>
      <c r="W779" t="s">
        <v>4812</v>
      </c>
      <c r="X779" t="s">
        <v>152</v>
      </c>
      <c r="Y779" t="s">
        <v>153</v>
      </c>
      <c r="Z779" t="s">
        <v>117</v>
      </c>
      <c r="AA779" t="str">
        <f>"14301-1813"</f>
        <v>14301-1813</v>
      </c>
      <c r="AB779" t="s">
        <v>118</v>
      </c>
      <c r="AC779" t="s">
        <v>119</v>
      </c>
      <c r="AD779" t="s">
        <v>113</v>
      </c>
      <c r="AE779" t="s">
        <v>120</v>
      </c>
      <c r="AG779" t="s">
        <v>121</v>
      </c>
    </row>
    <row r="780" spans="1:33" x14ac:dyDescent="0.25">
      <c r="A780" t="str">
        <f>"1538365432"</f>
        <v>1538365432</v>
      </c>
      <c r="B780" t="str">
        <f>"02902207"</f>
        <v>02902207</v>
      </c>
      <c r="C780" t="s">
        <v>4814</v>
      </c>
      <c r="D780" t="s">
        <v>4815</v>
      </c>
      <c r="E780" t="s">
        <v>4816</v>
      </c>
      <c r="G780" t="s">
        <v>4817</v>
      </c>
      <c r="H780" t="s">
        <v>4818</v>
      </c>
      <c r="J780" t="s">
        <v>4819</v>
      </c>
      <c r="L780" t="s">
        <v>112</v>
      </c>
      <c r="M780" t="s">
        <v>113</v>
      </c>
      <c r="R780" t="s">
        <v>4820</v>
      </c>
      <c r="W780" t="s">
        <v>4820</v>
      </c>
      <c r="X780" t="s">
        <v>4821</v>
      </c>
      <c r="Y780" t="s">
        <v>116</v>
      </c>
      <c r="Z780" t="s">
        <v>117</v>
      </c>
      <c r="AA780" t="str">
        <f>"14203-1126"</f>
        <v>14203-1126</v>
      </c>
      <c r="AB780" t="s">
        <v>118</v>
      </c>
      <c r="AC780" t="s">
        <v>119</v>
      </c>
      <c r="AD780" t="s">
        <v>113</v>
      </c>
      <c r="AE780" t="s">
        <v>120</v>
      </c>
      <c r="AG780" t="s">
        <v>121</v>
      </c>
    </row>
    <row r="781" spans="1:33" x14ac:dyDescent="0.25">
      <c r="A781" t="str">
        <f>"1538366257"</f>
        <v>1538366257</v>
      </c>
      <c r="B781" t="str">
        <f>"02979500"</f>
        <v>02979500</v>
      </c>
      <c r="C781" t="s">
        <v>4822</v>
      </c>
      <c r="D781" t="s">
        <v>4823</v>
      </c>
      <c r="E781" t="s">
        <v>4824</v>
      </c>
      <c r="G781" t="s">
        <v>4825</v>
      </c>
      <c r="H781" t="s">
        <v>250</v>
      </c>
      <c r="J781" t="s">
        <v>4826</v>
      </c>
      <c r="L781" t="s">
        <v>112</v>
      </c>
      <c r="M781" t="s">
        <v>113</v>
      </c>
      <c r="R781" t="s">
        <v>4824</v>
      </c>
      <c r="W781" t="s">
        <v>4827</v>
      </c>
      <c r="X781" t="s">
        <v>4607</v>
      </c>
      <c r="Y781" t="s">
        <v>116</v>
      </c>
      <c r="Z781" t="s">
        <v>117</v>
      </c>
      <c r="AA781" t="str">
        <f>"14215-1145"</f>
        <v>14215-1145</v>
      </c>
      <c r="AB781" t="s">
        <v>118</v>
      </c>
      <c r="AC781" t="s">
        <v>119</v>
      </c>
      <c r="AD781" t="s">
        <v>113</v>
      </c>
      <c r="AE781" t="s">
        <v>120</v>
      </c>
      <c r="AG781" t="s">
        <v>121</v>
      </c>
    </row>
    <row r="782" spans="1:33" x14ac:dyDescent="0.25">
      <c r="A782" t="str">
        <f>"1538377437"</f>
        <v>1538377437</v>
      </c>
      <c r="B782" t="str">
        <f>"02898039"</f>
        <v>02898039</v>
      </c>
      <c r="C782" t="s">
        <v>4828</v>
      </c>
      <c r="D782" t="s">
        <v>4829</v>
      </c>
      <c r="E782" t="s">
        <v>4830</v>
      </c>
      <c r="G782" t="s">
        <v>4828</v>
      </c>
      <c r="H782" t="s">
        <v>693</v>
      </c>
      <c r="J782" t="s">
        <v>4831</v>
      </c>
      <c r="L782" t="s">
        <v>142</v>
      </c>
      <c r="M782" t="s">
        <v>113</v>
      </c>
      <c r="R782" t="s">
        <v>4832</v>
      </c>
      <c r="W782" t="s">
        <v>4830</v>
      </c>
      <c r="X782" t="s">
        <v>778</v>
      </c>
      <c r="Y782" t="s">
        <v>240</v>
      </c>
      <c r="Z782" t="s">
        <v>117</v>
      </c>
      <c r="AA782" t="str">
        <f>"14221-8214"</f>
        <v>14221-8214</v>
      </c>
      <c r="AB782" t="s">
        <v>118</v>
      </c>
      <c r="AC782" t="s">
        <v>119</v>
      </c>
      <c r="AD782" t="s">
        <v>113</v>
      </c>
      <c r="AE782" t="s">
        <v>120</v>
      </c>
      <c r="AG782" t="s">
        <v>121</v>
      </c>
    </row>
    <row r="783" spans="1:33" x14ac:dyDescent="0.25">
      <c r="A783" t="str">
        <f>"1538445069"</f>
        <v>1538445069</v>
      </c>
      <c r="B783" t="str">
        <f>"03418013"</f>
        <v>03418013</v>
      </c>
      <c r="C783" t="s">
        <v>4833</v>
      </c>
      <c r="D783" t="s">
        <v>4834</v>
      </c>
      <c r="E783" t="s">
        <v>4835</v>
      </c>
      <c r="G783" t="s">
        <v>4836</v>
      </c>
      <c r="H783" t="s">
        <v>4837</v>
      </c>
      <c r="L783" t="s">
        <v>142</v>
      </c>
      <c r="M783" t="s">
        <v>113</v>
      </c>
      <c r="R783" t="s">
        <v>4836</v>
      </c>
      <c r="W783" t="s">
        <v>4835</v>
      </c>
      <c r="X783" t="s">
        <v>4838</v>
      </c>
      <c r="Y783" t="s">
        <v>4839</v>
      </c>
      <c r="Z783" t="s">
        <v>117</v>
      </c>
      <c r="AA783" t="str">
        <f>"14111-9510"</f>
        <v>14111-9510</v>
      </c>
      <c r="AB783" t="s">
        <v>118</v>
      </c>
      <c r="AC783" t="s">
        <v>119</v>
      </c>
      <c r="AD783" t="s">
        <v>113</v>
      </c>
      <c r="AE783" t="s">
        <v>120</v>
      </c>
      <c r="AG783" t="s">
        <v>121</v>
      </c>
    </row>
    <row r="784" spans="1:33" x14ac:dyDescent="0.25">
      <c r="A784" t="str">
        <f>"1538454194"</f>
        <v>1538454194</v>
      </c>
      <c r="B784" t="str">
        <f>"04042595"</f>
        <v>04042595</v>
      </c>
      <c r="C784" t="s">
        <v>4840</v>
      </c>
      <c r="D784" t="s">
        <v>4841</v>
      </c>
      <c r="E784" t="s">
        <v>4842</v>
      </c>
      <c r="G784" t="s">
        <v>4840</v>
      </c>
      <c r="H784" t="s">
        <v>590</v>
      </c>
      <c r="J784" t="s">
        <v>4843</v>
      </c>
      <c r="L784" t="s">
        <v>112</v>
      </c>
      <c r="M784" t="s">
        <v>113</v>
      </c>
      <c r="R784" t="s">
        <v>4844</v>
      </c>
      <c r="W784" t="s">
        <v>4842</v>
      </c>
      <c r="X784" t="s">
        <v>605</v>
      </c>
      <c r="Y784" t="s">
        <v>326</v>
      </c>
      <c r="Z784" t="s">
        <v>117</v>
      </c>
      <c r="AA784" t="str">
        <f>"14127-2600"</f>
        <v>14127-2600</v>
      </c>
      <c r="AB784" t="s">
        <v>621</v>
      </c>
      <c r="AC784" t="s">
        <v>119</v>
      </c>
      <c r="AD784" t="s">
        <v>113</v>
      </c>
      <c r="AE784" t="s">
        <v>120</v>
      </c>
      <c r="AG784" t="s">
        <v>121</v>
      </c>
    </row>
    <row r="785" spans="1:33" x14ac:dyDescent="0.25">
      <c r="A785" t="str">
        <f>"1538467246"</f>
        <v>1538467246</v>
      </c>
      <c r="C785" t="s">
        <v>4845</v>
      </c>
      <c r="G785" t="s">
        <v>4846</v>
      </c>
      <c r="H785" t="s">
        <v>4847</v>
      </c>
      <c r="J785" t="s">
        <v>4848</v>
      </c>
      <c r="K785" t="s">
        <v>303</v>
      </c>
      <c r="L785" t="s">
        <v>112</v>
      </c>
      <c r="M785" t="s">
        <v>113</v>
      </c>
      <c r="R785" t="s">
        <v>4849</v>
      </c>
      <c r="S785" t="s">
        <v>4850</v>
      </c>
      <c r="T785" t="s">
        <v>240</v>
      </c>
      <c r="U785" t="s">
        <v>117</v>
      </c>
      <c r="V785" t="str">
        <f>"14221"</f>
        <v>14221</v>
      </c>
      <c r="AC785" t="s">
        <v>119</v>
      </c>
      <c r="AD785" t="s">
        <v>113</v>
      </c>
      <c r="AE785" t="s">
        <v>306</v>
      </c>
      <c r="AG785" t="s">
        <v>121</v>
      </c>
    </row>
    <row r="786" spans="1:33" x14ac:dyDescent="0.25">
      <c r="A786" t="str">
        <f>"1538486576"</f>
        <v>1538486576</v>
      </c>
      <c r="B786" t="str">
        <f>"03616355"</f>
        <v>03616355</v>
      </c>
      <c r="C786" t="s">
        <v>4851</v>
      </c>
      <c r="D786" t="s">
        <v>4852</v>
      </c>
      <c r="E786" t="s">
        <v>4853</v>
      </c>
      <c r="G786" t="s">
        <v>4851</v>
      </c>
      <c r="H786" t="s">
        <v>205</v>
      </c>
      <c r="J786" t="s">
        <v>4854</v>
      </c>
      <c r="L786" t="s">
        <v>150</v>
      </c>
      <c r="M786" t="s">
        <v>113</v>
      </c>
      <c r="R786" t="s">
        <v>4855</v>
      </c>
      <c r="W786" t="s">
        <v>4853</v>
      </c>
      <c r="X786" t="s">
        <v>4856</v>
      </c>
      <c r="Y786" t="s">
        <v>326</v>
      </c>
      <c r="Z786" t="s">
        <v>117</v>
      </c>
      <c r="AA786" t="str">
        <f>"14127-1506"</f>
        <v>14127-1506</v>
      </c>
      <c r="AB786" t="s">
        <v>118</v>
      </c>
      <c r="AC786" t="s">
        <v>119</v>
      </c>
      <c r="AD786" t="s">
        <v>113</v>
      </c>
      <c r="AE786" t="s">
        <v>120</v>
      </c>
      <c r="AG786" t="s">
        <v>121</v>
      </c>
    </row>
    <row r="787" spans="1:33" x14ac:dyDescent="0.25">
      <c r="A787" t="str">
        <f>"1841450137"</f>
        <v>1841450137</v>
      </c>
      <c r="B787" t="str">
        <f>"03573984"</f>
        <v>03573984</v>
      </c>
      <c r="C787" t="s">
        <v>4857</v>
      </c>
      <c r="D787" t="s">
        <v>4858</v>
      </c>
      <c r="E787" t="s">
        <v>4859</v>
      </c>
      <c r="G787" t="s">
        <v>4857</v>
      </c>
      <c r="H787" t="s">
        <v>4860</v>
      </c>
      <c r="J787" t="s">
        <v>4861</v>
      </c>
      <c r="L787" t="s">
        <v>112</v>
      </c>
      <c r="M787" t="s">
        <v>113</v>
      </c>
      <c r="R787" t="s">
        <v>4862</v>
      </c>
      <c r="W787" t="s">
        <v>4859</v>
      </c>
      <c r="X787" t="s">
        <v>1497</v>
      </c>
      <c r="Y787" t="s">
        <v>129</v>
      </c>
      <c r="Z787" t="s">
        <v>117</v>
      </c>
      <c r="AA787" t="str">
        <f>"14224-3400"</f>
        <v>14224-3400</v>
      </c>
      <c r="AB787" t="s">
        <v>118</v>
      </c>
      <c r="AC787" t="s">
        <v>119</v>
      </c>
      <c r="AD787" t="s">
        <v>113</v>
      </c>
      <c r="AE787" t="s">
        <v>120</v>
      </c>
      <c r="AG787" t="s">
        <v>121</v>
      </c>
    </row>
    <row r="788" spans="1:33" x14ac:dyDescent="0.25">
      <c r="A788" t="str">
        <f>"1841463460"</f>
        <v>1841463460</v>
      </c>
      <c r="B788" t="str">
        <f>"01099590"</f>
        <v>01099590</v>
      </c>
      <c r="C788" t="s">
        <v>710</v>
      </c>
      <c r="D788" t="s">
        <v>4863</v>
      </c>
      <c r="E788" t="s">
        <v>4864</v>
      </c>
      <c r="F788">
        <v>161291766</v>
      </c>
      <c r="G788" t="s">
        <v>710</v>
      </c>
      <c r="H788" t="s">
        <v>713</v>
      </c>
      <c r="L788" t="s">
        <v>1714</v>
      </c>
      <c r="M788" t="s">
        <v>199</v>
      </c>
      <c r="R788" t="s">
        <v>710</v>
      </c>
      <c r="W788" t="s">
        <v>4864</v>
      </c>
      <c r="X788" t="s">
        <v>4865</v>
      </c>
      <c r="Y788" t="s">
        <v>4866</v>
      </c>
      <c r="Z788" t="s">
        <v>117</v>
      </c>
      <c r="AA788" t="str">
        <f>"14706-9733"</f>
        <v>14706-9733</v>
      </c>
      <c r="AB788" t="s">
        <v>1146</v>
      </c>
      <c r="AC788" t="s">
        <v>119</v>
      </c>
      <c r="AD788" t="s">
        <v>113</v>
      </c>
      <c r="AE788" t="s">
        <v>120</v>
      </c>
      <c r="AG788" t="s">
        <v>121</v>
      </c>
    </row>
    <row r="789" spans="1:33" x14ac:dyDescent="0.25">
      <c r="A789" t="str">
        <f>"1841467552"</f>
        <v>1841467552</v>
      </c>
      <c r="B789" t="str">
        <f>"03014064"</f>
        <v>03014064</v>
      </c>
      <c r="C789" t="s">
        <v>4867</v>
      </c>
      <c r="D789" t="s">
        <v>4868</v>
      </c>
      <c r="E789" t="s">
        <v>4869</v>
      </c>
      <c r="G789" t="s">
        <v>4870</v>
      </c>
      <c r="H789" t="s">
        <v>4871</v>
      </c>
      <c r="J789" t="s">
        <v>4872</v>
      </c>
      <c r="L789" t="s">
        <v>112</v>
      </c>
      <c r="M789" t="s">
        <v>113</v>
      </c>
      <c r="R789" t="s">
        <v>4873</v>
      </c>
      <c r="W789" t="s">
        <v>4869</v>
      </c>
      <c r="X789" t="s">
        <v>4478</v>
      </c>
      <c r="Y789" t="s">
        <v>116</v>
      </c>
      <c r="Z789" t="s">
        <v>117</v>
      </c>
      <c r="AA789" t="str">
        <f>"14222-1836"</f>
        <v>14222-1836</v>
      </c>
      <c r="AB789" t="s">
        <v>634</v>
      </c>
      <c r="AC789" t="s">
        <v>119</v>
      </c>
      <c r="AD789" t="s">
        <v>113</v>
      </c>
      <c r="AE789" t="s">
        <v>120</v>
      </c>
      <c r="AG789" t="s">
        <v>121</v>
      </c>
    </row>
    <row r="790" spans="1:33" x14ac:dyDescent="0.25">
      <c r="A790" t="str">
        <f>"1841504313"</f>
        <v>1841504313</v>
      </c>
      <c r="B790" t="str">
        <f>"03304652"</f>
        <v>03304652</v>
      </c>
      <c r="C790" t="s">
        <v>4874</v>
      </c>
      <c r="D790" t="s">
        <v>4875</v>
      </c>
      <c r="E790" t="s">
        <v>4876</v>
      </c>
      <c r="G790" t="s">
        <v>4877</v>
      </c>
      <c r="H790" t="s">
        <v>2044</v>
      </c>
      <c r="I790">
        <v>6</v>
      </c>
      <c r="J790" t="s">
        <v>2045</v>
      </c>
      <c r="L790" t="s">
        <v>142</v>
      </c>
      <c r="M790" t="s">
        <v>113</v>
      </c>
      <c r="R790" t="s">
        <v>4878</v>
      </c>
      <c r="W790" t="s">
        <v>4876</v>
      </c>
      <c r="X790" t="s">
        <v>3361</v>
      </c>
      <c r="Y790" t="s">
        <v>3362</v>
      </c>
      <c r="Z790" t="s">
        <v>117</v>
      </c>
      <c r="AA790" t="str">
        <f>"14136-1338"</f>
        <v>14136-1338</v>
      </c>
      <c r="AB790" t="s">
        <v>118</v>
      </c>
      <c r="AC790" t="s">
        <v>119</v>
      </c>
      <c r="AD790" t="s">
        <v>113</v>
      </c>
      <c r="AE790" t="s">
        <v>120</v>
      </c>
      <c r="AG790" t="s">
        <v>121</v>
      </c>
    </row>
    <row r="791" spans="1:33" x14ac:dyDescent="0.25">
      <c r="A791" t="str">
        <f>"1841506268"</f>
        <v>1841506268</v>
      </c>
      <c r="C791" t="s">
        <v>4879</v>
      </c>
      <c r="G791" t="s">
        <v>4880</v>
      </c>
      <c r="H791" t="s">
        <v>4881</v>
      </c>
      <c r="J791" t="s">
        <v>352</v>
      </c>
      <c r="K791" t="s">
        <v>303</v>
      </c>
      <c r="L791" t="s">
        <v>229</v>
      </c>
      <c r="M791" t="s">
        <v>113</v>
      </c>
      <c r="R791" t="s">
        <v>4882</v>
      </c>
      <c r="S791" t="s">
        <v>4883</v>
      </c>
      <c r="T791" t="s">
        <v>318</v>
      </c>
      <c r="U791" t="s">
        <v>117</v>
      </c>
      <c r="V791" t="str">
        <f>"142272275"</f>
        <v>142272275</v>
      </c>
      <c r="AC791" t="s">
        <v>119</v>
      </c>
      <c r="AD791" t="s">
        <v>113</v>
      </c>
      <c r="AE791" t="s">
        <v>306</v>
      </c>
      <c r="AG791" t="s">
        <v>121</v>
      </c>
    </row>
    <row r="792" spans="1:33" x14ac:dyDescent="0.25">
      <c r="A792" t="str">
        <f>"1841539145"</f>
        <v>1841539145</v>
      </c>
      <c r="C792" t="s">
        <v>4884</v>
      </c>
      <c r="G792" t="s">
        <v>4885</v>
      </c>
      <c r="H792" t="s">
        <v>471</v>
      </c>
      <c r="J792" t="s">
        <v>4886</v>
      </c>
      <c r="K792" t="s">
        <v>303</v>
      </c>
      <c r="L792" t="s">
        <v>112</v>
      </c>
      <c r="M792" t="s">
        <v>113</v>
      </c>
      <c r="R792" t="s">
        <v>4887</v>
      </c>
      <c r="S792" t="s">
        <v>474</v>
      </c>
      <c r="T792" t="s">
        <v>116</v>
      </c>
      <c r="U792" t="s">
        <v>117</v>
      </c>
      <c r="V792" t="str">
        <f>"142141316"</f>
        <v>142141316</v>
      </c>
      <c r="AC792" t="s">
        <v>119</v>
      </c>
      <c r="AD792" t="s">
        <v>113</v>
      </c>
      <c r="AE792" t="s">
        <v>306</v>
      </c>
      <c r="AG792" t="s">
        <v>121</v>
      </c>
    </row>
    <row r="793" spans="1:33" x14ac:dyDescent="0.25">
      <c r="A793" t="str">
        <f>"1841560596"</f>
        <v>1841560596</v>
      </c>
      <c r="B793" t="str">
        <f>"03483745"</f>
        <v>03483745</v>
      </c>
      <c r="C793" t="s">
        <v>4888</v>
      </c>
      <c r="D793" t="s">
        <v>4889</v>
      </c>
      <c r="E793" t="s">
        <v>4890</v>
      </c>
      <c r="G793" t="s">
        <v>4891</v>
      </c>
      <c r="H793" t="s">
        <v>4892</v>
      </c>
      <c r="J793" t="s">
        <v>4893</v>
      </c>
      <c r="L793" t="s">
        <v>112</v>
      </c>
      <c r="M793" t="s">
        <v>113</v>
      </c>
      <c r="R793" t="s">
        <v>4890</v>
      </c>
      <c r="W793" t="s">
        <v>4890</v>
      </c>
      <c r="X793" t="s">
        <v>1851</v>
      </c>
      <c r="Y793" t="s">
        <v>958</v>
      </c>
      <c r="Z793" t="s">
        <v>117</v>
      </c>
      <c r="AA793" t="str">
        <f>"14226-1726"</f>
        <v>14226-1726</v>
      </c>
      <c r="AB793" t="s">
        <v>118</v>
      </c>
      <c r="AC793" t="s">
        <v>119</v>
      </c>
      <c r="AD793" t="s">
        <v>113</v>
      </c>
      <c r="AE793" t="s">
        <v>120</v>
      </c>
      <c r="AG793" t="s">
        <v>121</v>
      </c>
    </row>
    <row r="794" spans="1:33" x14ac:dyDescent="0.25">
      <c r="A794" t="str">
        <f>"1841573136"</f>
        <v>1841573136</v>
      </c>
      <c r="C794" t="s">
        <v>4894</v>
      </c>
      <c r="G794" t="s">
        <v>4895</v>
      </c>
      <c r="H794" t="s">
        <v>590</v>
      </c>
      <c r="J794" t="s">
        <v>4896</v>
      </c>
      <c r="K794" t="s">
        <v>303</v>
      </c>
      <c r="L794" t="s">
        <v>112</v>
      </c>
      <c r="M794" t="s">
        <v>113</v>
      </c>
      <c r="R794" t="s">
        <v>4897</v>
      </c>
      <c r="S794" t="s">
        <v>846</v>
      </c>
      <c r="T794" t="s">
        <v>847</v>
      </c>
      <c r="U794" t="s">
        <v>117</v>
      </c>
      <c r="V794" t="str">
        <f>"145691326"</f>
        <v>145691326</v>
      </c>
      <c r="AC794" t="s">
        <v>119</v>
      </c>
      <c r="AD794" t="s">
        <v>113</v>
      </c>
      <c r="AE794" t="s">
        <v>306</v>
      </c>
      <c r="AG794" t="s">
        <v>121</v>
      </c>
    </row>
    <row r="795" spans="1:33" x14ac:dyDescent="0.25">
      <c r="A795" t="str">
        <f>"1841576295"</f>
        <v>1841576295</v>
      </c>
      <c r="C795" t="s">
        <v>4898</v>
      </c>
      <c r="G795" t="s">
        <v>4899</v>
      </c>
      <c r="H795" t="s">
        <v>351</v>
      </c>
      <c r="K795" t="s">
        <v>303</v>
      </c>
      <c r="L795" t="s">
        <v>229</v>
      </c>
      <c r="M795" t="s">
        <v>113</v>
      </c>
      <c r="R795" t="s">
        <v>4900</v>
      </c>
      <c r="S795" t="s">
        <v>354</v>
      </c>
      <c r="T795" t="s">
        <v>116</v>
      </c>
      <c r="U795" t="s">
        <v>117</v>
      </c>
      <c r="V795" t="str">
        <f>"142152814"</f>
        <v>142152814</v>
      </c>
      <c r="AC795" t="s">
        <v>119</v>
      </c>
      <c r="AD795" t="s">
        <v>113</v>
      </c>
      <c r="AE795" t="s">
        <v>306</v>
      </c>
      <c r="AG795" t="s">
        <v>121</v>
      </c>
    </row>
    <row r="796" spans="1:33" x14ac:dyDescent="0.25">
      <c r="A796" t="str">
        <f>"1841594678"</f>
        <v>1841594678</v>
      </c>
      <c r="C796" t="s">
        <v>4901</v>
      </c>
      <c r="G796" t="s">
        <v>4901</v>
      </c>
      <c r="H796" t="s">
        <v>4902</v>
      </c>
      <c r="J796" t="s">
        <v>4903</v>
      </c>
      <c r="K796" t="s">
        <v>303</v>
      </c>
      <c r="L796" t="s">
        <v>229</v>
      </c>
      <c r="M796" t="s">
        <v>113</v>
      </c>
      <c r="R796" t="s">
        <v>4904</v>
      </c>
      <c r="S796" t="s">
        <v>1709</v>
      </c>
      <c r="T796" t="s">
        <v>116</v>
      </c>
      <c r="U796" t="s">
        <v>117</v>
      </c>
      <c r="V796" t="str">
        <f>"142131207"</f>
        <v>142131207</v>
      </c>
      <c r="AC796" t="s">
        <v>119</v>
      </c>
      <c r="AD796" t="s">
        <v>113</v>
      </c>
      <c r="AE796" t="s">
        <v>306</v>
      </c>
      <c r="AG796" t="s">
        <v>121</v>
      </c>
    </row>
    <row r="797" spans="1:33" x14ac:dyDescent="0.25">
      <c r="A797" t="str">
        <f>"1841631736"</f>
        <v>1841631736</v>
      </c>
      <c r="B797" t="str">
        <f>"03635825"</f>
        <v>03635825</v>
      </c>
      <c r="C797" t="s">
        <v>4905</v>
      </c>
      <c r="D797" t="s">
        <v>4906</v>
      </c>
      <c r="E797" t="s">
        <v>4907</v>
      </c>
      <c r="L797" t="s">
        <v>142</v>
      </c>
      <c r="M797" t="s">
        <v>113</v>
      </c>
      <c r="R797" t="s">
        <v>4905</v>
      </c>
      <c r="W797" t="s">
        <v>4907</v>
      </c>
      <c r="X797" t="s">
        <v>4908</v>
      </c>
      <c r="Y797" t="s">
        <v>305</v>
      </c>
      <c r="Z797" t="s">
        <v>117</v>
      </c>
      <c r="AA797" t="str">
        <f>"14760-2736"</f>
        <v>14760-2736</v>
      </c>
      <c r="AB797" t="s">
        <v>118</v>
      </c>
      <c r="AC797" t="s">
        <v>119</v>
      </c>
      <c r="AD797" t="s">
        <v>113</v>
      </c>
      <c r="AE797" t="s">
        <v>120</v>
      </c>
      <c r="AG797" t="s">
        <v>121</v>
      </c>
    </row>
    <row r="798" spans="1:33" x14ac:dyDescent="0.25">
      <c r="A798" t="str">
        <f>"1841634029"</f>
        <v>1841634029</v>
      </c>
      <c r="B798" t="str">
        <f>"03585417"</f>
        <v>03585417</v>
      </c>
      <c r="C798" t="s">
        <v>4909</v>
      </c>
      <c r="D798" t="s">
        <v>4910</v>
      </c>
      <c r="E798" t="s">
        <v>4911</v>
      </c>
      <c r="G798" t="s">
        <v>4909</v>
      </c>
      <c r="H798" t="s">
        <v>4912</v>
      </c>
      <c r="J798" t="s">
        <v>4913</v>
      </c>
      <c r="L798" t="s">
        <v>142</v>
      </c>
      <c r="M798" t="s">
        <v>113</v>
      </c>
      <c r="R798" t="s">
        <v>4914</v>
      </c>
      <c r="W798" t="s">
        <v>4911</v>
      </c>
      <c r="X798" t="s">
        <v>838</v>
      </c>
      <c r="Y798" t="s">
        <v>240</v>
      </c>
      <c r="Z798" t="s">
        <v>117</v>
      </c>
      <c r="AA798" t="str">
        <f>"14221-3647"</f>
        <v>14221-3647</v>
      </c>
      <c r="AB798" t="s">
        <v>118</v>
      </c>
      <c r="AC798" t="s">
        <v>119</v>
      </c>
      <c r="AD798" t="s">
        <v>113</v>
      </c>
      <c r="AE798" t="s">
        <v>120</v>
      </c>
      <c r="AG798" t="s">
        <v>121</v>
      </c>
    </row>
    <row r="799" spans="1:33" x14ac:dyDescent="0.25">
      <c r="A799" t="str">
        <f>"1851330013"</f>
        <v>1851330013</v>
      </c>
      <c r="B799" t="str">
        <f>"01679890"</f>
        <v>01679890</v>
      </c>
      <c r="C799" t="s">
        <v>4915</v>
      </c>
      <c r="D799" t="s">
        <v>4916</v>
      </c>
      <c r="E799" t="s">
        <v>4917</v>
      </c>
      <c r="G799" t="s">
        <v>4915</v>
      </c>
      <c r="H799" t="s">
        <v>579</v>
      </c>
      <c r="J799" t="s">
        <v>4918</v>
      </c>
      <c r="L799" t="s">
        <v>142</v>
      </c>
      <c r="M799" t="s">
        <v>113</v>
      </c>
      <c r="R799" t="s">
        <v>4919</v>
      </c>
      <c r="W799" t="s">
        <v>4917</v>
      </c>
      <c r="X799" t="s">
        <v>4920</v>
      </c>
      <c r="Y799" t="s">
        <v>240</v>
      </c>
      <c r="Z799" t="s">
        <v>117</v>
      </c>
      <c r="AA799" t="str">
        <f>"14221-2644"</f>
        <v>14221-2644</v>
      </c>
      <c r="AB799" t="s">
        <v>118</v>
      </c>
      <c r="AC799" t="s">
        <v>119</v>
      </c>
      <c r="AD799" t="s">
        <v>113</v>
      </c>
      <c r="AE799" t="s">
        <v>120</v>
      </c>
      <c r="AG799" t="s">
        <v>121</v>
      </c>
    </row>
    <row r="800" spans="1:33" x14ac:dyDescent="0.25">
      <c r="A800" t="str">
        <f>"1851333892"</f>
        <v>1851333892</v>
      </c>
      <c r="B800" t="str">
        <f>"00607974"</f>
        <v>00607974</v>
      </c>
      <c r="C800" t="s">
        <v>4921</v>
      </c>
      <c r="D800" t="s">
        <v>4922</v>
      </c>
      <c r="E800" t="s">
        <v>4923</v>
      </c>
      <c r="G800" t="s">
        <v>4921</v>
      </c>
      <c r="H800" t="s">
        <v>4924</v>
      </c>
      <c r="J800" t="s">
        <v>4925</v>
      </c>
      <c r="L800" t="s">
        <v>112</v>
      </c>
      <c r="M800" t="s">
        <v>113</v>
      </c>
      <c r="R800" t="s">
        <v>4926</v>
      </c>
      <c r="W800" t="s">
        <v>4927</v>
      </c>
      <c r="X800" t="s">
        <v>4928</v>
      </c>
      <c r="Y800" t="s">
        <v>240</v>
      </c>
      <c r="Z800" t="s">
        <v>117</v>
      </c>
      <c r="AA800" t="str">
        <f>"14221-5258"</f>
        <v>14221-5258</v>
      </c>
      <c r="AB800" t="s">
        <v>118</v>
      </c>
      <c r="AC800" t="s">
        <v>119</v>
      </c>
      <c r="AD800" t="s">
        <v>113</v>
      </c>
      <c r="AE800" t="s">
        <v>120</v>
      </c>
      <c r="AG800" t="s">
        <v>121</v>
      </c>
    </row>
    <row r="801" spans="1:33" x14ac:dyDescent="0.25">
      <c r="A801" t="str">
        <f>"1851351746"</f>
        <v>1851351746</v>
      </c>
      <c r="B801" t="str">
        <f>"01771993"</f>
        <v>01771993</v>
      </c>
      <c r="C801" t="s">
        <v>4929</v>
      </c>
      <c r="D801" t="s">
        <v>4930</v>
      </c>
      <c r="E801" t="s">
        <v>4931</v>
      </c>
      <c r="G801" t="s">
        <v>4929</v>
      </c>
      <c r="H801" t="s">
        <v>4932</v>
      </c>
      <c r="J801" t="s">
        <v>4933</v>
      </c>
      <c r="L801" t="s">
        <v>142</v>
      </c>
      <c r="M801" t="s">
        <v>113</v>
      </c>
      <c r="R801" t="s">
        <v>4934</v>
      </c>
      <c r="W801" t="s">
        <v>4931</v>
      </c>
      <c r="X801" t="s">
        <v>4935</v>
      </c>
      <c r="Y801" t="s">
        <v>116</v>
      </c>
      <c r="Z801" t="s">
        <v>117</v>
      </c>
      <c r="AA801" t="str">
        <f>"14203-1126"</f>
        <v>14203-1126</v>
      </c>
      <c r="AB801" t="s">
        <v>118</v>
      </c>
      <c r="AC801" t="s">
        <v>119</v>
      </c>
      <c r="AD801" t="s">
        <v>113</v>
      </c>
      <c r="AE801" t="s">
        <v>120</v>
      </c>
      <c r="AG801" t="s">
        <v>121</v>
      </c>
    </row>
    <row r="802" spans="1:33" x14ac:dyDescent="0.25">
      <c r="A802" t="str">
        <f>"1851355747"</f>
        <v>1851355747</v>
      </c>
      <c r="B802" t="str">
        <f>"01790981"</f>
        <v>01790981</v>
      </c>
      <c r="C802" t="s">
        <v>4936</v>
      </c>
      <c r="D802" t="s">
        <v>4937</v>
      </c>
      <c r="E802" t="s">
        <v>4938</v>
      </c>
      <c r="G802" t="s">
        <v>4939</v>
      </c>
      <c r="H802" t="s">
        <v>4940</v>
      </c>
      <c r="J802" t="s">
        <v>4941</v>
      </c>
      <c r="L802" t="s">
        <v>150</v>
      </c>
      <c r="M802" t="s">
        <v>113</v>
      </c>
      <c r="R802" t="s">
        <v>4942</v>
      </c>
      <c r="W802" t="s">
        <v>4943</v>
      </c>
      <c r="X802" t="s">
        <v>4944</v>
      </c>
      <c r="Y802" t="s">
        <v>663</v>
      </c>
      <c r="Z802" t="s">
        <v>117</v>
      </c>
      <c r="AA802" t="str">
        <f>"14094-5226"</f>
        <v>14094-5226</v>
      </c>
      <c r="AB802" t="s">
        <v>118</v>
      </c>
      <c r="AC802" t="s">
        <v>119</v>
      </c>
      <c r="AD802" t="s">
        <v>113</v>
      </c>
      <c r="AE802" t="s">
        <v>120</v>
      </c>
      <c r="AG802" t="s">
        <v>121</v>
      </c>
    </row>
    <row r="803" spans="1:33" x14ac:dyDescent="0.25">
      <c r="A803" t="str">
        <f>"1851366496"</f>
        <v>1851366496</v>
      </c>
      <c r="B803" t="str">
        <f>"01167106"</f>
        <v>01167106</v>
      </c>
      <c r="C803" t="s">
        <v>4945</v>
      </c>
      <c r="D803" t="s">
        <v>4946</v>
      </c>
      <c r="E803" t="s">
        <v>4947</v>
      </c>
      <c r="G803" t="s">
        <v>4948</v>
      </c>
      <c r="H803" t="s">
        <v>4949</v>
      </c>
      <c r="J803" t="s">
        <v>4950</v>
      </c>
      <c r="L803" t="s">
        <v>142</v>
      </c>
      <c r="M803" t="s">
        <v>113</v>
      </c>
      <c r="R803" t="s">
        <v>4951</v>
      </c>
      <c r="W803" t="s">
        <v>4947</v>
      </c>
      <c r="X803" t="s">
        <v>253</v>
      </c>
      <c r="Y803" t="s">
        <v>116</v>
      </c>
      <c r="Z803" t="s">
        <v>117</v>
      </c>
      <c r="AA803" t="str">
        <f>"14215-3021"</f>
        <v>14215-3021</v>
      </c>
      <c r="AB803" t="s">
        <v>118</v>
      </c>
      <c r="AC803" t="s">
        <v>119</v>
      </c>
      <c r="AD803" t="s">
        <v>113</v>
      </c>
      <c r="AE803" t="s">
        <v>120</v>
      </c>
      <c r="AG803" t="s">
        <v>121</v>
      </c>
    </row>
    <row r="804" spans="1:33" x14ac:dyDescent="0.25">
      <c r="A804" t="str">
        <f>"1851369029"</f>
        <v>1851369029</v>
      </c>
      <c r="B804" t="str">
        <f>"01242740"</f>
        <v>01242740</v>
      </c>
      <c r="C804" t="s">
        <v>4952</v>
      </c>
      <c r="D804" t="s">
        <v>4953</v>
      </c>
      <c r="E804" t="s">
        <v>4954</v>
      </c>
      <c r="G804" t="s">
        <v>4952</v>
      </c>
      <c r="H804" t="s">
        <v>4955</v>
      </c>
      <c r="J804" t="s">
        <v>4956</v>
      </c>
      <c r="L804" t="s">
        <v>142</v>
      </c>
      <c r="M804" t="s">
        <v>113</v>
      </c>
      <c r="R804" t="s">
        <v>4957</v>
      </c>
      <c r="W804" t="s">
        <v>4954</v>
      </c>
      <c r="X804" t="s">
        <v>4004</v>
      </c>
      <c r="Y804" t="s">
        <v>116</v>
      </c>
      <c r="Z804" t="s">
        <v>117</v>
      </c>
      <c r="AA804" t="str">
        <f>"14263-0001"</f>
        <v>14263-0001</v>
      </c>
      <c r="AB804" t="s">
        <v>118</v>
      </c>
      <c r="AC804" t="s">
        <v>119</v>
      </c>
      <c r="AD804" t="s">
        <v>113</v>
      </c>
      <c r="AE804" t="s">
        <v>120</v>
      </c>
      <c r="AG804" t="s">
        <v>121</v>
      </c>
    </row>
    <row r="805" spans="1:33" x14ac:dyDescent="0.25">
      <c r="A805" t="str">
        <f>"1851387419"</f>
        <v>1851387419</v>
      </c>
      <c r="B805" t="str">
        <f>"01380703"</f>
        <v>01380703</v>
      </c>
      <c r="C805" t="s">
        <v>4958</v>
      </c>
      <c r="D805" t="s">
        <v>4959</v>
      </c>
      <c r="E805" t="s">
        <v>4960</v>
      </c>
      <c r="G805" t="s">
        <v>4958</v>
      </c>
      <c r="H805" t="s">
        <v>322</v>
      </c>
      <c r="J805" t="s">
        <v>4961</v>
      </c>
      <c r="L805" t="s">
        <v>142</v>
      </c>
      <c r="M805" t="s">
        <v>113</v>
      </c>
      <c r="R805" t="s">
        <v>4962</v>
      </c>
      <c r="W805" t="s">
        <v>4960</v>
      </c>
      <c r="X805" t="s">
        <v>1304</v>
      </c>
      <c r="Y805" t="s">
        <v>116</v>
      </c>
      <c r="Z805" t="s">
        <v>117</v>
      </c>
      <c r="AA805" t="str">
        <f>"14220-2039"</f>
        <v>14220-2039</v>
      </c>
      <c r="AB805" t="s">
        <v>118</v>
      </c>
      <c r="AC805" t="s">
        <v>119</v>
      </c>
      <c r="AD805" t="s">
        <v>113</v>
      </c>
      <c r="AE805" t="s">
        <v>120</v>
      </c>
      <c r="AG805" t="s">
        <v>121</v>
      </c>
    </row>
    <row r="806" spans="1:33" x14ac:dyDescent="0.25">
      <c r="A806" t="str">
        <f>"1568865533"</f>
        <v>1568865533</v>
      </c>
      <c r="C806" t="s">
        <v>4963</v>
      </c>
      <c r="G806" t="s">
        <v>4964</v>
      </c>
      <c r="H806" t="s">
        <v>1115</v>
      </c>
      <c r="J806" t="s">
        <v>438</v>
      </c>
      <c r="K806" t="s">
        <v>303</v>
      </c>
      <c r="L806" t="s">
        <v>229</v>
      </c>
      <c r="M806" t="s">
        <v>113</v>
      </c>
      <c r="R806" t="s">
        <v>4965</v>
      </c>
      <c r="S806" t="s">
        <v>1117</v>
      </c>
      <c r="T806" t="s">
        <v>318</v>
      </c>
      <c r="U806" t="s">
        <v>117</v>
      </c>
      <c r="V806" t="str">
        <f>"142254965"</f>
        <v>142254965</v>
      </c>
      <c r="AC806" t="s">
        <v>119</v>
      </c>
      <c r="AD806" t="s">
        <v>113</v>
      </c>
      <c r="AE806" t="s">
        <v>306</v>
      </c>
      <c r="AG806" t="s">
        <v>121</v>
      </c>
    </row>
    <row r="807" spans="1:33" x14ac:dyDescent="0.25">
      <c r="A807" t="str">
        <f>"1568881787"</f>
        <v>1568881787</v>
      </c>
      <c r="C807" t="s">
        <v>4966</v>
      </c>
      <c r="G807" t="s">
        <v>4967</v>
      </c>
      <c r="K807" t="s">
        <v>303</v>
      </c>
      <c r="L807" t="s">
        <v>229</v>
      </c>
      <c r="M807" t="s">
        <v>113</v>
      </c>
      <c r="R807" t="s">
        <v>4968</v>
      </c>
      <c r="S807" t="s">
        <v>354</v>
      </c>
      <c r="T807" t="s">
        <v>116</v>
      </c>
      <c r="U807" t="s">
        <v>117</v>
      </c>
      <c r="V807" t="str">
        <f>"142152814"</f>
        <v>142152814</v>
      </c>
      <c r="AC807" t="s">
        <v>119</v>
      </c>
      <c r="AD807" t="s">
        <v>113</v>
      </c>
      <c r="AE807" t="s">
        <v>306</v>
      </c>
      <c r="AG807" t="s">
        <v>121</v>
      </c>
    </row>
    <row r="808" spans="1:33" x14ac:dyDescent="0.25">
      <c r="A808" t="str">
        <f>"1568890655"</f>
        <v>1568890655</v>
      </c>
      <c r="B808" t="str">
        <f>"03713499"</f>
        <v>03713499</v>
      </c>
      <c r="C808" t="s">
        <v>4969</v>
      </c>
      <c r="D808" t="s">
        <v>4970</v>
      </c>
      <c r="E808" t="s">
        <v>4971</v>
      </c>
      <c r="G808" t="s">
        <v>4972</v>
      </c>
      <c r="H808" t="s">
        <v>590</v>
      </c>
      <c r="J808" t="s">
        <v>4973</v>
      </c>
      <c r="L808" t="s">
        <v>112</v>
      </c>
      <c r="M808" t="s">
        <v>113</v>
      </c>
      <c r="R808" t="s">
        <v>4974</v>
      </c>
      <c r="W808" t="s">
        <v>4971</v>
      </c>
      <c r="X808" t="s">
        <v>3004</v>
      </c>
      <c r="Y808" t="s">
        <v>116</v>
      </c>
      <c r="Z808" t="s">
        <v>117</v>
      </c>
      <c r="AA808" t="str">
        <f>"14209-2111"</f>
        <v>14209-2111</v>
      </c>
      <c r="AB808" t="s">
        <v>528</v>
      </c>
      <c r="AC808" t="s">
        <v>119</v>
      </c>
      <c r="AD808" t="s">
        <v>113</v>
      </c>
      <c r="AE808" t="s">
        <v>120</v>
      </c>
      <c r="AG808" t="s">
        <v>121</v>
      </c>
    </row>
    <row r="809" spans="1:33" x14ac:dyDescent="0.25">
      <c r="A809" t="str">
        <f>"1477887560"</f>
        <v>1477887560</v>
      </c>
      <c r="B809" t="str">
        <f>"03154056"</f>
        <v>03154056</v>
      </c>
      <c r="C809" t="s">
        <v>4975</v>
      </c>
      <c r="D809" t="s">
        <v>4976</v>
      </c>
      <c r="E809" t="s">
        <v>4977</v>
      </c>
      <c r="G809" t="s">
        <v>4978</v>
      </c>
      <c r="H809" t="s">
        <v>4979</v>
      </c>
      <c r="L809" t="s">
        <v>150</v>
      </c>
      <c r="M809" t="s">
        <v>113</v>
      </c>
      <c r="R809" t="s">
        <v>4978</v>
      </c>
      <c r="W809" t="s">
        <v>4980</v>
      </c>
      <c r="X809" t="s">
        <v>4981</v>
      </c>
      <c r="Y809" t="s">
        <v>1562</v>
      </c>
      <c r="Z809" t="s">
        <v>117</v>
      </c>
      <c r="AA809" t="str">
        <f>"14047-9430"</f>
        <v>14047-9430</v>
      </c>
      <c r="AB809" t="s">
        <v>118</v>
      </c>
      <c r="AC809" t="s">
        <v>119</v>
      </c>
      <c r="AD809" t="s">
        <v>113</v>
      </c>
      <c r="AE809" t="s">
        <v>120</v>
      </c>
      <c r="AG809" t="s">
        <v>121</v>
      </c>
    </row>
    <row r="810" spans="1:33" x14ac:dyDescent="0.25">
      <c r="A810" t="str">
        <f>"1477892552"</f>
        <v>1477892552</v>
      </c>
      <c r="B810" t="str">
        <f>"03550814"</f>
        <v>03550814</v>
      </c>
      <c r="C810" t="s">
        <v>4982</v>
      </c>
      <c r="D810" t="s">
        <v>4983</v>
      </c>
      <c r="E810" t="s">
        <v>4984</v>
      </c>
      <c r="G810" t="s">
        <v>4985</v>
      </c>
      <c r="H810" t="s">
        <v>205</v>
      </c>
      <c r="J810" t="s">
        <v>4986</v>
      </c>
      <c r="L810" t="s">
        <v>142</v>
      </c>
      <c r="M810" t="s">
        <v>113</v>
      </c>
      <c r="R810" t="s">
        <v>4987</v>
      </c>
      <c r="W810" t="s">
        <v>4984</v>
      </c>
      <c r="X810" t="s">
        <v>4856</v>
      </c>
      <c r="Y810" t="s">
        <v>326</v>
      </c>
      <c r="Z810" t="s">
        <v>117</v>
      </c>
      <c r="AA810" t="str">
        <f>"14127-1506"</f>
        <v>14127-1506</v>
      </c>
      <c r="AB810" t="s">
        <v>118</v>
      </c>
      <c r="AC810" t="s">
        <v>119</v>
      </c>
      <c r="AD810" t="s">
        <v>113</v>
      </c>
      <c r="AE810" t="s">
        <v>120</v>
      </c>
      <c r="AG810" t="s">
        <v>121</v>
      </c>
    </row>
    <row r="811" spans="1:33" x14ac:dyDescent="0.25">
      <c r="A811" t="str">
        <f>"1477990620"</f>
        <v>1477990620</v>
      </c>
      <c r="C811" t="s">
        <v>4988</v>
      </c>
      <c r="G811" t="s">
        <v>4989</v>
      </c>
      <c r="H811" t="s">
        <v>351</v>
      </c>
      <c r="J811" t="s">
        <v>352</v>
      </c>
      <c r="K811" t="s">
        <v>303</v>
      </c>
      <c r="L811" t="s">
        <v>229</v>
      </c>
      <c r="M811" t="s">
        <v>113</v>
      </c>
      <c r="R811" t="s">
        <v>4990</v>
      </c>
      <c r="S811" t="s">
        <v>354</v>
      </c>
      <c r="T811" t="s">
        <v>116</v>
      </c>
      <c r="U811" t="s">
        <v>117</v>
      </c>
      <c r="V811" t="str">
        <f>"142152814"</f>
        <v>142152814</v>
      </c>
      <c r="AC811" t="s">
        <v>119</v>
      </c>
      <c r="AD811" t="s">
        <v>113</v>
      </c>
      <c r="AE811" t="s">
        <v>306</v>
      </c>
      <c r="AG811" t="s">
        <v>121</v>
      </c>
    </row>
    <row r="812" spans="1:33" x14ac:dyDescent="0.25">
      <c r="A812" t="str">
        <f>"1477991412"</f>
        <v>1477991412</v>
      </c>
      <c r="C812" t="s">
        <v>4991</v>
      </c>
      <c r="G812" t="s">
        <v>4992</v>
      </c>
      <c r="J812" t="s">
        <v>4993</v>
      </c>
      <c r="K812" t="s">
        <v>303</v>
      </c>
      <c r="L812" t="s">
        <v>229</v>
      </c>
      <c r="M812" t="s">
        <v>113</v>
      </c>
      <c r="R812" t="s">
        <v>4994</v>
      </c>
      <c r="S812" t="s">
        <v>354</v>
      </c>
      <c r="T812" t="s">
        <v>116</v>
      </c>
      <c r="U812" t="s">
        <v>117</v>
      </c>
      <c r="V812" t="str">
        <f>"142152814"</f>
        <v>142152814</v>
      </c>
      <c r="AC812" t="s">
        <v>119</v>
      </c>
      <c r="AD812" t="s">
        <v>113</v>
      </c>
      <c r="AE812" t="s">
        <v>306</v>
      </c>
      <c r="AG812" t="s">
        <v>121</v>
      </c>
    </row>
    <row r="813" spans="1:33" x14ac:dyDescent="0.25">
      <c r="A813" t="str">
        <f>"1487076113"</f>
        <v>1487076113</v>
      </c>
      <c r="C813" t="s">
        <v>4995</v>
      </c>
      <c r="G813" t="s">
        <v>4996</v>
      </c>
      <c r="H813" t="s">
        <v>351</v>
      </c>
      <c r="K813" t="s">
        <v>303</v>
      </c>
      <c r="L813" t="s">
        <v>229</v>
      </c>
      <c r="M813" t="s">
        <v>113</v>
      </c>
      <c r="R813" t="s">
        <v>4997</v>
      </c>
      <c r="S813" t="s">
        <v>354</v>
      </c>
      <c r="T813" t="s">
        <v>116</v>
      </c>
      <c r="U813" t="s">
        <v>117</v>
      </c>
      <c r="V813" t="str">
        <f>"142152814"</f>
        <v>142152814</v>
      </c>
      <c r="AC813" t="s">
        <v>119</v>
      </c>
      <c r="AD813" t="s">
        <v>113</v>
      </c>
      <c r="AE813" t="s">
        <v>306</v>
      </c>
      <c r="AG813" t="s">
        <v>121</v>
      </c>
    </row>
    <row r="814" spans="1:33" x14ac:dyDescent="0.25">
      <c r="A814" t="str">
        <f>"1487082004"</f>
        <v>1487082004</v>
      </c>
      <c r="B814" t="str">
        <f>"04011890"</f>
        <v>04011890</v>
      </c>
      <c r="C814" t="s">
        <v>4998</v>
      </c>
      <c r="D814" t="s">
        <v>4999</v>
      </c>
      <c r="E814" t="s">
        <v>5000</v>
      </c>
      <c r="G814" t="s">
        <v>5001</v>
      </c>
      <c r="H814" t="s">
        <v>590</v>
      </c>
      <c r="J814" t="s">
        <v>5002</v>
      </c>
      <c r="L814" t="s">
        <v>1033</v>
      </c>
      <c r="M814" t="s">
        <v>113</v>
      </c>
      <c r="R814" t="s">
        <v>5003</v>
      </c>
      <c r="W814" t="s">
        <v>5000</v>
      </c>
      <c r="X814" t="s">
        <v>846</v>
      </c>
      <c r="Y814" t="s">
        <v>847</v>
      </c>
      <c r="Z814" t="s">
        <v>117</v>
      </c>
      <c r="AA814" t="str">
        <f>"14569-1325"</f>
        <v>14569-1325</v>
      </c>
      <c r="AB814" t="s">
        <v>621</v>
      </c>
      <c r="AC814" t="s">
        <v>119</v>
      </c>
      <c r="AD814" t="s">
        <v>113</v>
      </c>
      <c r="AE814" t="s">
        <v>120</v>
      </c>
      <c r="AG814" t="s">
        <v>121</v>
      </c>
    </row>
    <row r="815" spans="1:33" x14ac:dyDescent="0.25">
      <c r="A815" t="str">
        <f>"1487091104"</f>
        <v>1487091104</v>
      </c>
      <c r="C815" t="s">
        <v>5004</v>
      </c>
      <c r="G815" t="s">
        <v>5005</v>
      </c>
      <c r="H815" t="s">
        <v>351</v>
      </c>
      <c r="J815" t="s">
        <v>352</v>
      </c>
      <c r="K815" t="s">
        <v>303</v>
      </c>
      <c r="L815" t="s">
        <v>229</v>
      </c>
      <c r="M815" t="s">
        <v>113</v>
      </c>
      <c r="R815" t="s">
        <v>5006</v>
      </c>
      <c r="S815" t="s">
        <v>354</v>
      </c>
      <c r="T815" t="s">
        <v>116</v>
      </c>
      <c r="U815" t="s">
        <v>117</v>
      </c>
      <c r="V815" t="str">
        <f>"142152814"</f>
        <v>142152814</v>
      </c>
      <c r="AC815" t="s">
        <v>119</v>
      </c>
      <c r="AD815" t="s">
        <v>113</v>
      </c>
      <c r="AE815" t="s">
        <v>306</v>
      </c>
      <c r="AG815" t="s">
        <v>121</v>
      </c>
    </row>
    <row r="816" spans="1:33" x14ac:dyDescent="0.25">
      <c r="A816" t="str">
        <f>"1487096384"</f>
        <v>1487096384</v>
      </c>
      <c r="B816" t="str">
        <f>"03688520"</f>
        <v>03688520</v>
      </c>
      <c r="C816" t="s">
        <v>5007</v>
      </c>
      <c r="D816" t="s">
        <v>5008</v>
      </c>
      <c r="E816" t="s">
        <v>5009</v>
      </c>
      <c r="G816" t="s">
        <v>1816</v>
      </c>
      <c r="H816" t="s">
        <v>5010</v>
      </c>
      <c r="J816" t="s">
        <v>1818</v>
      </c>
      <c r="L816" t="s">
        <v>150</v>
      </c>
      <c r="M816" t="s">
        <v>113</v>
      </c>
      <c r="R816" t="s">
        <v>5011</v>
      </c>
      <c r="W816" t="s">
        <v>5009</v>
      </c>
      <c r="X816" t="s">
        <v>1098</v>
      </c>
      <c r="Y816" t="s">
        <v>305</v>
      </c>
      <c r="Z816" t="s">
        <v>117</v>
      </c>
      <c r="AA816" t="str">
        <f>"14760-1513"</f>
        <v>14760-1513</v>
      </c>
      <c r="AB816" t="s">
        <v>118</v>
      </c>
      <c r="AC816" t="s">
        <v>119</v>
      </c>
      <c r="AD816" t="s">
        <v>113</v>
      </c>
      <c r="AE816" t="s">
        <v>120</v>
      </c>
      <c r="AG816" t="s">
        <v>121</v>
      </c>
    </row>
    <row r="817" spans="1:33" x14ac:dyDescent="0.25">
      <c r="A817" t="str">
        <f>"1417104175"</f>
        <v>1417104175</v>
      </c>
      <c r="B817" t="str">
        <f>"03413421"</f>
        <v>03413421</v>
      </c>
      <c r="C817" t="s">
        <v>5012</v>
      </c>
      <c r="D817" t="s">
        <v>5013</v>
      </c>
      <c r="E817" t="s">
        <v>5014</v>
      </c>
      <c r="G817" t="s">
        <v>5015</v>
      </c>
      <c r="J817" t="s">
        <v>5016</v>
      </c>
      <c r="L817" t="s">
        <v>112</v>
      </c>
      <c r="M817" t="s">
        <v>113</v>
      </c>
      <c r="R817" t="s">
        <v>5017</v>
      </c>
      <c r="W817" t="s">
        <v>5014</v>
      </c>
      <c r="X817" t="s">
        <v>5018</v>
      </c>
      <c r="Y817" t="s">
        <v>958</v>
      </c>
      <c r="Z817" t="s">
        <v>117</v>
      </c>
      <c r="AA817" t="str">
        <f>"14228-1144"</f>
        <v>14228-1144</v>
      </c>
      <c r="AB817" t="s">
        <v>118</v>
      </c>
      <c r="AC817" t="s">
        <v>119</v>
      </c>
      <c r="AD817" t="s">
        <v>113</v>
      </c>
      <c r="AE817" t="s">
        <v>120</v>
      </c>
      <c r="AG817" t="s">
        <v>121</v>
      </c>
    </row>
    <row r="818" spans="1:33" x14ac:dyDescent="0.25">
      <c r="A818" t="str">
        <f>"1417119355"</f>
        <v>1417119355</v>
      </c>
      <c r="B818" t="str">
        <f>"03361222"</f>
        <v>03361222</v>
      </c>
      <c r="C818" t="s">
        <v>5019</v>
      </c>
      <c r="D818" t="s">
        <v>5020</v>
      </c>
      <c r="E818" t="s">
        <v>5021</v>
      </c>
      <c r="G818" t="s">
        <v>5019</v>
      </c>
      <c r="H818" t="s">
        <v>5022</v>
      </c>
      <c r="J818" t="s">
        <v>5023</v>
      </c>
      <c r="L818" t="s">
        <v>142</v>
      </c>
      <c r="M818" t="s">
        <v>113</v>
      </c>
      <c r="R818" t="s">
        <v>5024</v>
      </c>
      <c r="W818" t="s">
        <v>5021</v>
      </c>
      <c r="X818" t="s">
        <v>253</v>
      </c>
      <c r="Y818" t="s">
        <v>116</v>
      </c>
      <c r="Z818" t="s">
        <v>117</v>
      </c>
      <c r="AA818" t="str">
        <f>"14215-3021"</f>
        <v>14215-3021</v>
      </c>
      <c r="AB818" t="s">
        <v>118</v>
      </c>
      <c r="AC818" t="s">
        <v>119</v>
      </c>
      <c r="AD818" t="s">
        <v>113</v>
      </c>
      <c r="AE818" t="s">
        <v>120</v>
      </c>
      <c r="AG818" t="s">
        <v>121</v>
      </c>
    </row>
    <row r="819" spans="1:33" x14ac:dyDescent="0.25">
      <c r="A819" t="str">
        <f>"1417126798"</f>
        <v>1417126798</v>
      </c>
      <c r="B819" t="str">
        <f>"03146283"</f>
        <v>03146283</v>
      </c>
      <c r="C819" t="s">
        <v>5025</v>
      </c>
      <c r="D819" t="s">
        <v>5026</v>
      </c>
      <c r="E819" t="s">
        <v>5027</v>
      </c>
      <c r="G819" t="s">
        <v>5025</v>
      </c>
      <c r="H819" t="s">
        <v>5028</v>
      </c>
      <c r="J819" t="s">
        <v>5029</v>
      </c>
      <c r="L819" t="s">
        <v>142</v>
      </c>
      <c r="M819" t="s">
        <v>113</v>
      </c>
      <c r="R819" t="s">
        <v>5027</v>
      </c>
      <c r="W819" t="s">
        <v>5030</v>
      </c>
      <c r="X819" t="s">
        <v>253</v>
      </c>
      <c r="Y819" t="s">
        <v>116</v>
      </c>
      <c r="Z819" t="s">
        <v>117</v>
      </c>
      <c r="AA819" t="str">
        <f>"14215-3021"</f>
        <v>14215-3021</v>
      </c>
      <c r="AB819" t="s">
        <v>118</v>
      </c>
      <c r="AC819" t="s">
        <v>119</v>
      </c>
      <c r="AD819" t="s">
        <v>113</v>
      </c>
      <c r="AE819" t="s">
        <v>120</v>
      </c>
      <c r="AG819" t="s">
        <v>121</v>
      </c>
    </row>
    <row r="820" spans="1:33" x14ac:dyDescent="0.25">
      <c r="A820" t="str">
        <f>"1417139874"</f>
        <v>1417139874</v>
      </c>
      <c r="B820" t="str">
        <f>"00884139"</f>
        <v>00884139</v>
      </c>
      <c r="C820" t="s">
        <v>1578</v>
      </c>
      <c r="D820" t="s">
        <v>5031</v>
      </c>
      <c r="E820" t="s">
        <v>5032</v>
      </c>
      <c r="F820">
        <v>160975538</v>
      </c>
      <c r="L820" t="s">
        <v>229</v>
      </c>
      <c r="M820" t="s">
        <v>199</v>
      </c>
      <c r="R820" t="s">
        <v>1578</v>
      </c>
      <c r="W820" t="s">
        <v>5032</v>
      </c>
      <c r="X820" t="s">
        <v>5033</v>
      </c>
      <c r="Y820" t="s">
        <v>268</v>
      </c>
      <c r="Z820" t="s">
        <v>117</v>
      </c>
      <c r="AA820" t="str">
        <f>"14150-4427"</f>
        <v>14150-4427</v>
      </c>
      <c r="AB820" t="s">
        <v>1146</v>
      </c>
      <c r="AC820" t="s">
        <v>119</v>
      </c>
      <c r="AD820" t="s">
        <v>113</v>
      </c>
      <c r="AE820" t="s">
        <v>120</v>
      </c>
      <c r="AG820" t="s">
        <v>121</v>
      </c>
    </row>
    <row r="821" spans="1:33" x14ac:dyDescent="0.25">
      <c r="A821" t="str">
        <f>"1417143579"</f>
        <v>1417143579</v>
      </c>
      <c r="B821" t="str">
        <f>"03511997"</f>
        <v>03511997</v>
      </c>
      <c r="C821" t="s">
        <v>5034</v>
      </c>
      <c r="D821" t="s">
        <v>5035</v>
      </c>
      <c r="E821" t="s">
        <v>5036</v>
      </c>
      <c r="G821" t="s">
        <v>5037</v>
      </c>
      <c r="H821" t="s">
        <v>5038</v>
      </c>
      <c r="J821" t="s">
        <v>5039</v>
      </c>
      <c r="L821" t="s">
        <v>1033</v>
      </c>
      <c r="M821" t="s">
        <v>113</v>
      </c>
      <c r="R821" t="s">
        <v>5040</v>
      </c>
      <c r="W821" t="s">
        <v>5036</v>
      </c>
      <c r="X821" t="s">
        <v>1703</v>
      </c>
      <c r="Y821" t="s">
        <v>116</v>
      </c>
      <c r="Z821" t="s">
        <v>117</v>
      </c>
      <c r="AA821" t="str">
        <f>"14209-2013"</f>
        <v>14209-2013</v>
      </c>
      <c r="AB821" t="s">
        <v>621</v>
      </c>
      <c r="AC821" t="s">
        <v>119</v>
      </c>
      <c r="AD821" t="s">
        <v>113</v>
      </c>
      <c r="AE821" t="s">
        <v>120</v>
      </c>
      <c r="AG821" t="s">
        <v>121</v>
      </c>
    </row>
    <row r="822" spans="1:33" x14ac:dyDescent="0.25">
      <c r="A822" t="str">
        <f>"1417169343"</f>
        <v>1417169343</v>
      </c>
      <c r="B822" t="str">
        <f>"01393195"</f>
        <v>01393195</v>
      </c>
      <c r="C822" t="s">
        <v>5041</v>
      </c>
      <c r="D822" t="s">
        <v>5042</v>
      </c>
      <c r="E822" t="s">
        <v>5043</v>
      </c>
      <c r="G822" t="s">
        <v>5044</v>
      </c>
      <c r="H822" t="s">
        <v>5045</v>
      </c>
      <c r="I822">
        <v>212</v>
      </c>
      <c r="J822" t="s">
        <v>5046</v>
      </c>
      <c r="L822" t="s">
        <v>69</v>
      </c>
      <c r="M822" t="s">
        <v>113</v>
      </c>
      <c r="R822" t="s">
        <v>5041</v>
      </c>
      <c r="W822" t="s">
        <v>5043</v>
      </c>
      <c r="X822" t="s">
        <v>5047</v>
      </c>
      <c r="Y822" t="s">
        <v>153</v>
      </c>
      <c r="Z822" t="s">
        <v>117</v>
      </c>
      <c r="AA822" t="str">
        <f>"14301-1118"</f>
        <v>14301-1118</v>
      </c>
      <c r="AB822" t="s">
        <v>528</v>
      </c>
      <c r="AC822" t="s">
        <v>119</v>
      </c>
      <c r="AD822" t="s">
        <v>113</v>
      </c>
      <c r="AE822" t="s">
        <v>120</v>
      </c>
      <c r="AG822" t="s">
        <v>121</v>
      </c>
    </row>
    <row r="823" spans="1:33" x14ac:dyDescent="0.25">
      <c r="A823" t="str">
        <f>"1417170911"</f>
        <v>1417170911</v>
      </c>
      <c r="C823" t="s">
        <v>5048</v>
      </c>
      <c r="G823" t="s">
        <v>5048</v>
      </c>
      <c r="H823" t="s">
        <v>227</v>
      </c>
      <c r="J823" t="s">
        <v>5049</v>
      </c>
      <c r="K823" t="s">
        <v>303</v>
      </c>
      <c r="L823" t="s">
        <v>112</v>
      </c>
      <c r="M823" t="s">
        <v>113</v>
      </c>
      <c r="R823" t="s">
        <v>5050</v>
      </c>
      <c r="S823" t="s">
        <v>5051</v>
      </c>
      <c r="T823" t="s">
        <v>5052</v>
      </c>
      <c r="U823" t="s">
        <v>3534</v>
      </c>
      <c r="V823" t="str">
        <f>"770304000"</f>
        <v>770304000</v>
      </c>
      <c r="AC823" t="s">
        <v>119</v>
      </c>
      <c r="AD823" t="s">
        <v>113</v>
      </c>
      <c r="AE823" t="s">
        <v>306</v>
      </c>
      <c r="AG823" t="s">
        <v>121</v>
      </c>
    </row>
    <row r="824" spans="1:33" x14ac:dyDescent="0.25">
      <c r="A824" t="str">
        <f>"1417182031"</f>
        <v>1417182031</v>
      </c>
      <c r="C824" t="s">
        <v>5053</v>
      </c>
      <c r="G824" t="s">
        <v>5054</v>
      </c>
      <c r="H824" t="s">
        <v>1115</v>
      </c>
      <c r="J824" t="s">
        <v>438</v>
      </c>
      <c r="K824" t="s">
        <v>303</v>
      </c>
      <c r="L824" t="s">
        <v>112</v>
      </c>
      <c r="M824" t="s">
        <v>113</v>
      </c>
      <c r="R824" t="s">
        <v>5055</v>
      </c>
      <c r="S824" t="s">
        <v>1117</v>
      </c>
      <c r="T824" t="s">
        <v>318</v>
      </c>
      <c r="U824" t="s">
        <v>117</v>
      </c>
      <c r="V824" t="str">
        <f>"14225"</f>
        <v>14225</v>
      </c>
      <c r="AC824" t="s">
        <v>119</v>
      </c>
      <c r="AD824" t="s">
        <v>113</v>
      </c>
      <c r="AE824" t="s">
        <v>306</v>
      </c>
      <c r="AG824" t="s">
        <v>121</v>
      </c>
    </row>
    <row r="825" spans="1:33" x14ac:dyDescent="0.25">
      <c r="A825" t="str">
        <f>"1417186552"</f>
        <v>1417186552</v>
      </c>
      <c r="B825" t="str">
        <f>"03249492"</f>
        <v>03249492</v>
      </c>
      <c r="C825" t="s">
        <v>5056</v>
      </c>
      <c r="D825" t="s">
        <v>5057</v>
      </c>
      <c r="E825" t="s">
        <v>5058</v>
      </c>
      <c r="H825" t="s">
        <v>5059</v>
      </c>
      <c r="L825" t="s">
        <v>112</v>
      </c>
      <c r="M825" t="s">
        <v>113</v>
      </c>
      <c r="R825" t="s">
        <v>5060</v>
      </c>
      <c r="W825" t="s">
        <v>5061</v>
      </c>
      <c r="X825" t="s">
        <v>5062</v>
      </c>
      <c r="Y825" t="s">
        <v>153</v>
      </c>
      <c r="Z825" t="s">
        <v>117</v>
      </c>
      <c r="AA825" t="str">
        <f>"14304-1694"</f>
        <v>14304-1694</v>
      </c>
      <c r="AB825" t="s">
        <v>634</v>
      </c>
      <c r="AC825" t="s">
        <v>119</v>
      </c>
      <c r="AD825" t="s">
        <v>113</v>
      </c>
      <c r="AE825" t="s">
        <v>120</v>
      </c>
      <c r="AG825" t="s">
        <v>121</v>
      </c>
    </row>
    <row r="826" spans="1:33" x14ac:dyDescent="0.25">
      <c r="A826" t="str">
        <f>"1417230723"</f>
        <v>1417230723</v>
      </c>
      <c r="B826" t="str">
        <f>"03388130"</f>
        <v>03388130</v>
      </c>
      <c r="C826" t="s">
        <v>5063</v>
      </c>
      <c r="D826" t="s">
        <v>5064</v>
      </c>
      <c r="E826" t="s">
        <v>5065</v>
      </c>
      <c r="H826" t="s">
        <v>5066</v>
      </c>
      <c r="L826" t="s">
        <v>142</v>
      </c>
      <c r="M826" t="s">
        <v>113</v>
      </c>
      <c r="R826" t="s">
        <v>5067</v>
      </c>
      <c r="W826" t="s">
        <v>5065</v>
      </c>
      <c r="X826" t="s">
        <v>3640</v>
      </c>
      <c r="Y826" t="s">
        <v>2946</v>
      </c>
      <c r="Z826" t="s">
        <v>117</v>
      </c>
      <c r="AA826" t="str">
        <f>"14075-5835"</f>
        <v>14075-5835</v>
      </c>
      <c r="AB826" t="s">
        <v>118</v>
      </c>
      <c r="AC826" t="s">
        <v>119</v>
      </c>
      <c r="AD826" t="s">
        <v>113</v>
      </c>
      <c r="AE826" t="s">
        <v>120</v>
      </c>
      <c r="AG826" t="s">
        <v>121</v>
      </c>
    </row>
    <row r="827" spans="1:33" x14ac:dyDescent="0.25">
      <c r="A827" t="str">
        <f>"1417240342"</f>
        <v>1417240342</v>
      </c>
      <c r="C827" t="s">
        <v>5068</v>
      </c>
      <c r="G827" t="s">
        <v>5069</v>
      </c>
      <c r="H827" t="s">
        <v>471</v>
      </c>
      <c r="J827" t="s">
        <v>5070</v>
      </c>
      <c r="K827" t="s">
        <v>303</v>
      </c>
      <c r="L827" t="s">
        <v>112</v>
      </c>
      <c r="M827" t="s">
        <v>113</v>
      </c>
      <c r="R827" t="s">
        <v>5071</v>
      </c>
      <c r="S827" t="s">
        <v>474</v>
      </c>
      <c r="T827" t="s">
        <v>116</v>
      </c>
      <c r="U827" t="s">
        <v>117</v>
      </c>
      <c r="V827" t="str">
        <f>"142141316"</f>
        <v>142141316</v>
      </c>
      <c r="AC827" t="s">
        <v>119</v>
      </c>
      <c r="AD827" t="s">
        <v>113</v>
      </c>
      <c r="AE827" t="s">
        <v>306</v>
      </c>
      <c r="AG827" t="s">
        <v>121</v>
      </c>
    </row>
    <row r="828" spans="1:33" x14ac:dyDescent="0.25">
      <c r="A828" t="str">
        <f>"1417244773"</f>
        <v>1417244773</v>
      </c>
      <c r="B828" t="str">
        <f>"03370638"</f>
        <v>03370638</v>
      </c>
      <c r="C828" t="s">
        <v>5072</v>
      </c>
      <c r="D828" t="s">
        <v>5073</v>
      </c>
      <c r="E828" t="s">
        <v>5074</v>
      </c>
      <c r="H828" t="s">
        <v>1064</v>
      </c>
      <c r="L828" t="s">
        <v>142</v>
      </c>
      <c r="M828" t="s">
        <v>199</v>
      </c>
      <c r="R828" t="s">
        <v>5075</v>
      </c>
      <c r="W828" t="s">
        <v>5074</v>
      </c>
      <c r="X828" t="s">
        <v>253</v>
      </c>
      <c r="Y828" t="s">
        <v>116</v>
      </c>
      <c r="Z828" t="s">
        <v>117</v>
      </c>
      <c r="AA828" t="str">
        <f>"14215-3021"</f>
        <v>14215-3021</v>
      </c>
      <c r="AB828" t="s">
        <v>118</v>
      </c>
      <c r="AC828" t="s">
        <v>119</v>
      </c>
      <c r="AD828" t="s">
        <v>113</v>
      </c>
      <c r="AE828" t="s">
        <v>120</v>
      </c>
      <c r="AG828" t="s">
        <v>121</v>
      </c>
    </row>
    <row r="829" spans="1:33" x14ac:dyDescent="0.25">
      <c r="A829" t="str">
        <f>"1689961054"</f>
        <v>1689961054</v>
      </c>
      <c r="B829" t="str">
        <f>"03410304"</f>
        <v>03410304</v>
      </c>
      <c r="C829" t="s">
        <v>5076</v>
      </c>
      <c r="D829" t="s">
        <v>5077</v>
      </c>
      <c r="E829" t="s">
        <v>5078</v>
      </c>
      <c r="G829" t="s">
        <v>5076</v>
      </c>
      <c r="H829" t="s">
        <v>5079</v>
      </c>
      <c r="J829" t="s">
        <v>5080</v>
      </c>
      <c r="L829" t="s">
        <v>112</v>
      </c>
      <c r="M829" t="s">
        <v>113</v>
      </c>
      <c r="R829" t="s">
        <v>5081</v>
      </c>
      <c r="W829" t="s">
        <v>5082</v>
      </c>
      <c r="X829" t="s">
        <v>1304</v>
      </c>
      <c r="Y829" t="s">
        <v>116</v>
      </c>
      <c r="Z829" t="s">
        <v>117</v>
      </c>
      <c r="AA829" t="str">
        <f>"14220-2039"</f>
        <v>14220-2039</v>
      </c>
      <c r="AB829" t="s">
        <v>118</v>
      </c>
      <c r="AC829" t="s">
        <v>119</v>
      </c>
      <c r="AD829" t="s">
        <v>113</v>
      </c>
      <c r="AE829" t="s">
        <v>120</v>
      </c>
      <c r="AG829" t="s">
        <v>121</v>
      </c>
    </row>
    <row r="830" spans="1:33" x14ac:dyDescent="0.25">
      <c r="A830" t="str">
        <f>"1699003574"</f>
        <v>1699003574</v>
      </c>
      <c r="B830" t="str">
        <f>"04031316"</f>
        <v>04031316</v>
      </c>
      <c r="C830" t="s">
        <v>5083</v>
      </c>
      <c r="D830" t="s">
        <v>5084</v>
      </c>
      <c r="E830" t="s">
        <v>5085</v>
      </c>
      <c r="G830" t="s">
        <v>5086</v>
      </c>
      <c r="H830" t="s">
        <v>1115</v>
      </c>
      <c r="J830" t="s">
        <v>438</v>
      </c>
      <c r="L830" t="s">
        <v>112</v>
      </c>
      <c r="M830" t="s">
        <v>113</v>
      </c>
      <c r="R830" t="s">
        <v>5087</v>
      </c>
      <c r="W830" t="s">
        <v>5085</v>
      </c>
      <c r="X830" t="s">
        <v>1218</v>
      </c>
      <c r="Y830" t="s">
        <v>318</v>
      </c>
      <c r="Z830" t="s">
        <v>117</v>
      </c>
      <c r="AA830" t="str">
        <f>"14225-4985"</f>
        <v>14225-4985</v>
      </c>
      <c r="AB830" t="s">
        <v>621</v>
      </c>
      <c r="AC830" t="s">
        <v>119</v>
      </c>
      <c r="AD830" t="s">
        <v>113</v>
      </c>
      <c r="AE830" t="s">
        <v>120</v>
      </c>
      <c r="AG830" t="s">
        <v>121</v>
      </c>
    </row>
    <row r="831" spans="1:33" x14ac:dyDescent="0.25">
      <c r="A831" t="str">
        <f>"1699089961"</f>
        <v>1699089961</v>
      </c>
      <c r="C831" t="s">
        <v>5088</v>
      </c>
      <c r="G831" t="s">
        <v>5089</v>
      </c>
      <c r="J831" t="s">
        <v>352</v>
      </c>
      <c r="K831" t="s">
        <v>303</v>
      </c>
      <c r="L831" t="s">
        <v>229</v>
      </c>
      <c r="M831" t="s">
        <v>113</v>
      </c>
      <c r="R831" t="s">
        <v>5090</v>
      </c>
      <c r="S831" t="s">
        <v>2052</v>
      </c>
      <c r="T831" t="s">
        <v>116</v>
      </c>
      <c r="U831" t="s">
        <v>117</v>
      </c>
      <c r="V831" t="str">
        <f>"142072341"</f>
        <v>142072341</v>
      </c>
      <c r="AC831" t="s">
        <v>119</v>
      </c>
      <c r="AD831" t="s">
        <v>113</v>
      </c>
      <c r="AE831" t="s">
        <v>306</v>
      </c>
      <c r="AG831" t="s">
        <v>121</v>
      </c>
    </row>
    <row r="832" spans="1:33" x14ac:dyDescent="0.25">
      <c r="A832" t="str">
        <f>"1699093898"</f>
        <v>1699093898</v>
      </c>
      <c r="B832" t="str">
        <f>"03258784"</f>
        <v>03258784</v>
      </c>
      <c r="C832" t="s">
        <v>5091</v>
      </c>
      <c r="D832" t="s">
        <v>5092</v>
      </c>
      <c r="E832" t="s">
        <v>5091</v>
      </c>
      <c r="G832" t="s">
        <v>5093</v>
      </c>
      <c r="J832" t="s">
        <v>5094</v>
      </c>
      <c r="L832" t="s">
        <v>69</v>
      </c>
      <c r="M832" t="s">
        <v>113</v>
      </c>
      <c r="R832" t="s">
        <v>5091</v>
      </c>
      <c r="W832" t="s">
        <v>5091</v>
      </c>
      <c r="X832" t="s">
        <v>5095</v>
      </c>
      <c r="Y832" t="s">
        <v>527</v>
      </c>
      <c r="Z832" t="s">
        <v>117</v>
      </c>
      <c r="AA832" t="str">
        <f>"14103-1191"</f>
        <v>14103-1191</v>
      </c>
      <c r="AB832" t="s">
        <v>872</v>
      </c>
      <c r="AC832" t="s">
        <v>119</v>
      </c>
      <c r="AD832" t="s">
        <v>113</v>
      </c>
      <c r="AE832" t="s">
        <v>120</v>
      </c>
      <c r="AG832" t="s">
        <v>121</v>
      </c>
    </row>
    <row r="833" spans="1:33" x14ac:dyDescent="0.25">
      <c r="A833" t="str">
        <f>"1609190560"</f>
        <v>1609190560</v>
      </c>
      <c r="B833" t="str">
        <f>"03643249"</f>
        <v>03643249</v>
      </c>
      <c r="C833" t="s">
        <v>5096</v>
      </c>
      <c r="D833" t="s">
        <v>5097</v>
      </c>
      <c r="E833" t="s">
        <v>5098</v>
      </c>
      <c r="G833" t="s">
        <v>1816</v>
      </c>
      <c r="H833" t="s">
        <v>5099</v>
      </c>
      <c r="J833" t="s">
        <v>1818</v>
      </c>
      <c r="L833" t="s">
        <v>150</v>
      </c>
      <c r="M833" t="s">
        <v>113</v>
      </c>
      <c r="R833" t="s">
        <v>5098</v>
      </c>
      <c r="W833" t="s">
        <v>5098</v>
      </c>
      <c r="X833" t="s">
        <v>518</v>
      </c>
      <c r="Y833" t="s">
        <v>305</v>
      </c>
      <c r="Z833" t="s">
        <v>117</v>
      </c>
      <c r="AA833" t="str">
        <f>"14760-1500"</f>
        <v>14760-1500</v>
      </c>
      <c r="AB833" t="s">
        <v>118</v>
      </c>
      <c r="AC833" t="s">
        <v>119</v>
      </c>
      <c r="AD833" t="s">
        <v>113</v>
      </c>
      <c r="AE833" t="s">
        <v>120</v>
      </c>
      <c r="AG833" t="s">
        <v>121</v>
      </c>
    </row>
    <row r="834" spans="1:33" x14ac:dyDescent="0.25">
      <c r="A834" t="str">
        <f>"1609285469"</f>
        <v>1609285469</v>
      </c>
      <c r="B834" t="str">
        <f>"04472166"</f>
        <v>04472166</v>
      </c>
      <c r="C834" t="s">
        <v>5100</v>
      </c>
      <c r="D834" t="s">
        <v>5101</v>
      </c>
      <c r="E834" t="s">
        <v>5102</v>
      </c>
      <c r="G834" t="s">
        <v>5100</v>
      </c>
      <c r="H834" t="s">
        <v>5103</v>
      </c>
      <c r="J834" t="s">
        <v>5104</v>
      </c>
      <c r="L834" t="s">
        <v>112</v>
      </c>
      <c r="M834" t="s">
        <v>113</v>
      </c>
      <c r="R834" t="s">
        <v>5105</v>
      </c>
      <c r="W834" t="s">
        <v>5102</v>
      </c>
      <c r="AB834" t="s">
        <v>118</v>
      </c>
      <c r="AC834" t="s">
        <v>119</v>
      </c>
      <c r="AD834" t="s">
        <v>113</v>
      </c>
      <c r="AE834" t="s">
        <v>120</v>
      </c>
      <c r="AG834" t="s">
        <v>121</v>
      </c>
    </row>
    <row r="835" spans="1:33" x14ac:dyDescent="0.25">
      <c r="A835" t="str">
        <f>"1609802867"</f>
        <v>1609802867</v>
      </c>
      <c r="B835" t="str">
        <f>"02632800"</f>
        <v>02632800</v>
      </c>
      <c r="C835" t="s">
        <v>5106</v>
      </c>
      <c r="D835" t="s">
        <v>5107</v>
      </c>
      <c r="E835" t="s">
        <v>5106</v>
      </c>
      <c r="H835" t="s">
        <v>579</v>
      </c>
      <c r="L835" t="s">
        <v>69</v>
      </c>
      <c r="M835" t="s">
        <v>113</v>
      </c>
      <c r="R835" t="s">
        <v>5106</v>
      </c>
      <c r="W835" t="s">
        <v>5106</v>
      </c>
      <c r="X835" t="s">
        <v>5108</v>
      </c>
      <c r="Y835" t="s">
        <v>889</v>
      </c>
      <c r="Z835" t="s">
        <v>117</v>
      </c>
      <c r="AA835" t="str">
        <f>"14120-4461"</f>
        <v>14120-4461</v>
      </c>
      <c r="AB835" t="s">
        <v>872</v>
      </c>
      <c r="AC835" t="s">
        <v>119</v>
      </c>
      <c r="AD835" t="s">
        <v>113</v>
      </c>
      <c r="AE835" t="s">
        <v>120</v>
      </c>
      <c r="AG835" t="s">
        <v>121</v>
      </c>
    </row>
    <row r="836" spans="1:33" x14ac:dyDescent="0.25">
      <c r="A836" t="str">
        <f>"1124089859"</f>
        <v>1124089859</v>
      </c>
      <c r="B836" t="str">
        <f>"00312363"</f>
        <v>00312363</v>
      </c>
      <c r="C836" t="s">
        <v>13869</v>
      </c>
      <c r="D836" t="s">
        <v>13870</v>
      </c>
      <c r="E836" t="s">
        <v>13871</v>
      </c>
      <c r="G836" t="s">
        <v>13872</v>
      </c>
      <c r="H836" t="s">
        <v>13873</v>
      </c>
      <c r="J836" t="s">
        <v>13874</v>
      </c>
      <c r="L836" t="s">
        <v>280</v>
      </c>
      <c r="M836" t="s">
        <v>199</v>
      </c>
      <c r="R836" t="s">
        <v>13869</v>
      </c>
      <c r="W836" t="s">
        <v>13871</v>
      </c>
      <c r="X836" t="s">
        <v>13875</v>
      </c>
      <c r="Y836" t="s">
        <v>12061</v>
      </c>
      <c r="Z836" t="s">
        <v>117</v>
      </c>
      <c r="AA836" t="str">
        <f>"14031-2105"</f>
        <v>14031-2105</v>
      </c>
      <c r="AB836" t="s">
        <v>282</v>
      </c>
      <c r="AC836" t="s">
        <v>119</v>
      </c>
      <c r="AD836" t="s">
        <v>113</v>
      </c>
      <c r="AE836" t="s">
        <v>120</v>
      </c>
      <c r="AG836" t="s">
        <v>121</v>
      </c>
    </row>
    <row r="837" spans="1:33" x14ac:dyDescent="0.25">
      <c r="A837" t="str">
        <f>"1609812635"</f>
        <v>1609812635</v>
      </c>
      <c r="B837" t="str">
        <f>"01375075"</f>
        <v>01375075</v>
      </c>
      <c r="C837" t="s">
        <v>5115</v>
      </c>
      <c r="D837" t="s">
        <v>5116</v>
      </c>
      <c r="E837" t="s">
        <v>5117</v>
      </c>
      <c r="G837" t="s">
        <v>5115</v>
      </c>
      <c r="H837" t="s">
        <v>5118</v>
      </c>
      <c r="J837" t="s">
        <v>5119</v>
      </c>
      <c r="L837" t="s">
        <v>112</v>
      </c>
      <c r="M837" t="s">
        <v>113</v>
      </c>
      <c r="R837" t="s">
        <v>5120</v>
      </c>
      <c r="W837" t="s">
        <v>5117</v>
      </c>
      <c r="X837" t="s">
        <v>1648</v>
      </c>
      <c r="Y837" t="s">
        <v>116</v>
      </c>
      <c r="Z837" t="s">
        <v>117</v>
      </c>
      <c r="AA837" t="str">
        <f>"14214-2648"</f>
        <v>14214-2648</v>
      </c>
      <c r="AB837" t="s">
        <v>118</v>
      </c>
      <c r="AC837" t="s">
        <v>119</v>
      </c>
      <c r="AD837" t="s">
        <v>113</v>
      </c>
      <c r="AE837" t="s">
        <v>120</v>
      </c>
      <c r="AG837" t="s">
        <v>121</v>
      </c>
    </row>
    <row r="838" spans="1:33" x14ac:dyDescent="0.25">
      <c r="A838" t="str">
        <f>"1609824036"</f>
        <v>1609824036</v>
      </c>
      <c r="B838" t="str">
        <f>"01621645"</f>
        <v>01621645</v>
      </c>
      <c r="C838" t="s">
        <v>5121</v>
      </c>
      <c r="D838" t="s">
        <v>5122</v>
      </c>
      <c r="E838" t="s">
        <v>5123</v>
      </c>
      <c r="G838" t="s">
        <v>5121</v>
      </c>
      <c r="H838" t="s">
        <v>5124</v>
      </c>
      <c r="J838" t="s">
        <v>5125</v>
      </c>
      <c r="L838" t="s">
        <v>142</v>
      </c>
      <c r="M838" t="s">
        <v>113</v>
      </c>
      <c r="R838" t="s">
        <v>5126</v>
      </c>
      <c r="W838" t="s">
        <v>5123</v>
      </c>
      <c r="X838" t="s">
        <v>5127</v>
      </c>
      <c r="Y838" t="s">
        <v>116</v>
      </c>
      <c r="Z838" t="s">
        <v>117</v>
      </c>
      <c r="AA838" t="str">
        <f>"14214"</f>
        <v>14214</v>
      </c>
      <c r="AB838" t="s">
        <v>118</v>
      </c>
      <c r="AC838" t="s">
        <v>119</v>
      </c>
      <c r="AD838" t="s">
        <v>113</v>
      </c>
      <c r="AE838" t="s">
        <v>120</v>
      </c>
      <c r="AG838" t="s">
        <v>121</v>
      </c>
    </row>
    <row r="839" spans="1:33" x14ac:dyDescent="0.25">
      <c r="A839" t="str">
        <f>"1609826601"</f>
        <v>1609826601</v>
      </c>
      <c r="B839" t="str">
        <f>"00805656"</f>
        <v>00805656</v>
      </c>
      <c r="C839" t="s">
        <v>5128</v>
      </c>
      <c r="D839" t="s">
        <v>5129</v>
      </c>
      <c r="E839" t="s">
        <v>5130</v>
      </c>
      <c r="G839" t="s">
        <v>5128</v>
      </c>
      <c r="H839" t="s">
        <v>5131</v>
      </c>
      <c r="J839" t="s">
        <v>5132</v>
      </c>
      <c r="L839" t="s">
        <v>150</v>
      </c>
      <c r="M839" t="s">
        <v>199</v>
      </c>
      <c r="R839" t="s">
        <v>5133</v>
      </c>
      <c r="W839" t="s">
        <v>5130</v>
      </c>
      <c r="X839" t="s">
        <v>5134</v>
      </c>
      <c r="Y839" t="s">
        <v>3649</v>
      </c>
      <c r="Z839" t="s">
        <v>117</v>
      </c>
      <c r="AA839" t="str">
        <f>"14072-3115"</f>
        <v>14072-3115</v>
      </c>
      <c r="AB839" t="s">
        <v>118</v>
      </c>
      <c r="AC839" t="s">
        <v>119</v>
      </c>
      <c r="AD839" t="s">
        <v>113</v>
      </c>
      <c r="AE839" t="s">
        <v>120</v>
      </c>
      <c r="AG839" t="s">
        <v>121</v>
      </c>
    </row>
    <row r="840" spans="1:33" x14ac:dyDescent="0.25">
      <c r="A840" t="str">
        <f>"1609830942"</f>
        <v>1609830942</v>
      </c>
      <c r="B840" t="str">
        <f>"02430844"</f>
        <v>02430844</v>
      </c>
      <c r="C840" t="s">
        <v>5135</v>
      </c>
      <c r="D840" t="s">
        <v>5136</v>
      </c>
      <c r="E840" t="s">
        <v>5137</v>
      </c>
      <c r="G840" t="s">
        <v>5135</v>
      </c>
      <c r="H840" t="s">
        <v>1006</v>
      </c>
      <c r="J840" t="s">
        <v>5138</v>
      </c>
      <c r="L840" t="s">
        <v>142</v>
      </c>
      <c r="M840" t="s">
        <v>113</v>
      </c>
      <c r="R840" t="s">
        <v>5139</v>
      </c>
      <c r="W840" t="s">
        <v>5140</v>
      </c>
      <c r="X840" t="s">
        <v>1297</v>
      </c>
      <c r="Y840" t="s">
        <v>240</v>
      </c>
      <c r="Z840" t="s">
        <v>117</v>
      </c>
      <c r="AA840" t="str">
        <f>"14221-2917"</f>
        <v>14221-2917</v>
      </c>
      <c r="AB840" t="s">
        <v>118</v>
      </c>
      <c r="AC840" t="s">
        <v>119</v>
      </c>
      <c r="AD840" t="s">
        <v>113</v>
      </c>
      <c r="AE840" t="s">
        <v>120</v>
      </c>
      <c r="AG840" t="s">
        <v>121</v>
      </c>
    </row>
    <row r="841" spans="1:33" x14ac:dyDescent="0.25">
      <c r="A841" t="str">
        <f>"1609831536"</f>
        <v>1609831536</v>
      </c>
      <c r="B841" t="str">
        <f>"00637274"</f>
        <v>00637274</v>
      </c>
      <c r="C841" t="s">
        <v>5141</v>
      </c>
      <c r="D841" t="s">
        <v>5142</v>
      </c>
      <c r="E841" t="s">
        <v>5143</v>
      </c>
      <c r="G841" t="s">
        <v>5141</v>
      </c>
      <c r="H841" t="s">
        <v>2848</v>
      </c>
      <c r="J841" t="s">
        <v>5144</v>
      </c>
      <c r="L841" t="s">
        <v>150</v>
      </c>
      <c r="M841" t="s">
        <v>113</v>
      </c>
      <c r="R841" t="s">
        <v>5145</v>
      </c>
      <c r="W841" t="s">
        <v>5143</v>
      </c>
      <c r="X841" t="s">
        <v>5146</v>
      </c>
      <c r="Y841" t="s">
        <v>240</v>
      </c>
      <c r="Z841" t="s">
        <v>117</v>
      </c>
      <c r="AA841" t="str">
        <f>"14221-3275"</f>
        <v>14221-3275</v>
      </c>
      <c r="AB841" t="s">
        <v>118</v>
      </c>
      <c r="AC841" t="s">
        <v>119</v>
      </c>
      <c r="AD841" t="s">
        <v>113</v>
      </c>
      <c r="AE841" t="s">
        <v>120</v>
      </c>
      <c r="AG841" t="s">
        <v>121</v>
      </c>
    </row>
    <row r="842" spans="1:33" x14ac:dyDescent="0.25">
      <c r="A842" t="str">
        <f>"1609834423"</f>
        <v>1609834423</v>
      </c>
      <c r="B842" t="str">
        <f>"02712123"</f>
        <v>02712123</v>
      </c>
      <c r="C842" t="s">
        <v>5147</v>
      </c>
      <c r="D842" t="s">
        <v>5148</v>
      </c>
      <c r="E842" t="s">
        <v>5149</v>
      </c>
      <c r="G842" t="s">
        <v>5150</v>
      </c>
      <c r="H842" t="s">
        <v>5151</v>
      </c>
      <c r="J842" t="s">
        <v>5152</v>
      </c>
      <c r="L842" t="s">
        <v>142</v>
      </c>
      <c r="M842" t="s">
        <v>199</v>
      </c>
      <c r="R842" t="s">
        <v>5153</v>
      </c>
      <c r="W842" t="s">
        <v>5154</v>
      </c>
      <c r="X842" t="s">
        <v>216</v>
      </c>
      <c r="Y842" t="s">
        <v>116</v>
      </c>
      <c r="Z842" t="s">
        <v>117</v>
      </c>
      <c r="AA842" t="str">
        <f>"14222-2006"</f>
        <v>14222-2006</v>
      </c>
      <c r="AB842" t="s">
        <v>118</v>
      </c>
      <c r="AC842" t="s">
        <v>119</v>
      </c>
      <c r="AD842" t="s">
        <v>113</v>
      </c>
      <c r="AE842" t="s">
        <v>120</v>
      </c>
      <c r="AG842" t="s">
        <v>121</v>
      </c>
    </row>
    <row r="843" spans="1:33" x14ac:dyDescent="0.25">
      <c r="A843" t="str">
        <f>"1609837863"</f>
        <v>1609837863</v>
      </c>
      <c r="B843" t="str">
        <f>"01766581"</f>
        <v>01766581</v>
      </c>
      <c r="C843" t="s">
        <v>5155</v>
      </c>
      <c r="D843" t="s">
        <v>5156</v>
      </c>
      <c r="E843" t="s">
        <v>5157</v>
      </c>
      <c r="G843" t="s">
        <v>5155</v>
      </c>
      <c r="H843" t="s">
        <v>5158</v>
      </c>
      <c r="J843" t="s">
        <v>5159</v>
      </c>
      <c r="L843" t="s">
        <v>142</v>
      </c>
      <c r="M843" t="s">
        <v>113</v>
      </c>
      <c r="R843" t="s">
        <v>5160</v>
      </c>
      <c r="W843" t="s">
        <v>5157</v>
      </c>
      <c r="X843" t="s">
        <v>4102</v>
      </c>
      <c r="Y843" t="s">
        <v>240</v>
      </c>
      <c r="Z843" t="s">
        <v>117</v>
      </c>
      <c r="AA843" t="str">
        <f>"14221-5773"</f>
        <v>14221-5773</v>
      </c>
      <c r="AB843" t="s">
        <v>118</v>
      </c>
      <c r="AC843" t="s">
        <v>119</v>
      </c>
      <c r="AD843" t="s">
        <v>113</v>
      </c>
      <c r="AE843" t="s">
        <v>120</v>
      </c>
      <c r="AG843" t="s">
        <v>121</v>
      </c>
    </row>
    <row r="844" spans="1:33" x14ac:dyDescent="0.25">
      <c r="A844" t="str">
        <f>"1609840974"</f>
        <v>1609840974</v>
      </c>
      <c r="B844" t="str">
        <f>"01735648"</f>
        <v>01735648</v>
      </c>
      <c r="C844" t="s">
        <v>5161</v>
      </c>
      <c r="D844" t="s">
        <v>5162</v>
      </c>
      <c r="E844" t="s">
        <v>5163</v>
      </c>
      <c r="G844" t="s">
        <v>5161</v>
      </c>
      <c r="H844" t="s">
        <v>5164</v>
      </c>
      <c r="J844" t="s">
        <v>5165</v>
      </c>
      <c r="L844" t="s">
        <v>142</v>
      </c>
      <c r="M844" t="s">
        <v>113</v>
      </c>
      <c r="R844" t="s">
        <v>5166</v>
      </c>
      <c r="W844" t="s">
        <v>5167</v>
      </c>
      <c r="X844" t="s">
        <v>5168</v>
      </c>
      <c r="Y844" t="s">
        <v>663</v>
      </c>
      <c r="Z844" t="s">
        <v>117</v>
      </c>
      <c r="AA844" t="str">
        <f>"14094-3616"</f>
        <v>14094-3616</v>
      </c>
      <c r="AB844" t="s">
        <v>118</v>
      </c>
      <c r="AC844" t="s">
        <v>119</v>
      </c>
      <c r="AD844" t="s">
        <v>113</v>
      </c>
      <c r="AE844" t="s">
        <v>120</v>
      </c>
      <c r="AG844" t="s">
        <v>121</v>
      </c>
    </row>
    <row r="845" spans="1:33" x14ac:dyDescent="0.25">
      <c r="A845" t="str">
        <f>"1710943824"</f>
        <v>1710943824</v>
      </c>
      <c r="B845" t="str">
        <f>"02433916"</f>
        <v>02433916</v>
      </c>
      <c r="C845" t="s">
        <v>5169</v>
      </c>
      <c r="D845" t="s">
        <v>5170</v>
      </c>
      <c r="E845" t="s">
        <v>5171</v>
      </c>
      <c r="G845" t="s">
        <v>5169</v>
      </c>
      <c r="H845" t="s">
        <v>272</v>
      </c>
      <c r="J845" t="s">
        <v>5172</v>
      </c>
      <c r="L845" t="s">
        <v>112</v>
      </c>
      <c r="M845" t="s">
        <v>113</v>
      </c>
      <c r="R845" t="s">
        <v>5173</v>
      </c>
      <c r="W845" t="s">
        <v>5173</v>
      </c>
      <c r="X845" t="s">
        <v>838</v>
      </c>
      <c r="Y845" t="s">
        <v>958</v>
      </c>
      <c r="Z845" t="s">
        <v>117</v>
      </c>
      <c r="AA845" t="str">
        <f>"14221-3647"</f>
        <v>14221-3647</v>
      </c>
      <c r="AB845" t="s">
        <v>118</v>
      </c>
      <c r="AC845" t="s">
        <v>119</v>
      </c>
      <c r="AD845" t="s">
        <v>113</v>
      </c>
      <c r="AE845" t="s">
        <v>120</v>
      </c>
      <c r="AG845" t="s">
        <v>121</v>
      </c>
    </row>
    <row r="846" spans="1:33" x14ac:dyDescent="0.25">
      <c r="A846" t="str">
        <f>"1710944632"</f>
        <v>1710944632</v>
      </c>
      <c r="B846" t="str">
        <f>"01735400"</f>
        <v>01735400</v>
      </c>
      <c r="C846" t="s">
        <v>5174</v>
      </c>
      <c r="D846" t="s">
        <v>5175</v>
      </c>
      <c r="E846" t="s">
        <v>5176</v>
      </c>
      <c r="G846" t="s">
        <v>5174</v>
      </c>
      <c r="H846" t="s">
        <v>579</v>
      </c>
      <c r="J846" t="s">
        <v>5177</v>
      </c>
      <c r="L846" t="s">
        <v>142</v>
      </c>
      <c r="M846" t="s">
        <v>113</v>
      </c>
      <c r="R846" t="s">
        <v>5178</v>
      </c>
      <c r="W846" t="s">
        <v>5176</v>
      </c>
      <c r="X846" t="s">
        <v>5179</v>
      </c>
      <c r="Y846" t="s">
        <v>116</v>
      </c>
      <c r="Z846" t="s">
        <v>117</v>
      </c>
      <c r="AA846" t="str">
        <f>"14220-1700"</f>
        <v>14220-1700</v>
      </c>
      <c r="AB846" t="s">
        <v>118</v>
      </c>
      <c r="AC846" t="s">
        <v>119</v>
      </c>
      <c r="AD846" t="s">
        <v>113</v>
      </c>
      <c r="AE846" t="s">
        <v>120</v>
      </c>
      <c r="AG846" t="s">
        <v>121</v>
      </c>
    </row>
    <row r="847" spans="1:33" x14ac:dyDescent="0.25">
      <c r="A847" t="str">
        <f>"1720015639"</f>
        <v>1720015639</v>
      </c>
      <c r="B847" t="str">
        <f>"02777508"</f>
        <v>02777508</v>
      </c>
      <c r="C847" t="s">
        <v>5180</v>
      </c>
      <c r="D847" t="s">
        <v>5181</v>
      </c>
      <c r="E847" t="s">
        <v>5182</v>
      </c>
      <c r="G847" t="s">
        <v>5183</v>
      </c>
      <c r="H847" t="s">
        <v>1013</v>
      </c>
      <c r="J847" t="s">
        <v>5184</v>
      </c>
      <c r="L847" t="s">
        <v>142</v>
      </c>
      <c r="M847" t="s">
        <v>113</v>
      </c>
      <c r="R847" t="s">
        <v>5185</v>
      </c>
      <c r="W847" t="s">
        <v>5182</v>
      </c>
      <c r="X847" t="s">
        <v>2892</v>
      </c>
      <c r="Y847" t="s">
        <v>240</v>
      </c>
      <c r="Z847" t="s">
        <v>117</v>
      </c>
      <c r="AA847" t="str">
        <f>"14221-5838"</f>
        <v>14221-5838</v>
      </c>
      <c r="AB847" t="s">
        <v>118</v>
      </c>
      <c r="AC847" t="s">
        <v>119</v>
      </c>
      <c r="AD847" t="s">
        <v>113</v>
      </c>
      <c r="AE847" t="s">
        <v>120</v>
      </c>
      <c r="AG847" t="s">
        <v>121</v>
      </c>
    </row>
    <row r="848" spans="1:33" x14ac:dyDescent="0.25">
      <c r="A848" t="str">
        <f>"1720017825"</f>
        <v>1720017825</v>
      </c>
      <c r="B848" t="str">
        <f>"01702372"</f>
        <v>01702372</v>
      </c>
      <c r="C848" t="s">
        <v>5186</v>
      </c>
      <c r="D848" t="s">
        <v>5187</v>
      </c>
      <c r="E848" t="s">
        <v>5188</v>
      </c>
      <c r="G848" t="s">
        <v>5189</v>
      </c>
      <c r="H848" t="s">
        <v>693</v>
      </c>
      <c r="J848" t="s">
        <v>5190</v>
      </c>
      <c r="L848" t="s">
        <v>142</v>
      </c>
      <c r="M848" t="s">
        <v>113</v>
      </c>
      <c r="R848" t="s">
        <v>5191</v>
      </c>
      <c r="W848" t="s">
        <v>5188</v>
      </c>
      <c r="X848" t="s">
        <v>5192</v>
      </c>
      <c r="Y848" t="s">
        <v>326</v>
      </c>
      <c r="Z848" t="s">
        <v>117</v>
      </c>
      <c r="AA848" t="str">
        <f>"14127-3216"</f>
        <v>14127-3216</v>
      </c>
      <c r="AB848" t="s">
        <v>118</v>
      </c>
      <c r="AC848" t="s">
        <v>119</v>
      </c>
      <c r="AD848" t="s">
        <v>113</v>
      </c>
      <c r="AE848" t="s">
        <v>120</v>
      </c>
      <c r="AG848" t="s">
        <v>121</v>
      </c>
    </row>
    <row r="849" spans="1:33" x14ac:dyDescent="0.25">
      <c r="A849" t="str">
        <f>"1720028764"</f>
        <v>1720028764</v>
      </c>
      <c r="B849" t="str">
        <f>"03169766"</f>
        <v>03169766</v>
      </c>
      <c r="C849" t="s">
        <v>5193</v>
      </c>
      <c r="D849" t="s">
        <v>5194</v>
      </c>
      <c r="E849" t="s">
        <v>5195</v>
      </c>
      <c r="G849" t="s">
        <v>1882</v>
      </c>
      <c r="H849" t="s">
        <v>1883</v>
      </c>
      <c r="J849" t="s">
        <v>1884</v>
      </c>
      <c r="L849" t="s">
        <v>150</v>
      </c>
      <c r="M849" t="s">
        <v>113</v>
      </c>
      <c r="R849" t="s">
        <v>5196</v>
      </c>
      <c r="W849" t="s">
        <v>5196</v>
      </c>
      <c r="X849" t="s">
        <v>3705</v>
      </c>
      <c r="Y849" t="s">
        <v>958</v>
      </c>
      <c r="Z849" t="s">
        <v>117</v>
      </c>
      <c r="AA849" t="str">
        <f>"14226-1727"</f>
        <v>14226-1727</v>
      </c>
      <c r="AB849" t="s">
        <v>118</v>
      </c>
      <c r="AC849" t="s">
        <v>119</v>
      </c>
      <c r="AD849" t="s">
        <v>113</v>
      </c>
      <c r="AE849" t="s">
        <v>120</v>
      </c>
      <c r="AG849" t="s">
        <v>121</v>
      </c>
    </row>
    <row r="850" spans="1:33" x14ac:dyDescent="0.25">
      <c r="A850" t="str">
        <f>"1720029002"</f>
        <v>1720029002</v>
      </c>
      <c r="B850" t="str">
        <f>"00965802"</f>
        <v>00965802</v>
      </c>
      <c r="C850" t="s">
        <v>5197</v>
      </c>
      <c r="D850" t="s">
        <v>5198</v>
      </c>
      <c r="E850" t="s">
        <v>5199</v>
      </c>
      <c r="G850" t="s">
        <v>5197</v>
      </c>
      <c r="H850" t="s">
        <v>4041</v>
      </c>
      <c r="J850" t="s">
        <v>5200</v>
      </c>
      <c r="L850" t="s">
        <v>142</v>
      </c>
      <c r="M850" t="s">
        <v>113</v>
      </c>
      <c r="R850" t="s">
        <v>5201</v>
      </c>
      <c r="W850" t="s">
        <v>5199</v>
      </c>
      <c r="X850" t="s">
        <v>5202</v>
      </c>
      <c r="Y850" t="s">
        <v>958</v>
      </c>
      <c r="Z850" t="s">
        <v>117</v>
      </c>
      <c r="AA850" t="str">
        <f>"14226-1206"</f>
        <v>14226-1206</v>
      </c>
      <c r="AB850" t="s">
        <v>118</v>
      </c>
      <c r="AC850" t="s">
        <v>119</v>
      </c>
      <c r="AD850" t="s">
        <v>113</v>
      </c>
      <c r="AE850" t="s">
        <v>120</v>
      </c>
      <c r="AG850" t="s">
        <v>121</v>
      </c>
    </row>
    <row r="851" spans="1:33" x14ac:dyDescent="0.25">
      <c r="A851" t="str">
        <f>"1932360799"</f>
        <v>1932360799</v>
      </c>
      <c r="B851" t="str">
        <f>"03356558"</f>
        <v>03356558</v>
      </c>
      <c r="C851" t="s">
        <v>5203</v>
      </c>
      <c r="D851" t="s">
        <v>5204</v>
      </c>
      <c r="E851" t="s">
        <v>5205</v>
      </c>
      <c r="G851" t="s">
        <v>5206</v>
      </c>
      <c r="H851" t="s">
        <v>5207</v>
      </c>
      <c r="J851" t="s">
        <v>5208</v>
      </c>
      <c r="L851" t="s">
        <v>150</v>
      </c>
      <c r="M851" t="s">
        <v>199</v>
      </c>
      <c r="R851" t="s">
        <v>5209</v>
      </c>
      <c r="W851" t="s">
        <v>5205</v>
      </c>
      <c r="X851" t="s">
        <v>4483</v>
      </c>
      <c r="Y851" t="s">
        <v>116</v>
      </c>
      <c r="Z851" t="s">
        <v>117</v>
      </c>
      <c r="AA851" t="str">
        <f>"14208-2102"</f>
        <v>14208-2102</v>
      </c>
      <c r="AB851" t="s">
        <v>118</v>
      </c>
      <c r="AC851" t="s">
        <v>119</v>
      </c>
      <c r="AD851" t="s">
        <v>113</v>
      </c>
      <c r="AE851" t="s">
        <v>120</v>
      </c>
      <c r="AG851" t="s">
        <v>121</v>
      </c>
    </row>
    <row r="852" spans="1:33" x14ac:dyDescent="0.25">
      <c r="A852" t="str">
        <f>"1932368503"</f>
        <v>1932368503</v>
      </c>
      <c r="B852" t="str">
        <f>"03125573"</f>
        <v>03125573</v>
      </c>
      <c r="C852" t="s">
        <v>5210</v>
      </c>
      <c r="D852" t="s">
        <v>5211</v>
      </c>
      <c r="E852" t="s">
        <v>5212</v>
      </c>
      <c r="G852" t="s">
        <v>5210</v>
      </c>
      <c r="H852" t="s">
        <v>5213</v>
      </c>
      <c r="J852" t="s">
        <v>5214</v>
      </c>
      <c r="L852" t="s">
        <v>142</v>
      </c>
      <c r="M852" t="s">
        <v>113</v>
      </c>
      <c r="R852" t="s">
        <v>5215</v>
      </c>
      <c r="W852" t="s">
        <v>5216</v>
      </c>
      <c r="X852" t="s">
        <v>5217</v>
      </c>
      <c r="Y852" t="s">
        <v>4048</v>
      </c>
      <c r="Z852" t="s">
        <v>117</v>
      </c>
      <c r="AA852" t="str">
        <f>"10305-3436"</f>
        <v>10305-3436</v>
      </c>
      <c r="AB852" t="s">
        <v>118</v>
      </c>
      <c r="AC852" t="s">
        <v>119</v>
      </c>
      <c r="AD852" t="s">
        <v>113</v>
      </c>
      <c r="AE852" t="s">
        <v>120</v>
      </c>
      <c r="AG852" t="s">
        <v>121</v>
      </c>
    </row>
    <row r="853" spans="1:33" x14ac:dyDescent="0.25">
      <c r="A853" t="str">
        <f>"1932369550"</f>
        <v>1932369550</v>
      </c>
      <c r="B853" t="str">
        <f>"02990150"</f>
        <v>02990150</v>
      </c>
      <c r="C853" t="s">
        <v>5218</v>
      </c>
      <c r="D853" t="s">
        <v>5219</v>
      </c>
      <c r="E853" t="s">
        <v>5220</v>
      </c>
      <c r="G853" t="s">
        <v>5218</v>
      </c>
      <c r="H853" t="s">
        <v>937</v>
      </c>
      <c r="J853" t="s">
        <v>5221</v>
      </c>
      <c r="L853" t="s">
        <v>142</v>
      </c>
      <c r="M853" t="s">
        <v>113</v>
      </c>
      <c r="R853" t="s">
        <v>5220</v>
      </c>
      <c r="W853" t="s">
        <v>5222</v>
      </c>
      <c r="X853" t="s">
        <v>3489</v>
      </c>
      <c r="Y853" t="s">
        <v>240</v>
      </c>
      <c r="Z853" t="s">
        <v>117</v>
      </c>
      <c r="AA853" t="str">
        <f>"14221-1713"</f>
        <v>14221-1713</v>
      </c>
      <c r="AB853" t="s">
        <v>118</v>
      </c>
      <c r="AC853" t="s">
        <v>119</v>
      </c>
      <c r="AD853" t="s">
        <v>113</v>
      </c>
      <c r="AE853" t="s">
        <v>120</v>
      </c>
      <c r="AG853" t="s">
        <v>121</v>
      </c>
    </row>
    <row r="854" spans="1:33" x14ac:dyDescent="0.25">
      <c r="A854" t="str">
        <f>"1932379559"</f>
        <v>1932379559</v>
      </c>
      <c r="B854" t="str">
        <f>"02962063"</f>
        <v>02962063</v>
      </c>
      <c r="C854" t="s">
        <v>5223</v>
      </c>
      <c r="D854" t="s">
        <v>5224</v>
      </c>
      <c r="E854" t="s">
        <v>5225</v>
      </c>
      <c r="G854" t="s">
        <v>5223</v>
      </c>
      <c r="H854" t="s">
        <v>744</v>
      </c>
      <c r="J854" t="s">
        <v>5226</v>
      </c>
      <c r="L854" t="s">
        <v>150</v>
      </c>
      <c r="M854" t="s">
        <v>113</v>
      </c>
      <c r="R854" t="s">
        <v>5225</v>
      </c>
      <c r="W854" t="s">
        <v>5225</v>
      </c>
      <c r="X854" t="s">
        <v>5227</v>
      </c>
      <c r="Y854" t="s">
        <v>5228</v>
      </c>
      <c r="Z854" t="s">
        <v>117</v>
      </c>
      <c r="AA854" t="str">
        <f>"14228-2044"</f>
        <v>14228-2044</v>
      </c>
      <c r="AB854" t="s">
        <v>118</v>
      </c>
      <c r="AC854" t="s">
        <v>119</v>
      </c>
      <c r="AD854" t="s">
        <v>113</v>
      </c>
      <c r="AE854" t="s">
        <v>120</v>
      </c>
      <c r="AG854" t="s">
        <v>121</v>
      </c>
    </row>
    <row r="855" spans="1:33" x14ac:dyDescent="0.25">
      <c r="A855" t="str">
        <f>"1932385069"</f>
        <v>1932385069</v>
      </c>
      <c r="B855" t="str">
        <f>"03206719"</f>
        <v>03206719</v>
      </c>
      <c r="C855" t="s">
        <v>5229</v>
      </c>
      <c r="D855" t="s">
        <v>5230</v>
      </c>
      <c r="E855" t="s">
        <v>5231</v>
      </c>
      <c r="G855" t="s">
        <v>5232</v>
      </c>
      <c r="H855" t="s">
        <v>2252</v>
      </c>
      <c r="J855" t="s">
        <v>5233</v>
      </c>
      <c r="L855" t="s">
        <v>112</v>
      </c>
      <c r="M855" t="s">
        <v>113</v>
      </c>
      <c r="R855" t="s">
        <v>5234</v>
      </c>
      <c r="W855" t="s">
        <v>5235</v>
      </c>
      <c r="X855" t="s">
        <v>5236</v>
      </c>
      <c r="Y855" t="s">
        <v>318</v>
      </c>
      <c r="Z855" t="s">
        <v>117</v>
      </c>
      <c r="AA855" t="str">
        <f>"14227-1528"</f>
        <v>14227-1528</v>
      </c>
      <c r="AB855" t="s">
        <v>118</v>
      </c>
      <c r="AC855" t="s">
        <v>119</v>
      </c>
      <c r="AD855" t="s">
        <v>113</v>
      </c>
      <c r="AE855" t="s">
        <v>120</v>
      </c>
      <c r="AG855" t="s">
        <v>121</v>
      </c>
    </row>
    <row r="856" spans="1:33" x14ac:dyDescent="0.25">
      <c r="A856" t="str">
        <f>"1932405727"</f>
        <v>1932405727</v>
      </c>
      <c r="C856" t="s">
        <v>5237</v>
      </c>
      <c r="G856" t="s">
        <v>5238</v>
      </c>
      <c r="J856" t="s">
        <v>438</v>
      </c>
      <c r="K856" t="s">
        <v>303</v>
      </c>
      <c r="L856" t="s">
        <v>112</v>
      </c>
      <c r="M856" t="s">
        <v>113</v>
      </c>
      <c r="R856" t="s">
        <v>5239</v>
      </c>
      <c r="S856" t="s">
        <v>3611</v>
      </c>
      <c r="T856" t="s">
        <v>116</v>
      </c>
      <c r="U856" t="s">
        <v>117</v>
      </c>
      <c r="V856" t="str">
        <f>"142121501"</f>
        <v>142121501</v>
      </c>
      <c r="AC856" t="s">
        <v>119</v>
      </c>
      <c r="AD856" t="s">
        <v>113</v>
      </c>
      <c r="AE856" t="s">
        <v>306</v>
      </c>
      <c r="AG856" t="s">
        <v>121</v>
      </c>
    </row>
    <row r="857" spans="1:33" x14ac:dyDescent="0.25">
      <c r="A857" t="str">
        <f>"1932410206"</f>
        <v>1932410206</v>
      </c>
      <c r="B857" t="str">
        <f>"03353995"</f>
        <v>03353995</v>
      </c>
      <c r="C857" t="s">
        <v>5240</v>
      </c>
      <c r="D857" t="s">
        <v>5241</v>
      </c>
      <c r="E857" t="s">
        <v>5242</v>
      </c>
      <c r="G857" t="s">
        <v>5240</v>
      </c>
      <c r="H857" t="s">
        <v>590</v>
      </c>
      <c r="J857" t="s">
        <v>5243</v>
      </c>
      <c r="L857" t="s">
        <v>112</v>
      </c>
      <c r="M857" t="s">
        <v>199</v>
      </c>
      <c r="R857" t="s">
        <v>5244</v>
      </c>
      <c r="W857" t="s">
        <v>5242</v>
      </c>
      <c r="X857" t="s">
        <v>605</v>
      </c>
      <c r="Y857" t="s">
        <v>326</v>
      </c>
      <c r="Z857" t="s">
        <v>117</v>
      </c>
      <c r="AA857" t="str">
        <f>"14127-2600"</f>
        <v>14127-2600</v>
      </c>
      <c r="AB857" t="s">
        <v>118</v>
      </c>
      <c r="AC857" t="s">
        <v>119</v>
      </c>
      <c r="AD857" t="s">
        <v>113</v>
      </c>
      <c r="AE857" t="s">
        <v>120</v>
      </c>
      <c r="AG857" t="s">
        <v>121</v>
      </c>
    </row>
    <row r="858" spans="1:33" x14ac:dyDescent="0.25">
      <c r="A858" t="str">
        <f>"1932417334"</f>
        <v>1932417334</v>
      </c>
      <c r="B858" t="str">
        <f>"03322561"</f>
        <v>03322561</v>
      </c>
      <c r="C858" t="s">
        <v>5245</v>
      </c>
      <c r="D858" t="s">
        <v>5246</v>
      </c>
      <c r="E858" t="s">
        <v>5247</v>
      </c>
      <c r="G858" t="s">
        <v>5248</v>
      </c>
      <c r="H858" t="s">
        <v>5249</v>
      </c>
      <c r="J858" t="s">
        <v>5250</v>
      </c>
      <c r="L858" t="s">
        <v>150</v>
      </c>
      <c r="M858" t="s">
        <v>199</v>
      </c>
      <c r="R858" t="s">
        <v>5251</v>
      </c>
      <c r="W858" t="s">
        <v>5252</v>
      </c>
      <c r="X858" t="s">
        <v>966</v>
      </c>
      <c r="Y858" t="s">
        <v>116</v>
      </c>
      <c r="Z858" t="s">
        <v>117</v>
      </c>
      <c r="AA858" t="str">
        <f>"14207-1816"</f>
        <v>14207-1816</v>
      </c>
      <c r="AB858" t="s">
        <v>118</v>
      </c>
      <c r="AC858" t="s">
        <v>119</v>
      </c>
      <c r="AD858" t="s">
        <v>113</v>
      </c>
      <c r="AE858" t="s">
        <v>120</v>
      </c>
      <c r="AG858" t="s">
        <v>121</v>
      </c>
    </row>
    <row r="859" spans="1:33" x14ac:dyDescent="0.25">
      <c r="A859" t="str">
        <f>"1932440179"</f>
        <v>1932440179</v>
      </c>
      <c r="C859" t="s">
        <v>5253</v>
      </c>
      <c r="G859" t="s">
        <v>5254</v>
      </c>
      <c r="H859" t="s">
        <v>351</v>
      </c>
      <c r="J859" t="s">
        <v>352</v>
      </c>
      <c r="K859" t="s">
        <v>303</v>
      </c>
      <c r="L859" t="s">
        <v>229</v>
      </c>
      <c r="M859" t="s">
        <v>113</v>
      </c>
      <c r="R859" t="s">
        <v>5255</v>
      </c>
      <c r="S859" t="s">
        <v>354</v>
      </c>
      <c r="T859" t="s">
        <v>116</v>
      </c>
      <c r="U859" t="s">
        <v>117</v>
      </c>
      <c r="V859" t="str">
        <f>"142152814"</f>
        <v>142152814</v>
      </c>
      <c r="AC859" t="s">
        <v>119</v>
      </c>
      <c r="AD859" t="s">
        <v>113</v>
      </c>
      <c r="AE859" t="s">
        <v>306</v>
      </c>
      <c r="AG859" t="s">
        <v>121</v>
      </c>
    </row>
    <row r="860" spans="1:33" x14ac:dyDescent="0.25">
      <c r="A860" t="str">
        <f>"1932513991"</f>
        <v>1932513991</v>
      </c>
      <c r="B860" t="str">
        <f>"04337371"</f>
        <v>04337371</v>
      </c>
      <c r="C860" t="s">
        <v>5256</v>
      </c>
      <c r="D860" t="s">
        <v>5257</v>
      </c>
      <c r="E860" t="s">
        <v>5258</v>
      </c>
      <c r="G860" t="s">
        <v>5259</v>
      </c>
      <c r="H860" t="s">
        <v>5260</v>
      </c>
      <c r="J860" t="s">
        <v>5261</v>
      </c>
      <c r="L860" t="s">
        <v>229</v>
      </c>
      <c r="M860" t="s">
        <v>113</v>
      </c>
      <c r="R860" t="s">
        <v>5262</v>
      </c>
      <c r="W860" t="s">
        <v>5258</v>
      </c>
      <c r="X860" t="s">
        <v>5263</v>
      </c>
      <c r="Y860" t="s">
        <v>116</v>
      </c>
      <c r="Z860" t="s">
        <v>117</v>
      </c>
      <c r="AA860" t="str">
        <f>"14203-1536"</f>
        <v>14203-1536</v>
      </c>
      <c r="AB860" t="s">
        <v>118</v>
      </c>
      <c r="AC860" t="s">
        <v>119</v>
      </c>
      <c r="AD860" t="s">
        <v>113</v>
      </c>
      <c r="AE860" t="s">
        <v>120</v>
      </c>
      <c r="AG860" t="s">
        <v>121</v>
      </c>
    </row>
    <row r="861" spans="1:33" x14ac:dyDescent="0.25">
      <c r="A861" t="str">
        <f>"1932536240"</f>
        <v>1932536240</v>
      </c>
      <c r="B861" t="str">
        <f>"04155006"</f>
        <v>04155006</v>
      </c>
      <c r="C861" t="s">
        <v>5264</v>
      </c>
      <c r="D861" t="s">
        <v>5265</v>
      </c>
      <c r="E861" t="s">
        <v>5266</v>
      </c>
      <c r="G861" t="s">
        <v>5267</v>
      </c>
      <c r="J861" t="s">
        <v>5268</v>
      </c>
      <c r="L861" t="s">
        <v>112</v>
      </c>
      <c r="M861" t="s">
        <v>113</v>
      </c>
      <c r="R861" t="s">
        <v>5266</v>
      </c>
      <c r="W861" t="s">
        <v>5269</v>
      </c>
      <c r="X861" t="s">
        <v>176</v>
      </c>
      <c r="Y861" t="s">
        <v>116</v>
      </c>
      <c r="Z861" t="s">
        <v>117</v>
      </c>
      <c r="AA861" t="str">
        <f>"14203-1126"</f>
        <v>14203-1126</v>
      </c>
      <c r="AB861" t="s">
        <v>118</v>
      </c>
      <c r="AC861" t="s">
        <v>119</v>
      </c>
      <c r="AD861" t="s">
        <v>113</v>
      </c>
      <c r="AE861" t="s">
        <v>120</v>
      </c>
      <c r="AG861" t="s">
        <v>121</v>
      </c>
    </row>
    <row r="862" spans="1:33" x14ac:dyDescent="0.25">
      <c r="A862" t="str">
        <f>"1942200209"</f>
        <v>1942200209</v>
      </c>
      <c r="B862" t="str">
        <f>"00715375"</f>
        <v>00715375</v>
      </c>
      <c r="C862" t="s">
        <v>5270</v>
      </c>
      <c r="D862" t="s">
        <v>5271</v>
      </c>
      <c r="E862" t="s">
        <v>5272</v>
      </c>
      <c r="G862" t="s">
        <v>5270</v>
      </c>
      <c r="H862" t="s">
        <v>1835</v>
      </c>
      <c r="J862" t="s">
        <v>5273</v>
      </c>
      <c r="L862" t="s">
        <v>150</v>
      </c>
      <c r="M862" t="s">
        <v>113</v>
      </c>
      <c r="R862" t="s">
        <v>5274</v>
      </c>
      <c r="W862" t="s">
        <v>5272</v>
      </c>
      <c r="X862" t="s">
        <v>5275</v>
      </c>
      <c r="Y862" t="s">
        <v>240</v>
      </c>
      <c r="Z862" t="s">
        <v>117</v>
      </c>
      <c r="AA862" t="str">
        <f>"14221-5321"</f>
        <v>14221-5321</v>
      </c>
      <c r="AB862" t="s">
        <v>118</v>
      </c>
      <c r="AC862" t="s">
        <v>119</v>
      </c>
      <c r="AD862" t="s">
        <v>113</v>
      </c>
      <c r="AE862" t="s">
        <v>120</v>
      </c>
      <c r="AG862" t="s">
        <v>121</v>
      </c>
    </row>
    <row r="863" spans="1:33" x14ac:dyDescent="0.25">
      <c r="A863" t="str">
        <f>"1942203112"</f>
        <v>1942203112</v>
      </c>
      <c r="B863" t="str">
        <f>"01550361"</f>
        <v>01550361</v>
      </c>
      <c r="C863" t="s">
        <v>5276</v>
      </c>
      <c r="D863" t="s">
        <v>5277</v>
      </c>
      <c r="E863" t="s">
        <v>5278</v>
      </c>
      <c r="G863" t="s">
        <v>5276</v>
      </c>
      <c r="H863" t="s">
        <v>5279</v>
      </c>
      <c r="J863" t="s">
        <v>5280</v>
      </c>
      <c r="L863" t="s">
        <v>112</v>
      </c>
      <c r="M863" t="s">
        <v>113</v>
      </c>
      <c r="R863" t="s">
        <v>5281</v>
      </c>
      <c r="W863" t="s">
        <v>5278</v>
      </c>
      <c r="X863" t="s">
        <v>5282</v>
      </c>
      <c r="Y863" t="s">
        <v>153</v>
      </c>
      <c r="Z863" t="s">
        <v>117</v>
      </c>
      <c r="AA863" t="str">
        <f>"14305"</f>
        <v>14305</v>
      </c>
      <c r="AB863" t="s">
        <v>118</v>
      </c>
      <c r="AC863" t="s">
        <v>119</v>
      </c>
      <c r="AD863" t="s">
        <v>113</v>
      </c>
      <c r="AE863" t="s">
        <v>120</v>
      </c>
      <c r="AG863" t="s">
        <v>121</v>
      </c>
    </row>
    <row r="864" spans="1:33" x14ac:dyDescent="0.25">
      <c r="A864" t="str">
        <f>"1942231717"</f>
        <v>1942231717</v>
      </c>
      <c r="B864" t="str">
        <f>"01747002"</f>
        <v>01747002</v>
      </c>
      <c r="C864" t="s">
        <v>5283</v>
      </c>
      <c r="D864" t="s">
        <v>5284</v>
      </c>
      <c r="E864" t="s">
        <v>5285</v>
      </c>
      <c r="G864" t="s">
        <v>5283</v>
      </c>
      <c r="H864" t="s">
        <v>693</v>
      </c>
      <c r="J864" t="s">
        <v>5286</v>
      </c>
      <c r="L864" t="s">
        <v>112</v>
      </c>
      <c r="M864" t="s">
        <v>113</v>
      </c>
      <c r="R864" t="s">
        <v>5287</v>
      </c>
      <c r="W864" t="s">
        <v>5287</v>
      </c>
      <c r="X864" t="s">
        <v>136</v>
      </c>
      <c r="Y864" t="s">
        <v>116</v>
      </c>
      <c r="Z864" t="s">
        <v>117</v>
      </c>
      <c r="AA864" t="str">
        <f>"14209-1120"</f>
        <v>14209-1120</v>
      </c>
      <c r="AB864" t="s">
        <v>118</v>
      </c>
      <c r="AC864" t="s">
        <v>119</v>
      </c>
      <c r="AD864" t="s">
        <v>113</v>
      </c>
      <c r="AE864" t="s">
        <v>120</v>
      </c>
      <c r="AG864" t="s">
        <v>121</v>
      </c>
    </row>
    <row r="865" spans="1:33" x14ac:dyDescent="0.25">
      <c r="A865" t="str">
        <f>"1942232632"</f>
        <v>1942232632</v>
      </c>
      <c r="B865" t="str">
        <f>"00885218"</f>
        <v>00885218</v>
      </c>
      <c r="C865" t="s">
        <v>5288</v>
      </c>
      <c r="D865" t="s">
        <v>5289</v>
      </c>
      <c r="E865" t="s">
        <v>5290</v>
      </c>
      <c r="G865" t="s">
        <v>5288</v>
      </c>
      <c r="H865" t="s">
        <v>5291</v>
      </c>
      <c r="J865" t="s">
        <v>5292</v>
      </c>
      <c r="L865" t="s">
        <v>150</v>
      </c>
      <c r="M865" t="s">
        <v>113</v>
      </c>
      <c r="R865" t="s">
        <v>5293</v>
      </c>
      <c r="W865" t="s">
        <v>5294</v>
      </c>
      <c r="X865" t="s">
        <v>5295</v>
      </c>
      <c r="Y865" t="s">
        <v>116</v>
      </c>
      <c r="Z865" t="s">
        <v>117</v>
      </c>
      <c r="AA865" t="str">
        <f>"14220-1700"</f>
        <v>14220-1700</v>
      </c>
      <c r="AB865" t="s">
        <v>118</v>
      </c>
      <c r="AC865" t="s">
        <v>119</v>
      </c>
      <c r="AD865" t="s">
        <v>113</v>
      </c>
      <c r="AE865" t="s">
        <v>120</v>
      </c>
      <c r="AG865" t="s">
        <v>121</v>
      </c>
    </row>
    <row r="866" spans="1:33" x14ac:dyDescent="0.25">
      <c r="A866" t="str">
        <f>"1942234489"</f>
        <v>1942234489</v>
      </c>
      <c r="B866" t="str">
        <f>"01592474"</f>
        <v>01592474</v>
      </c>
      <c r="C866" t="s">
        <v>5296</v>
      </c>
      <c r="D866" t="s">
        <v>5297</v>
      </c>
      <c r="E866" t="s">
        <v>5298</v>
      </c>
      <c r="G866" t="s">
        <v>5296</v>
      </c>
      <c r="H866" t="s">
        <v>5299</v>
      </c>
      <c r="J866" t="s">
        <v>5300</v>
      </c>
      <c r="L866" t="s">
        <v>150</v>
      </c>
      <c r="M866" t="s">
        <v>199</v>
      </c>
      <c r="R866" t="s">
        <v>5301</v>
      </c>
      <c r="W866" t="s">
        <v>5298</v>
      </c>
      <c r="X866" t="s">
        <v>5302</v>
      </c>
      <c r="Y866" t="s">
        <v>326</v>
      </c>
      <c r="Z866" t="s">
        <v>117</v>
      </c>
      <c r="AA866" t="str">
        <f>"14127-1732"</f>
        <v>14127-1732</v>
      </c>
      <c r="AB866" t="s">
        <v>118</v>
      </c>
      <c r="AC866" t="s">
        <v>119</v>
      </c>
      <c r="AD866" t="s">
        <v>113</v>
      </c>
      <c r="AE866" t="s">
        <v>120</v>
      </c>
      <c r="AG866" t="s">
        <v>121</v>
      </c>
    </row>
    <row r="867" spans="1:33" x14ac:dyDescent="0.25">
      <c r="A867" t="str">
        <f>"1942249958"</f>
        <v>1942249958</v>
      </c>
      <c r="B867" t="str">
        <f>"00633289"</f>
        <v>00633289</v>
      </c>
      <c r="C867" t="s">
        <v>5303</v>
      </c>
      <c r="D867" t="s">
        <v>5304</v>
      </c>
      <c r="E867" t="s">
        <v>5305</v>
      </c>
      <c r="G867" t="s">
        <v>5303</v>
      </c>
      <c r="H867" t="s">
        <v>5306</v>
      </c>
      <c r="J867" t="s">
        <v>5307</v>
      </c>
      <c r="L867" t="s">
        <v>142</v>
      </c>
      <c r="M867" t="s">
        <v>113</v>
      </c>
      <c r="R867" t="s">
        <v>5308</v>
      </c>
      <c r="W867" t="s">
        <v>5305</v>
      </c>
      <c r="X867" t="s">
        <v>5309</v>
      </c>
      <c r="Y867" t="s">
        <v>958</v>
      </c>
      <c r="Z867" t="s">
        <v>117</v>
      </c>
      <c r="AA867" t="str">
        <f>"14226-1904"</f>
        <v>14226-1904</v>
      </c>
      <c r="AB867" t="s">
        <v>118</v>
      </c>
      <c r="AC867" t="s">
        <v>119</v>
      </c>
      <c r="AD867" t="s">
        <v>113</v>
      </c>
      <c r="AE867" t="s">
        <v>120</v>
      </c>
      <c r="AG867" t="s">
        <v>121</v>
      </c>
    </row>
    <row r="868" spans="1:33" x14ac:dyDescent="0.25">
      <c r="C868" t="s">
        <v>5310</v>
      </c>
      <c r="G868" t="s">
        <v>5311</v>
      </c>
      <c r="H868" t="s">
        <v>5312</v>
      </c>
      <c r="J868" t="s">
        <v>5313</v>
      </c>
      <c r="K868" t="s">
        <v>303</v>
      </c>
      <c r="L868" t="s">
        <v>3095</v>
      </c>
      <c r="M868" t="s">
        <v>113</v>
      </c>
      <c r="AC868" t="s">
        <v>119</v>
      </c>
      <c r="AD868" t="s">
        <v>113</v>
      </c>
      <c r="AE868" t="s">
        <v>3098</v>
      </c>
      <c r="AG868" t="s">
        <v>121</v>
      </c>
    </row>
    <row r="869" spans="1:33" x14ac:dyDescent="0.25">
      <c r="C869" t="s">
        <v>5314</v>
      </c>
      <c r="G869" t="s">
        <v>5311</v>
      </c>
      <c r="H869" t="s">
        <v>5315</v>
      </c>
      <c r="J869" t="s">
        <v>5313</v>
      </c>
      <c r="K869" t="s">
        <v>303</v>
      </c>
      <c r="L869" t="s">
        <v>3095</v>
      </c>
      <c r="M869" t="s">
        <v>113</v>
      </c>
      <c r="AC869" t="s">
        <v>119</v>
      </c>
      <c r="AD869" t="s">
        <v>113</v>
      </c>
      <c r="AE869" t="s">
        <v>3098</v>
      </c>
      <c r="AG869" t="s">
        <v>121</v>
      </c>
    </row>
    <row r="870" spans="1:33" x14ac:dyDescent="0.25">
      <c r="C870" t="s">
        <v>5316</v>
      </c>
      <c r="G870" t="s">
        <v>5311</v>
      </c>
      <c r="H870" t="s">
        <v>5315</v>
      </c>
      <c r="J870" t="s">
        <v>5313</v>
      </c>
      <c r="K870" t="s">
        <v>303</v>
      </c>
      <c r="L870" t="s">
        <v>3095</v>
      </c>
      <c r="M870" t="s">
        <v>113</v>
      </c>
      <c r="AC870" t="s">
        <v>119</v>
      </c>
      <c r="AD870" t="s">
        <v>113</v>
      </c>
      <c r="AE870" t="s">
        <v>3098</v>
      </c>
      <c r="AG870" t="s">
        <v>121</v>
      </c>
    </row>
    <row r="871" spans="1:33" x14ac:dyDescent="0.25">
      <c r="A871" t="str">
        <f>"1821054057"</f>
        <v>1821054057</v>
      </c>
      <c r="B871" t="str">
        <f>"02129404"</f>
        <v>02129404</v>
      </c>
      <c r="C871" t="s">
        <v>5317</v>
      </c>
      <c r="D871" t="s">
        <v>5318</v>
      </c>
      <c r="E871" t="s">
        <v>5319</v>
      </c>
      <c r="G871" t="s">
        <v>5317</v>
      </c>
      <c r="H871" t="s">
        <v>4847</v>
      </c>
      <c r="J871" t="s">
        <v>5320</v>
      </c>
      <c r="L871" t="s">
        <v>142</v>
      </c>
      <c r="M871" t="s">
        <v>113</v>
      </c>
      <c r="R871" t="s">
        <v>5321</v>
      </c>
      <c r="W871" t="s">
        <v>5319</v>
      </c>
      <c r="X871" t="s">
        <v>5322</v>
      </c>
      <c r="Y871" t="s">
        <v>116</v>
      </c>
      <c r="Z871" t="s">
        <v>117</v>
      </c>
      <c r="AA871" t="str">
        <f>"14226-1727"</f>
        <v>14226-1727</v>
      </c>
      <c r="AB871" t="s">
        <v>118</v>
      </c>
      <c r="AC871" t="s">
        <v>119</v>
      </c>
      <c r="AD871" t="s">
        <v>113</v>
      </c>
      <c r="AE871" t="s">
        <v>120</v>
      </c>
      <c r="AG871" t="s">
        <v>121</v>
      </c>
    </row>
    <row r="872" spans="1:33" x14ac:dyDescent="0.25">
      <c r="A872" t="str">
        <f>"1821054792"</f>
        <v>1821054792</v>
      </c>
      <c r="B872" t="str">
        <f>"01633792"</f>
        <v>01633792</v>
      </c>
      <c r="C872" t="s">
        <v>5323</v>
      </c>
      <c r="D872" t="s">
        <v>5324</v>
      </c>
      <c r="E872" t="s">
        <v>5325</v>
      </c>
      <c r="G872" t="s">
        <v>5326</v>
      </c>
      <c r="H872" t="s">
        <v>5327</v>
      </c>
      <c r="I872">
        <v>110</v>
      </c>
      <c r="J872" t="s">
        <v>5328</v>
      </c>
      <c r="L872" t="s">
        <v>150</v>
      </c>
      <c r="M872" t="s">
        <v>113</v>
      </c>
      <c r="R872" t="s">
        <v>5329</v>
      </c>
      <c r="W872" t="s">
        <v>5330</v>
      </c>
      <c r="X872" t="s">
        <v>5331</v>
      </c>
      <c r="Y872" t="s">
        <v>2946</v>
      </c>
      <c r="Z872" t="s">
        <v>117</v>
      </c>
      <c r="AA872" t="str">
        <f>"14075-3738"</f>
        <v>14075-3738</v>
      </c>
      <c r="AB872" t="s">
        <v>118</v>
      </c>
      <c r="AC872" t="s">
        <v>119</v>
      </c>
      <c r="AD872" t="s">
        <v>113</v>
      </c>
      <c r="AE872" t="s">
        <v>120</v>
      </c>
      <c r="AG872" t="s">
        <v>121</v>
      </c>
    </row>
    <row r="873" spans="1:33" x14ac:dyDescent="0.25">
      <c r="A873" t="str">
        <f>"1821056573"</f>
        <v>1821056573</v>
      </c>
      <c r="B873" t="str">
        <f>"01946643"</f>
        <v>01946643</v>
      </c>
      <c r="C873" t="s">
        <v>5332</v>
      </c>
      <c r="D873" t="s">
        <v>5333</v>
      </c>
      <c r="E873" t="s">
        <v>5334</v>
      </c>
      <c r="G873" t="s">
        <v>5332</v>
      </c>
      <c r="H873" t="s">
        <v>908</v>
      </c>
      <c r="J873" t="s">
        <v>5335</v>
      </c>
      <c r="L873" t="s">
        <v>142</v>
      </c>
      <c r="M873" t="s">
        <v>113</v>
      </c>
      <c r="R873" t="s">
        <v>5336</v>
      </c>
      <c r="W873" t="s">
        <v>5334</v>
      </c>
      <c r="X873" t="s">
        <v>1845</v>
      </c>
      <c r="Y873" t="s">
        <v>816</v>
      </c>
      <c r="Z873" t="s">
        <v>117</v>
      </c>
      <c r="AA873" t="str">
        <f>"14120-6150"</f>
        <v>14120-6150</v>
      </c>
      <c r="AB873" t="s">
        <v>118</v>
      </c>
      <c r="AC873" t="s">
        <v>119</v>
      </c>
      <c r="AD873" t="s">
        <v>113</v>
      </c>
      <c r="AE873" t="s">
        <v>120</v>
      </c>
      <c r="AG873" t="s">
        <v>121</v>
      </c>
    </row>
    <row r="874" spans="1:33" x14ac:dyDescent="0.25">
      <c r="A874" t="str">
        <f>"1821056698"</f>
        <v>1821056698</v>
      </c>
      <c r="B874" t="str">
        <f>"02526149"</f>
        <v>02526149</v>
      </c>
      <c r="C874" t="s">
        <v>5337</v>
      </c>
      <c r="D874" t="s">
        <v>5338</v>
      </c>
      <c r="E874" t="s">
        <v>5339</v>
      </c>
      <c r="G874" t="s">
        <v>5340</v>
      </c>
      <c r="H874" t="s">
        <v>3930</v>
      </c>
      <c r="J874" t="s">
        <v>5341</v>
      </c>
      <c r="L874" t="s">
        <v>142</v>
      </c>
      <c r="M874" t="s">
        <v>113</v>
      </c>
      <c r="R874" t="s">
        <v>5342</v>
      </c>
      <c r="W874" t="s">
        <v>5339</v>
      </c>
      <c r="X874" t="s">
        <v>5343</v>
      </c>
      <c r="Y874" t="s">
        <v>1381</v>
      </c>
      <c r="Z874" t="s">
        <v>117</v>
      </c>
      <c r="AA874" t="str">
        <f>"14063-1716"</f>
        <v>14063-1716</v>
      </c>
      <c r="AB874" t="s">
        <v>118</v>
      </c>
      <c r="AC874" t="s">
        <v>119</v>
      </c>
      <c r="AD874" t="s">
        <v>113</v>
      </c>
      <c r="AE874" t="s">
        <v>120</v>
      </c>
      <c r="AG874" t="s">
        <v>121</v>
      </c>
    </row>
    <row r="875" spans="1:33" x14ac:dyDescent="0.25">
      <c r="A875" t="str">
        <f>"1821058108"</f>
        <v>1821058108</v>
      </c>
      <c r="B875" t="str">
        <f>"00891492"</f>
        <v>00891492</v>
      </c>
      <c r="C875" t="s">
        <v>923</v>
      </c>
      <c r="D875" t="s">
        <v>5344</v>
      </c>
      <c r="E875" t="s">
        <v>5345</v>
      </c>
      <c r="H875" t="s">
        <v>925</v>
      </c>
      <c r="L875" t="s">
        <v>69</v>
      </c>
      <c r="M875" t="s">
        <v>199</v>
      </c>
      <c r="R875" t="s">
        <v>923</v>
      </c>
      <c r="W875" t="s">
        <v>5345</v>
      </c>
      <c r="X875" t="s">
        <v>5346</v>
      </c>
      <c r="Y875" t="s">
        <v>377</v>
      </c>
      <c r="Z875" t="s">
        <v>117</v>
      </c>
      <c r="AA875" t="str">
        <f>"14217-1609"</f>
        <v>14217-1609</v>
      </c>
      <c r="AB875" t="s">
        <v>282</v>
      </c>
      <c r="AC875" t="s">
        <v>119</v>
      </c>
      <c r="AD875" t="s">
        <v>113</v>
      </c>
      <c r="AE875" t="s">
        <v>120</v>
      </c>
      <c r="AG875" t="s">
        <v>121</v>
      </c>
    </row>
    <row r="876" spans="1:33" x14ac:dyDescent="0.25">
      <c r="A876" t="str">
        <f>"1881858702"</f>
        <v>1881858702</v>
      </c>
      <c r="B876" t="str">
        <f>"03486399"</f>
        <v>03486399</v>
      </c>
      <c r="C876" t="s">
        <v>5347</v>
      </c>
      <c r="D876" t="s">
        <v>5348</v>
      </c>
      <c r="E876" t="s">
        <v>5349</v>
      </c>
      <c r="G876" t="s">
        <v>5347</v>
      </c>
      <c r="H876" t="s">
        <v>5350</v>
      </c>
      <c r="J876" t="s">
        <v>5351</v>
      </c>
      <c r="L876" t="s">
        <v>142</v>
      </c>
      <c r="M876" t="s">
        <v>113</v>
      </c>
      <c r="R876" t="s">
        <v>5352</v>
      </c>
      <c r="W876" t="s">
        <v>5349</v>
      </c>
      <c r="X876" t="s">
        <v>5353</v>
      </c>
      <c r="Y876" t="s">
        <v>240</v>
      </c>
      <c r="Z876" t="s">
        <v>117</v>
      </c>
      <c r="AA876" t="str">
        <f>"14221-5367"</f>
        <v>14221-5367</v>
      </c>
      <c r="AB876" t="s">
        <v>118</v>
      </c>
      <c r="AC876" t="s">
        <v>119</v>
      </c>
      <c r="AD876" t="s">
        <v>113</v>
      </c>
      <c r="AE876" t="s">
        <v>120</v>
      </c>
      <c r="AG876" t="s">
        <v>121</v>
      </c>
    </row>
    <row r="877" spans="1:33" x14ac:dyDescent="0.25">
      <c r="A877" t="str">
        <f>"1487604955"</f>
        <v>1487604955</v>
      </c>
      <c r="B877" t="str">
        <f>"00617221"</f>
        <v>00617221</v>
      </c>
      <c r="C877" t="s">
        <v>5354</v>
      </c>
      <c r="D877" t="s">
        <v>5355</v>
      </c>
      <c r="E877" t="s">
        <v>5356</v>
      </c>
      <c r="G877" t="s">
        <v>5354</v>
      </c>
      <c r="H877" t="s">
        <v>5357</v>
      </c>
      <c r="J877" t="s">
        <v>5358</v>
      </c>
      <c r="L877" t="s">
        <v>728</v>
      </c>
      <c r="M877" t="s">
        <v>113</v>
      </c>
      <c r="R877" t="s">
        <v>5359</v>
      </c>
      <c r="W877" t="s">
        <v>5356</v>
      </c>
      <c r="X877" t="s">
        <v>5360</v>
      </c>
      <c r="Y877" t="s">
        <v>116</v>
      </c>
      <c r="Z877" t="s">
        <v>117</v>
      </c>
      <c r="AA877" t="str">
        <f>"14209"</f>
        <v>14209</v>
      </c>
      <c r="AB877" t="s">
        <v>118</v>
      </c>
      <c r="AC877" t="s">
        <v>119</v>
      </c>
      <c r="AD877" t="s">
        <v>113</v>
      </c>
      <c r="AE877" t="s">
        <v>120</v>
      </c>
      <c r="AG877" t="s">
        <v>121</v>
      </c>
    </row>
    <row r="878" spans="1:33" x14ac:dyDescent="0.25">
      <c r="A878" t="str">
        <f>"1487605150"</f>
        <v>1487605150</v>
      </c>
      <c r="B878" t="str">
        <f>"00605147"</f>
        <v>00605147</v>
      </c>
      <c r="C878" t="s">
        <v>5361</v>
      </c>
      <c r="D878" t="s">
        <v>5362</v>
      </c>
      <c r="E878" t="s">
        <v>5363</v>
      </c>
      <c r="H878" t="s">
        <v>5364</v>
      </c>
      <c r="L878" t="s">
        <v>150</v>
      </c>
      <c r="M878" t="s">
        <v>113</v>
      </c>
      <c r="R878" t="s">
        <v>5365</v>
      </c>
      <c r="W878" t="s">
        <v>5363</v>
      </c>
      <c r="X878" t="s">
        <v>5366</v>
      </c>
      <c r="Y878" t="s">
        <v>541</v>
      </c>
      <c r="Z878" t="s">
        <v>117</v>
      </c>
      <c r="AA878" t="str">
        <f>"14048-2407"</f>
        <v>14048-2407</v>
      </c>
      <c r="AB878" t="s">
        <v>118</v>
      </c>
      <c r="AC878" t="s">
        <v>119</v>
      </c>
      <c r="AD878" t="s">
        <v>113</v>
      </c>
      <c r="AE878" t="s">
        <v>120</v>
      </c>
      <c r="AG878" t="s">
        <v>121</v>
      </c>
    </row>
    <row r="879" spans="1:33" x14ac:dyDescent="0.25">
      <c r="A879" t="str">
        <f>"1487605333"</f>
        <v>1487605333</v>
      </c>
      <c r="B879" t="str">
        <f>"02752207"</f>
        <v>02752207</v>
      </c>
      <c r="C879" t="s">
        <v>5367</v>
      </c>
      <c r="D879" t="s">
        <v>5368</v>
      </c>
      <c r="E879" t="s">
        <v>5369</v>
      </c>
      <c r="G879" t="s">
        <v>5367</v>
      </c>
      <c r="H879" t="s">
        <v>5370</v>
      </c>
      <c r="J879" t="s">
        <v>5371</v>
      </c>
      <c r="L879" t="s">
        <v>1033</v>
      </c>
      <c r="M879" t="s">
        <v>113</v>
      </c>
      <c r="R879" t="s">
        <v>5372</v>
      </c>
      <c r="W879" t="s">
        <v>5369</v>
      </c>
      <c r="X879" t="s">
        <v>5373</v>
      </c>
      <c r="Y879" t="s">
        <v>958</v>
      </c>
      <c r="Z879" t="s">
        <v>117</v>
      </c>
      <c r="AA879" t="str">
        <f>"14228-1300"</f>
        <v>14228-1300</v>
      </c>
      <c r="AB879" t="s">
        <v>118</v>
      </c>
      <c r="AC879" t="s">
        <v>119</v>
      </c>
      <c r="AD879" t="s">
        <v>113</v>
      </c>
      <c r="AE879" t="s">
        <v>120</v>
      </c>
      <c r="AG879" t="s">
        <v>121</v>
      </c>
    </row>
    <row r="880" spans="1:33" x14ac:dyDescent="0.25">
      <c r="A880" t="str">
        <f>"1598886418"</f>
        <v>1598886418</v>
      </c>
      <c r="B880" t="str">
        <f>"03731495"</f>
        <v>03731495</v>
      </c>
      <c r="C880" t="s">
        <v>5374</v>
      </c>
      <c r="D880" t="s">
        <v>5375</v>
      </c>
      <c r="E880" t="s">
        <v>5376</v>
      </c>
      <c r="G880" t="s">
        <v>5377</v>
      </c>
      <c r="J880" t="s">
        <v>5378</v>
      </c>
      <c r="L880" t="s">
        <v>112</v>
      </c>
      <c r="M880" t="s">
        <v>113</v>
      </c>
      <c r="R880" t="s">
        <v>5379</v>
      </c>
      <c r="W880" t="s">
        <v>5376</v>
      </c>
      <c r="X880" t="s">
        <v>5380</v>
      </c>
      <c r="Y880" t="s">
        <v>816</v>
      </c>
      <c r="Z880" t="s">
        <v>117</v>
      </c>
      <c r="AA880" t="str">
        <f>"14120-5816"</f>
        <v>14120-5816</v>
      </c>
      <c r="AB880" t="s">
        <v>118</v>
      </c>
      <c r="AC880" t="s">
        <v>119</v>
      </c>
      <c r="AD880" t="s">
        <v>113</v>
      </c>
      <c r="AE880" t="s">
        <v>120</v>
      </c>
      <c r="AG880" t="s">
        <v>121</v>
      </c>
    </row>
    <row r="881" spans="1:33" x14ac:dyDescent="0.25">
      <c r="A881" t="str">
        <f>"1598907172"</f>
        <v>1598907172</v>
      </c>
      <c r="B881" t="str">
        <f>"03465107"</f>
        <v>03465107</v>
      </c>
      <c r="C881" t="s">
        <v>5381</v>
      </c>
      <c r="D881" t="s">
        <v>5382</v>
      </c>
      <c r="E881" t="s">
        <v>5383</v>
      </c>
      <c r="G881" t="s">
        <v>5381</v>
      </c>
      <c r="J881" t="s">
        <v>5384</v>
      </c>
      <c r="L881" t="s">
        <v>142</v>
      </c>
      <c r="M881" t="s">
        <v>113</v>
      </c>
      <c r="R881" t="s">
        <v>5385</v>
      </c>
      <c r="W881" t="s">
        <v>5383</v>
      </c>
      <c r="X881" t="s">
        <v>176</v>
      </c>
      <c r="Y881" t="s">
        <v>116</v>
      </c>
      <c r="Z881" t="s">
        <v>117</v>
      </c>
      <c r="AA881" t="str">
        <f>"14203-1126"</f>
        <v>14203-1126</v>
      </c>
      <c r="AB881" t="s">
        <v>118</v>
      </c>
      <c r="AC881" t="s">
        <v>119</v>
      </c>
      <c r="AD881" t="s">
        <v>113</v>
      </c>
      <c r="AE881" t="s">
        <v>120</v>
      </c>
      <c r="AG881" t="s">
        <v>121</v>
      </c>
    </row>
    <row r="882" spans="1:33" x14ac:dyDescent="0.25">
      <c r="A882" t="str">
        <f>"1598935769"</f>
        <v>1598935769</v>
      </c>
      <c r="B882" t="str">
        <f>"02990123"</f>
        <v>02990123</v>
      </c>
      <c r="C882" t="s">
        <v>5386</v>
      </c>
      <c r="D882" t="s">
        <v>5387</v>
      </c>
      <c r="E882" t="s">
        <v>5388</v>
      </c>
      <c r="G882" t="s">
        <v>5386</v>
      </c>
      <c r="H882" t="s">
        <v>5389</v>
      </c>
      <c r="J882" t="s">
        <v>5390</v>
      </c>
      <c r="L882" t="s">
        <v>142</v>
      </c>
      <c r="M882" t="s">
        <v>113</v>
      </c>
      <c r="R882" t="s">
        <v>5391</v>
      </c>
      <c r="W882" t="s">
        <v>5392</v>
      </c>
      <c r="X882" t="s">
        <v>838</v>
      </c>
      <c r="Y882" t="s">
        <v>240</v>
      </c>
      <c r="Z882" t="s">
        <v>117</v>
      </c>
      <c r="AA882" t="str">
        <f>"14221-3647"</f>
        <v>14221-3647</v>
      </c>
      <c r="AB882" t="s">
        <v>118</v>
      </c>
      <c r="AC882" t="s">
        <v>119</v>
      </c>
      <c r="AD882" t="s">
        <v>113</v>
      </c>
      <c r="AE882" t="s">
        <v>120</v>
      </c>
      <c r="AG882" t="s">
        <v>121</v>
      </c>
    </row>
    <row r="883" spans="1:33" x14ac:dyDescent="0.25">
      <c r="A883" t="str">
        <f>"1598972796"</f>
        <v>1598972796</v>
      </c>
      <c r="C883" t="s">
        <v>5393</v>
      </c>
      <c r="G883" t="s">
        <v>5394</v>
      </c>
      <c r="H883" t="s">
        <v>5395</v>
      </c>
      <c r="J883" t="s">
        <v>352</v>
      </c>
      <c r="K883" t="s">
        <v>303</v>
      </c>
      <c r="L883" t="s">
        <v>229</v>
      </c>
      <c r="M883" t="s">
        <v>113</v>
      </c>
      <c r="R883" t="s">
        <v>5396</v>
      </c>
      <c r="S883" t="s">
        <v>1091</v>
      </c>
      <c r="T883" t="s">
        <v>116</v>
      </c>
      <c r="U883" t="s">
        <v>117</v>
      </c>
      <c r="V883" t="str">
        <f>"142072341"</f>
        <v>142072341</v>
      </c>
      <c r="AC883" t="s">
        <v>119</v>
      </c>
      <c r="AD883" t="s">
        <v>113</v>
      </c>
      <c r="AE883" t="s">
        <v>306</v>
      </c>
      <c r="AG883" t="s">
        <v>121</v>
      </c>
    </row>
    <row r="884" spans="1:33" x14ac:dyDescent="0.25">
      <c r="A884" t="str">
        <f>"1598975443"</f>
        <v>1598975443</v>
      </c>
      <c r="B884" t="str">
        <f>"00480988"</f>
        <v>00480988</v>
      </c>
      <c r="C884" t="s">
        <v>5397</v>
      </c>
      <c r="D884" t="s">
        <v>5398</v>
      </c>
      <c r="E884" t="s">
        <v>5399</v>
      </c>
      <c r="G884" t="s">
        <v>5397</v>
      </c>
      <c r="H884" t="s">
        <v>5400</v>
      </c>
      <c r="J884" t="s">
        <v>5401</v>
      </c>
      <c r="L884" t="s">
        <v>229</v>
      </c>
      <c r="M884" t="s">
        <v>113</v>
      </c>
      <c r="R884" t="s">
        <v>5402</v>
      </c>
      <c r="W884" t="s">
        <v>5399</v>
      </c>
      <c r="X884" t="s">
        <v>5403</v>
      </c>
      <c r="Y884" t="s">
        <v>116</v>
      </c>
      <c r="Z884" t="s">
        <v>117</v>
      </c>
      <c r="AA884" t="str">
        <f>"14203-1149"</f>
        <v>14203-1149</v>
      </c>
      <c r="AB884" t="s">
        <v>118</v>
      </c>
      <c r="AC884" t="s">
        <v>119</v>
      </c>
      <c r="AD884" t="s">
        <v>113</v>
      </c>
      <c r="AE884" t="s">
        <v>120</v>
      </c>
      <c r="AG884" t="s">
        <v>121</v>
      </c>
    </row>
    <row r="885" spans="1:33" x14ac:dyDescent="0.25">
      <c r="A885" t="str">
        <f>"1598976391"</f>
        <v>1598976391</v>
      </c>
      <c r="B885" t="str">
        <f>"03129559"</f>
        <v>03129559</v>
      </c>
      <c r="C885" t="s">
        <v>5404</v>
      </c>
      <c r="D885" t="s">
        <v>5405</v>
      </c>
      <c r="E885" t="s">
        <v>5406</v>
      </c>
      <c r="G885" t="s">
        <v>5407</v>
      </c>
      <c r="H885" t="s">
        <v>5408</v>
      </c>
      <c r="J885" t="s">
        <v>5409</v>
      </c>
      <c r="L885" t="s">
        <v>112</v>
      </c>
      <c r="M885" t="s">
        <v>199</v>
      </c>
      <c r="R885" t="s">
        <v>5410</v>
      </c>
      <c r="W885" t="s">
        <v>5411</v>
      </c>
      <c r="X885" t="s">
        <v>4928</v>
      </c>
      <c r="Y885" t="s">
        <v>240</v>
      </c>
      <c r="Z885" t="s">
        <v>117</v>
      </c>
      <c r="AA885" t="str">
        <f>"14221-5258"</f>
        <v>14221-5258</v>
      </c>
      <c r="AB885" t="s">
        <v>118</v>
      </c>
      <c r="AC885" t="s">
        <v>119</v>
      </c>
      <c r="AD885" t="s">
        <v>113</v>
      </c>
      <c r="AE885" t="s">
        <v>120</v>
      </c>
      <c r="AG885" t="s">
        <v>121</v>
      </c>
    </row>
    <row r="886" spans="1:33" x14ac:dyDescent="0.25">
      <c r="A886" t="str">
        <f>"1609010628"</f>
        <v>1609010628</v>
      </c>
      <c r="B886" t="str">
        <f>"03105066"</f>
        <v>03105066</v>
      </c>
      <c r="C886" t="s">
        <v>5412</v>
      </c>
      <c r="D886" t="s">
        <v>5413</v>
      </c>
      <c r="E886" t="s">
        <v>5414</v>
      </c>
      <c r="G886" t="s">
        <v>5412</v>
      </c>
      <c r="H886" t="s">
        <v>5415</v>
      </c>
      <c r="J886" t="s">
        <v>5416</v>
      </c>
      <c r="L886" t="s">
        <v>1033</v>
      </c>
      <c r="M886" t="s">
        <v>113</v>
      </c>
      <c r="R886" t="s">
        <v>5417</v>
      </c>
      <c r="W886" t="s">
        <v>5414</v>
      </c>
      <c r="X886" t="s">
        <v>5418</v>
      </c>
      <c r="Y886" t="s">
        <v>116</v>
      </c>
      <c r="Z886" t="s">
        <v>117</v>
      </c>
      <c r="AA886" t="str">
        <f>"14226-1206"</f>
        <v>14226-1206</v>
      </c>
      <c r="AB886" t="s">
        <v>2359</v>
      </c>
      <c r="AC886" t="s">
        <v>119</v>
      </c>
      <c r="AD886" t="s">
        <v>113</v>
      </c>
      <c r="AE886" t="s">
        <v>120</v>
      </c>
      <c r="AG886" t="s">
        <v>121</v>
      </c>
    </row>
    <row r="887" spans="1:33" x14ac:dyDescent="0.25">
      <c r="A887" t="str">
        <f>"1609024637"</f>
        <v>1609024637</v>
      </c>
      <c r="C887" t="s">
        <v>5419</v>
      </c>
      <c r="G887" t="s">
        <v>5419</v>
      </c>
      <c r="H887" t="s">
        <v>5420</v>
      </c>
      <c r="J887" t="s">
        <v>5421</v>
      </c>
      <c r="K887" t="s">
        <v>303</v>
      </c>
      <c r="L887" t="s">
        <v>229</v>
      </c>
      <c r="M887" t="s">
        <v>113</v>
      </c>
      <c r="R887" t="s">
        <v>5422</v>
      </c>
      <c r="S887" t="s">
        <v>5423</v>
      </c>
      <c r="T887" t="s">
        <v>116</v>
      </c>
      <c r="U887" t="s">
        <v>117</v>
      </c>
      <c r="V887" t="str">
        <f>"142141722"</f>
        <v>142141722</v>
      </c>
      <c r="AC887" t="s">
        <v>119</v>
      </c>
      <c r="AD887" t="s">
        <v>113</v>
      </c>
      <c r="AE887" t="s">
        <v>306</v>
      </c>
      <c r="AG887" t="s">
        <v>121</v>
      </c>
    </row>
    <row r="888" spans="1:33" x14ac:dyDescent="0.25">
      <c r="A888" t="str">
        <f>"1609042605"</f>
        <v>1609042605</v>
      </c>
      <c r="B888" t="str">
        <f>"00353677"</f>
        <v>00353677</v>
      </c>
      <c r="C888" t="s">
        <v>3480</v>
      </c>
      <c r="D888" t="s">
        <v>5424</v>
      </c>
      <c r="E888" t="s">
        <v>5425</v>
      </c>
      <c r="H888" t="s">
        <v>5426</v>
      </c>
      <c r="L888" t="s">
        <v>229</v>
      </c>
      <c r="M888" t="s">
        <v>199</v>
      </c>
      <c r="R888" t="s">
        <v>3480</v>
      </c>
      <c r="W888" t="s">
        <v>5425</v>
      </c>
      <c r="X888" t="s">
        <v>740</v>
      </c>
      <c r="Y888" t="s">
        <v>116</v>
      </c>
      <c r="Z888" t="s">
        <v>117</v>
      </c>
      <c r="AA888" t="str">
        <f>"14202-1804"</f>
        <v>14202-1804</v>
      </c>
      <c r="AB888" t="s">
        <v>5427</v>
      </c>
      <c r="AC888" t="s">
        <v>119</v>
      </c>
      <c r="AD888" t="s">
        <v>113</v>
      </c>
      <c r="AE888" t="s">
        <v>120</v>
      </c>
      <c r="AG888" t="s">
        <v>121</v>
      </c>
    </row>
    <row r="889" spans="1:33" x14ac:dyDescent="0.25">
      <c r="A889" t="str">
        <f>"1609044866"</f>
        <v>1609044866</v>
      </c>
      <c r="B889" t="str">
        <f>"03529908"</f>
        <v>03529908</v>
      </c>
      <c r="C889" t="s">
        <v>5428</v>
      </c>
      <c r="D889" t="s">
        <v>5429</v>
      </c>
      <c r="E889" t="s">
        <v>5430</v>
      </c>
      <c r="G889" t="s">
        <v>5431</v>
      </c>
      <c r="H889" t="s">
        <v>590</v>
      </c>
      <c r="J889" t="s">
        <v>5432</v>
      </c>
      <c r="L889" t="s">
        <v>229</v>
      </c>
      <c r="M889" t="s">
        <v>113</v>
      </c>
      <c r="R889" t="s">
        <v>5433</v>
      </c>
      <c r="W889" t="s">
        <v>5430</v>
      </c>
      <c r="X889" t="s">
        <v>846</v>
      </c>
      <c r="Y889" t="s">
        <v>847</v>
      </c>
      <c r="Z889" t="s">
        <v>117</v>
      </c>
      <c r="AA889" t="str">
        <f>"14569-1326"</f>
        <v>14569-1326</v>
      </c>
      <c r="AB889" t="s">
        <v>528</v>
      </c>
      <c r="AC889" t="s">
        <v>119</v>
      </c>
      <c r="AD889" t="s">
        <v>113</v>
      </c>
      <c r="AE889" t="s">
        <v>120</v>
      </c>
      <c r="AG889" t="s">
        <v>121</v>
      </c>
    </row>
    <row r="890" spans="1:33" x14ac:dyDescent="0.25">
      <c r="A890" t="str">
        <f>"1609045343"</f>
        <v>1609045343</v>
      </c>
      <c r="B890" t="str">
        <f>"03546590"</f>
        <v>03546590</v>
      </c>
      <c r="C890" t="s">
        <v>5434</v>
      </c>
      <c r="D890" t="s">
        <v>5435</v>
      </c>
      <c r="E890" t="s">
        <v>5436</v>
      </c>
      <c r="G890" t="s">
        <v>1252</v>
      </c>
      <c r="H890" t="s">
        <v>1253</v>
      </c>
      <c r="J890" t="s">
        <v>1254</v>
      </c>
      <c r="L890" t="s">
        <v>150</v>
      </c>
      <c r="M890" t="s">
        <v>113</v>
      </c>
      <c r="R890" t="s">
        <v>5437</v>
      </c>
      <c r="W890" t="s">
        <v>5436</v>
      </c>
      <c r="X890" t="s">
        <v>5438</v>
      </c>
      <c r="Y890" t="s">
        <v>5439</v>
      </c>
      <c r="Z890" t="s">
        <v>117</v>
      </c>
      <c r="AA890" t="str">
        <f>"14726-9800"</f>
        <v>14726-9800</v>
      </c>
      <c r="AB890" t="s">
        <v>118</v>
      </c>
      <c r="AC890" t="s">
        <v>119</v>
      </c>
      <c r="AD890" t="s">
        <v>113</v>
      </c>
      <c r="AE890" t="s">
        <v>120</v>
      </c>
      <c r="AG890" t="s">
        <v>121</v>
      </c>
    </row>
    <row r="891" spans="1:33" x14ac:dyDescent="0.25">
      <c r="A891" t="str">
        <f>"1609066224"</f>
        <v>1609066224</v>
      </c>
      <c r="B891" t="str">
        <f>"02918812"</f>
        <v>02918812</v>
      </c>
      <c r="C891" t="s">
        <v>5440</v>
      </c>
      <c r="D891" t="s">
        <v>5441</v>
      </c>
      <c r="E891" t="s">
        <v>5442</v>
      </c>
      <c r="G891" t="s">
        <v>5440</v>
      </c>
      <c r="H891" t="s">
        <v>1006</v>
      </c>
      <c r="J891" t="s">
        <v>5443</v>
      </c>
      <c r="L891" t="s">
        <v>142</v>
      </c>
      <c r="M891" t="s">
        <v>113</v>
      </c>
      <c r="R891" t="s">
        <v>5442</v>
      </c>
      <c r="W891" t="s">
        <v>5444</v>
      </c>
      <c r="X891" t="s">
        <v>1009</v>
      </c>
      <c r="Y891" t="s">
        <v>240</v>
      </c>
      <c r="Z891" t="s">
        <v>117</v>
      </c>
      <c r="AA891" t="str">
        <f>"14221-2917"</f>
        <v>14221-2917</v>
      </c>
      <c r="AB891" t="s">
        <v>118</v>
      </c>
      <c r="AC891" t="s">
        <v>119</v>
      </c>
      <c r="AD891" t="s">
        <v>113</v>
      </c>
      <c r="AE891" t="s">
        <v>120</v>
      </c>
      <c r="AG891" t="s">
        <v>121</v>
      </c>
    </row>
    <row r="892" spans="1:33" x14ac:dyDescent="0.25">
      <c r="A892" t="str">
        <f>"1396793782"</f>
        <v>1396793782</v>
      </c>
      <c r="B892" t="str">
        <f>"01538921"</f>
        <v>01538921</v>
      </c>
      <c r="C892" t="s">
        <v>5445</v>
      </c>
      <c r="D892" t="s">
        <v>5446</v>
      </c>
      <c r="E892" t="s">
        <v>5447</v>
      </c>
      <c r="G892" t="s">
        <v>5445</v>
      </c>
      <c r="H892" t="s">
        <v>5448</v>
      </c>
      <c r="J892" t="s">
        <v>5449</v>
      </c>
      <c r="L892" t="s">
        <v>150</v>
      </c>
      <c r="M892" t="s">
        <v>113</v>
      </c>
      <c r="R892" t="s">
        <v>5450</v>
      </c>
      <c r="W892" t="s">
        <v>5451</v>
      </c>
      <c r="X892" t="s">
        <v>5452</v>
      </c>
      <c r="Y892" t="s">
        <v>5228</v>
      </c>
      <c r="Z892" t="s">
        <v>117</v>
      </c>
      <c r="AA892" t="str">
        <f>"14228-1300"</f>
        <v>14228-1300</v>
      </c>
      <c r="AB892" t="s">
        <v>118</v>
      </c>
      <c r="AC892" t="s">
        <v>119</v>
      </c>
      <c r="AD892" t="s">
        <v>113</v>
      </c>
      <c r="AE892" t="s">
        <v>120</v>
      </c>
      <c r="AG892" t="s">
        <v>121</v>
      </c>
    </row>
    <row r="893" spans="1:33" x14ac:dyDescent="0.25">
      <c r="A893" t="str">
        <f>"1396794939"</f>
        <v>1396794939</v>
      </c>
      <c r="B893" t="str">
        <f>"00845969"</f>
        <v>00845969</v>
      </c>
      <c r="C893" t="s">
        <v>5453</v>
      </c>
      <c r="D893" t="s">
        <v>5454</v>
      </c>
      <c r="E893" t="s">
        <v>5455</v>
      </c>
      <c r="G893" t="s">
        <v>5453</v>
      </c>
      <c r="H893" t="s">
        <v>1006</v>
      </c>
      <c r="J893" t="s">
        <v>5456</v>
      </c>
      <c r="L893" t="s">
        <v>142</v>
      </c>
      <c r="M893" t="s">
        <v>113</v>
      </c>
      <c r="R893" t="s">
        <v>5457</v>
      </c>
      <c r="W893" t="s">
        <v>5455</v>
      </c>
      <c r="X893" t="s">
        <v>5458</v>
      </c>
      <c r="Y893" t="s">
        <v>1168</v>
      </c>
      <c r="Z893" t="s">
        <v>117</v>
      </c>
      <c r="AA893" t="str">
        <f>"14004-1223"</f>
        <v>14004-1223</v>
      </c>
      <c r="AB893" t="s">
        <v>118</v>
      </c>
      <c r="AC893" t="s">
        <v>119</v>
      </c>
      <c r="AD893" t="s">
        <v>113</v>
      </c>
      <c r="AE893" t="s">
        <v>120</v>
      </c>
      <c r="AG893" t="s">
        <v>121</v>
      </c>
    </row>
    <row r="894" spans="1:33" x14ac:dyDescent="0.25">
      <c r="A894" t="str">
        <f>"1396810172"</f>
        <v>1396810172</v>
      </c>
      <c r="B894" t="str">
        <f>"03162943"</f>
        <v>03162943</v>
      </c>
      <c r="C894" t="s">
        <v>5459</v>
      </c>
      <c r="D894" t="s">
        <v>5460</v>
      </c>
      <c r="E894" t="s">
        <v>5461</v>
      </c>
      <c r="G894" t="s">
        <v>5459</v>
      </c>
      <c r="H894" t="s">
        <v>4748</v>
      </c>
      <c r="J894" t="s">
        <v>5462</v>
      </c>
      <c r="L894" t="s">
        <v>142</v>
      </c>
      <c r="M894" t="s">
        <v>113</v>
      </c>
      <c r="R894" t="s">
        <v>5463</v>
      </c>
      <c r="W894" t="s">
        <v>5464</v>
      </c>
      <c r="X894" t="s">
        <v>176</v>
      </c>
      <c r="Y894" t="s">
        <v>116</v>
      </c>
      <c r="Z894" t="s">
        <v>117</v>
      </c>
      <c r="AA894" t="str">
        <f>"14203-1126"</f>
        <v>14203-1126</v>
      </c>
      <c r="AB894" t="s">
        <v>118</v>
      </c>
      <c r="AC894" t="s">
        <v>119</v>
      </c>
      <c r="AD894" t="s">
        <v>113</v>
      </c>
      <c r="AE894" t="s">
        <v>120</v>
      </c>
      <c r="AG894" t="s">
        <v>121</v>
      </c>
    </row>
    <row r="895" spans="1:33" x14ac:dyDescent="0.25">
      <c r="A895" t="str">
        <f>"1396832762"</f>
        <v>1396832762</v>
      </c>
      <c r="C895" t="s">
        <v>5465</v>
      </c>
      <c r="G895" t="s">
        <v>5466</v>
      </c>
      <c r="H895" t="s">
        <v>590</v>
      </c>
      <c r="J895" t="s">
        <v>5467</v>
      </c>
      <c r="K895" t="s">
        <v>303</v>
      </c>
      <c r="L895" t="s">
        <v>112</v>
      </c>
      <c r="M895" t="s">
        <v>113</v>
      </c>
      <c r="R895" t="s">
        <v>5468</v>
      </c>
      <c r="S895" t="s">
        <v>651</v>
      </c>
      <c r="T895" t="s">
        <v>116</v>
      </c>
      <c r="U895" t="s">
        <v>117</v>
      </c>
      <c r="V895" t="str">
        <f>"142091912"</f>
        <v>142091912</v>
      </c>
      <c r="AC895" t="s">
        <v>119</v>
      </c>
      <c r="AD895" t="s">
        <v>113</v>
      </c>
      <c r="AE895" t="s">
        <v>306</v>
      </c>
      <c r="AG895" t="s">
        <v>121</v>
      </c>
    </row>
    <row r="896" spans="1:33" x14ac:dyDescent="0.25">
      <c r="A896" t="str">
        <f>"1396845517"</f>
        <v>1396845517</v>
      </c>
      <c r="B896" t="str">
        <f>"01798769"</f>
        <v>01798769</v>
      </c>
      <c r="C896" t="s">
        <v>5469</v>
      </c>
      <c r="D896" t="s">
        <v>5470</v>
      </c>
      <c r="E896" t="s">
        <v>5471</v>
      </c>
      <c r="G896" t="s">
        <v>5472</v>
      </c>
      <c r="H896" t="s">
        <v>4197</v>
      </c>
      <c r="J896" t="s">
        <v>5473</v>
      </c>
      <c r="L896" t="s">
        <v>112</v>
      </c>
      <c r="M896" t="s">
        <v>113</v>
      </c>
      <c r="R896" t="s">
        <v>5474</v>
      </c>
      <c r="W896" t="s">
        <v>5471</v>
      </c>
      <c r="X896" t="s">
        <v>152</v>
      </c>
      <c r="Y896" t="s">
        <v>153</v>
      </c>
      <c r="Z896" t="s">
        <v>117</v>
      </c>
      <c r="AA896" t="str">
        <f>"14301-1813"</f>
        <v>14301-1813</v>
      </c>
      <c r="AB896" t="s">
        <v>118</v>
      </c>
      <c r="AC896" t="s">
        <v>119</v>
      </c>
      <c r="AD896" t="s">
        <v>113</v>
      </c>
      <c r="AE896" t="s">
        <v>120</v>
      </c>
      <c r="AG896" t="s">
        <v>121</v>
      </c>
    </row>
    <row r="897" spans="1:33" x14ac:dyDescent="0.25">
      <c r="A897" t="str">
        <f>"1396854055"</f>
        <v>1396854055</v>
      </c>
      <c r="B897" t="str">
        <f>"00600826"</f>
        <v>00600826</v>
      </c>
      <c r="C897" t="s">
        <v>5475</v>
      </c>
      <c r="D897" t="s">
        <v>5476</v>
      </c>
      <c r="E897" t="s">
        <v>5477</v>
      </c>
      <c r="H897" t="s">
        <v>5478</v>
      </c>
      <c r="L897" t="s">
        <v>150</v>
      </c>
      <c r="M897" t="s">
        <v>113</v>
      </c>
      <c r="R897" t="s">
        <v>5479</v>
      </c>
      <c r="W897" t="s">
        <v>5480</v>
      </c>
      <c r="X897" t="s">
        <v>5481</v>
      </c>
      <c r="Y897" t="s">
        <v>541</v>
      </c>
      <c r="Z897" t="s">
        <v>117</v>
      </c>
      <c r="AA897" t="str">
        <f>"14048-3423"</f>
        <v>14048-3423</v>
      </c>
      <c r="AB897" t="s">
        <v>118</v>
      </c>
      <c r="AC897" t="s">
        <v>119</v>
      </c>
      <c r="AD897" t="s">
        <v>113</v>
      </c>
      <c r="AE897" t="s">
        <v>120</v>
      </c>
      <c r="AG897" t="s">
        <v>121</v>
      </c>
    </row>
    <row r="898" spans="1:33" x14ac:dyDescent="0.25">
      <c r="A898" t="str">
        <f>"1396897856"</f>
        <v>1396897856</v>
      </c>
      <c r="B898" t="str">
        <f>"02863532"</f>
        <v>02863532</v>
      </c>
      <c r="C898" t="s">
        <v>5482</v>
      </c>
      <c r="D898" t="s">
        <v>5483</v>
      </c>
      <c r="E898" t="s">
        <v>5484</v>
      </c>
      <c r="G898" t="s">
        <v>5482</v>
      </c>
      <c r="H898" t="s">
        <v>5485</v>
      </c>
      <c r="J898" t="s">
        <v>5486</v>
      </c>
      <c r="L898" t="s">
        <v>112</v>
      </c>
      <c r="M898" t="s">
        <v>113</v>
      </c>
      <c r="R898" t="s">
        <v>5487</v>
      </c>
      <c r="W898" t="s">
        <v>5484</v>
      </c>
      <c r="X898" t="s">
        <v>136</v>
      </c>
      <c r="Y898" t="s">
        <v>116</v>
      </c>
      <c r="Z898" t="s">
        <v>117</v>
      </c>
      <c r="AA898" t="str">
        <f>"14209-1120"</f>
        <v>14209-1120</v>
      </c>
      <c r="AB898" t="s">
        <v>2359</v>
      </c>
      <c r="AC898" t="s">
        <v>119</v>
      </c>
      <c r="AD898" t="s">
        <v>113</v>
      </c>
      <c r="AE898" t="s">
        <v>120</v>
      </c>
      <c r="AG898" t="s">
        <v>121</v>
      </c>
    </row>
    <row r="899" spans="1:33" x14ac:dyDescent="0.25">
      <c r="A899" t="str">
        <f>"1396916656"</f>
        <v>1396916656</v>
      </c>
      <c r="C899" t="s">
        <v>5488</v>
      </c>
      <c r="G899" t="s">
        <v>5488</v>
      </c>
      <c r="H899" t="s">
        <v>227</v>
      </c>
      <c r="J899" t="s">
        <v>5489</v>
      </c>
      <c r="K899" t="s">
        <v>303</v>
      </c>
      <c r="L899" t="s">
        <v>229</v>
      </c>
      <c r="M899" t="s">
        <v>113</v>
      </c>
      <c r="R899" t="s">
        <v>5490</v>
      </c>
      <c r="S899" t="s">
        <v>5491</v>
      </c>
      <c r="T899" t="s">
        <v>5492</v>
      </c>
      <c r="U899" t="s">
        <v>5493</v>
      </c>
      <c r="V899" t="str">
        <f>"600252766"</f>
        <v>600252766</v>
      </c>
      <c r="AC899" t="s">
        <v>119</v>
      </c>
      <c r="AD899" t="s">
        <v>113</v>
      </c>
      <c r="AE899" t="s">
        <v>306</v>
      </c>
      <c r="AG899" t="s">
        <v>121</v>
      </c>
    </row>
    <row r="900" spans="1:33" x14ac:dyDescent="0.25">
      <c r="A900" t="str">
        <f>"1396935508"</f>
        <v>1396935508</v>
      </c>
      <c r="B900" t="str">
        <f>"03573264"</f>
        <v>03573264</v>
      </c>
      <c r="C900" t="s">
        <v>5494</v>
      </c>
      <c r="D900" t="s">
        <v>5495</v>
      </c>
      <c r="E900" t="s">
        <v>5496</v>
      </c>
      <c r="G900" t="s">
        <v>5497</v>
      </c>
      <c r="H900" t="s">
        <v>5498</v>
      </c>
      <c r="J900" t="s">
        <v>5499</v>
      </c>
      <c r="L900" t="s">
        <v>142</v>
      </c>
      <c r="M900" t="s">
        <v>113</v>
      </c>
      <c r="R900" t="s">
        <v>5500</v>
      </c>
      <c r="W900" t="s">
        <v>5496</v>
      </c>
      <c r="X900" t="s">
        <v>216</v>
      </c>
      <c r="Y900" t="s">
        <v>116</v>
      </c>
      <c r="Z900" t="s">
        <v>117</v>
      </c>
      <c r="AA900" t="str">
        <f>"14222-2006"</f>
        <v>14222-2006</v>
      </c>
      <c r="AB900" t="s">
        <v>118</v>
      </c>
      <c r="AC900" t="s">
        <v>119</v>
      </c>
      <c r="AD900" t="s">
        <v>113</v>
      </c>
      <c r="AE900" t="s">
        <v>120</v>
      </c>
      <c r="AG900" t="s">
        <v>121</v>
      </c>
    </row>
    <row r="901" spans="1:33" x14ac:dyDescent="0.25">
      <c r="A901" t="str">
        <f>"1396946471"</f>
        <v>1396946471</v>
      </c>
      <c r="B901" t="str">
        <f>"03563637"</f>
        <v>03563637</v>
      </c>
      <c r="C901" t="s">
        <v>5501</v>
      </c>
      <c r="D901" t="s">
        <v>5502</v>
      </c>
      <c r="E901" t="s">
        <v>5503</v>
      </c>
      <c r="G901" t="s">
        <v>5501</v>
      </c>
      <c r="J901" t="s">
        <v>5504</v>
      </c>
      <c r="L901" t="s">
        <v>229</v>
      </c>
      <c r="M901" t="s">
        <v>113</v>
      </c>
      <c r="R901" t="s">
        <v>5505</v>
      </c>
      <c r="W901" t="s">
        <v>5503</v>
      </c>
      <c r="X901" t="s">
        <v>5506</v>
      </c>
      <c r="Y901" t="s">
        <v>3649</v>
      </c>
      <c r="Z901" t="s">
        <v>117</v>
      </c>
      <c r="AA901" t="str">
        <f>"14072-3323"</f>
        <v>14072-3323</v>
      </c>
      <c r="AB901" t="s">
        <v>118</v>
      </c>
      <c r="AC901" t="s">
        <v>119</v>
      </c>
      <c r="AD901" t="s">
        <v>113</v>
      </c>
      <c r="AE901" t="s">
        <v>120</v>
      </c>
      <c r="AG901" t="s">
        <v>121</v>
      </c>
    </row>
    <row r="902" spans="1:33" x14ac:dyDescent="0.25">
      <c r="A902" t="str">
        <f>"1396949194"</f>
        <v>1396949194</v>
      </c>
      <c r="B902" t="str">
        <f>"02955159"</f>
        <v>02955159</v>
      </c>
      <c r="C902" t="s">
        <v>5507</v>
      </c>
      <c r="D902" t="s">
        <v>5508</v>
      </c>
      <c r="E902" t="s">
        <v>5509</v>
      </c>
      <c r="G902" t="s">
        <v>1882</v>
      </c>
      <c r="H902" t="s">
        <v>5510</v>
      </c>
      <c r="J902" t="s">
        <v>1884</v>
      </c>
      <c r="L902" t="s">
        <v>142</v>
      </c>
      <c r="M902" t="s">
        <v>113</v>
      </c>
      <c r="R902" t="s">
        <v>5511</v>
      </c>
      <c r="W902" t="s">
        <v>5512</v>
      </c>
      <c r="X902" t="s">
        <v>1304</v>
      </c>
      <c r="Y902" t="s">
        <v>116</v>
      </c>
      <c r="Z902" t="s">
        <v>117</v>
      </c>
      <c r="AA902" t="str">
        <f>"14220-2039"</f>
        <v>14220-2039</v>
      </c>
      <c r="AB902" t="s">
        <v>118</v>
      </c>
      <c r="AC902" t="s">
        <v>119</v>
      </c>
      <c r="AD902" t="s">
        <v>113</v>
      </c>
      <c r="AE902" t="s">
        <v>120</v>
      </c>
      <c r="AG902" t="s">
        <v>121</v>
      </c>
    </row>
    <row r="903" spans="1:33" x14ac:dyDescent="0.25">
      <c r="A903" t="str">
        <f>"1396956462"</f>
        <v>1396956462</v>
      </c>
      <c r="B903" t="str">
        <f>"00824415"</f>
        <v>00824415</v>
      </c>
      <c r="C903" t="s">
        <v>1542</v>
      </c>
      <c r="D903" t="s">
        <v>5513</v>
      </c>
      <c r="E903" t="s">
        <v>5514</v>
      </c>
      <c r="H903" t="s">
        <v>1456</v>
      </c>
      <c r="J903" t="s">
        <v>1457</v>
      </c>
      <c r="L903" t="s">
        <v>14</v>
      </c>
      <c r="M903" t="s">
        <v>113</v>
      </c>
      <c r="R903" t="s">
        <v>1542</v>
      </c>
      <c r="W903" t="s">
        <v>5514</v>
      </c>
      <c r="X903" t="s">
        <v>5515</v>
      </c>
      <c r="Y903" t="s">
        <v>1545</v>
      </c>
      <c r="Z903" t="s">
        <v>117</v>
      </c>
      <c r="AA903" t="str">
        <f>"14218-2708"</f>
        <v>14218-2708</v>
      </c>
      <c r="AB903" t="s">
        <v>5427</v>
      </c>
      <c r="AC903" t="s">
        <v>119</v>
      </c>
      <c r="AD903" t="s">
        <v>113</v>
      </c>
      <c r="AE903" t="s">
        <v>120</v>
      </c>
      <c r="AG903" t="s">
        <v>121</v>
      </c>
    </row>
    <row r="904" spans="1:33" x14ac:dyDescent="0.25">
      <c r="A904" t="str">
        <f>"1710957063"</f>
        <v>1710957063</v>
      </c>
      <c r="B904" t="str">
        <f>"02273412"</f>
        <v>02273412</v>
      </c>
      <c r="C904" t="s">
        <v>5516</v>
      </c>
      <c r="D904" t="s">
        <v>5517</v>
      </c>
      <c r="E904" t="s">
        <v>5518</v>
      </c>
      <c r="G904" t="s">
        <v>859</v>
      </c>
      <c r="H904" t="s">
        <v>1180</v>
      </c>
      <c r="J904" t="s">
        <v>861</v>
      </c>
      <c r="L904" t="s">
        <v>142</v>
      </c>
      <c r="M904" t="s">
        <v>113</v>
      </c>
      <c r="R904" t="s">
        <v>5519</v>
      </c>
      <c r="W904" t="s">
        <v>5518</v>
      </c>
      <c r="X904" t="s">
        <v>253</v>
      </c>
      <c r="Y904" t="s">
        <v>116</v>
      </c>
      <c r="Z904" t="s">
        <v>117</v>
      </c>
      <c r="AA904" t="str">
        <f>"14215-3021"</f>
        <v>14215-3021</v>
      </c>
      <c r="AB904" t="s">
        <v>118</v>
      </c>
      <c r="AC904" t="s">
        <v>119</v>
      </c>
      <c r="AD904" t="s">
        <v>113</v>
      </c>
      <c r="AE904" t="s">
        <v>120</v>
      </c>
      <c r="AG904" t="s">
        <v>121</v>
      </c>
    </row>
    <row r="905" spans="1:33" x14ac:dyDescent="0.25">
      <c r="A905" t="str">
        <f>"1710957501"</f>
        <v>1710957501</v>
      </c>
      <c r="B905" t="str">
        <f>"01871801"</f>
        <v>01871801</v>
      </c>
      <c r="C905" t="s">
        <v>5520</v>
      </c>
      <c r="D905" t="s">
        <v>5521</v>
      </c>
      <c r="E905" t="s">
        <v>5522</v>
      </c>
      <c r="G905" t="s">
        <v>5523</v>
      </c>
      <c r="H905" t="s">
        <v>559</v>
      </c>
      <c r="J905" t="s">
        <v>5524</v>
      </c>
      <c r="L905" t="s">
        <v>112</v>
      </c>
      <c r="M905" t="s">
        <v>113</v>
      </c>
      <c r="R905" t="s">
        <v>5525</v>
      </c>
      <c r="W905" t="s">
        <v>5522</v>
      </c>
      <c r="X905" t="s">
        <v>5526</v>
      </c>
      <c r="Y905" t="s">
        <v>116</v>
      </c>
      <c r="Z905" t="s">
        <v>117</v>
      </c>
      <c r="AA905" t="str">
        <f>"14203-1126"</f>
        <v>14203-1126</v>
      </c>
      <c r="AB905" t="s">
        <v>118</v>
      </c>
      <c r="AC905" t="s">
        <v>119</v>
      </c>
      <c r="AD905" t="s">
        <v>113</v>
      </c>
      <c r="AE905" t="s">
        <v>120</v>
      </c>
      <c r="AG905" t="s">
        <v>121</v>
      </c>
    </row>
    <row r="906" spans="1:33" x14ac:dyDescent="0.25">
      <c r="A906" t="str">
        <f>"1710958780"</f>
        <v>1710958780</v>
      </c>
      <c r="B906" t="str">
        <f>"01560085"</f>
        <v>01560085</v>
      </c>
      <c r="C906" t="s">
        <v>5527</v>
      </c>
      <c r="D906" t="s">
        <v>5528</v>
      </c>
      <c r="E906" t="s">
        <v>5529</v>
      </c>
      <c r="G906" t="s">
        <v>5530</v>
      </c>
      <c r="H906" t="s">
        <v>3404</v>
      </c>
      <c r="L906" t="s">
        <v>142</v>
      </c>
      <c r="M906" t="s">
        <v>113</v>
      </c>
      <c r="R906" t="s">
        <v>5530</v>
      </c>
      <c r="W906" t="s">
        <v>5529</v>
      </c>
      <c r="X906" t="s">
        <v>5531</v>
      </c>
      <c r="Y906" t="s">
        <v>1545</v>
      </c>
      <c r="Z906" t="s">
        <v>117</v>
      </c>
      <c r="AA906" t="str">
        <f>"14218"</f>
        <v>14218</v>
      </c>
      <c r="AB906" t="s">
        <v>118</v>
      </c>
      <c r="AC906" t="s">
        <v>119</v>
      </c>
      <c r="AD906" t="s">
        <v>113</v>
      </c>
      <c r="AE906" t="s">
        <v>120</v>
      </c>
      <c r="AG906" t="s">
        <v>121</v>
      </c>
    </row>
    <row r="907" spans="1:33" x14ac:dyDescent="0.25">
      <c r="A907" t="str">
        <f>"1710959333"</f>
        <v>1710959333</v>
      </c>
      <c r="B907" t="str">
        <f>"02164827"</f>
        <v>02164827</v>
      </c>
      <c r="C907" t="s">
        <v>5532</v>
      </c>
      <c r="D907" t="s">
        <v>5533</v>
      </c>
      <c r="E907" t="s">
        <v>5534</v>
      </c>
      <c r="G907" t="s">
        <v>5532</v>
      </c>
      <c r="H907" t="s">
        <v>566</v>
      </c>
      <c r="J907" t="s">
        <v>5535</v>
      </c>
      <c r="L907" t="s">
        <v>150</v>
      </c>
      <c r="M907" t="s">
        <v>113</v>
      </c>
      <c r="R907" t="s">
        <v>5536</v>
      </c>
      <c r="W907" t="s">
        <v>5534</v>
      </c>
      <c r="X907" t="s">
        <v>5537</v>
      </c>
      <c r="Y907" t="s">
        <v>116</v>
      </c>
      <c r="Z907" t="s">
        <v>117</v>
      </c>
      <c r="AA907" t="str">
        <f>"14222-2006"</f>
        <v>14222-2006</v>
      </c>
      <c r="AB907" t="s">
        <v>118</v>
      </c>
      <c r="AC907" t="s">
        <v>119</v>
      </c>
      <c r="AD907" t="s">
        <v>113</v>
      </c>
      <c r="AE907" t="s">
        <v>120</v>
      </c>
      <c r="AG907" t="s">
        <v>121</v>
      </c>
    </row>
    <row r="908" spans="1:33" x14ac:dyDescent="0.25">
      <c r="A908" t="str">
        <f>"1710960471"</f>
        <v>1710960471</v>
      </c>
      <c r="B908" t="str">
        <f>"02344232"</f>
        <v>02344232</v>
      </c>
      <c r="C908" t="s">
        <v>5538</v>
      </c>
      <c r="D908" t="s">
        <v>5539</v>
      </c>
      <c r="E908" t="s">
        <v>5540</v>
      </c>
      <c r="G908" t="s">
        <v>5541</v>
      </c>
      <c r="H908" t="s">
        <v>1013</v>
      </c>
      <c r="J908" t="s">
        <v>5542</v>
      </c>
      <c r="L908" t="s">
        <v>112</v>
      </c>
      <c r="M908" t="s">
        <v>113</v>
      </c>
      <c r="R908" t="s">
        <v>5543</v>
      </c>
      <c r="W908" t="s">
        <v>5540</v>
      </c>
      <c r="X908" t="s">
        <v>2892</v>
      </c>
      <c r="Y908" t="s">
        <v>240</v>
      </c>
      <c r="Z908" t="s">
        <v>117</v>
      </c>
      <c r="AA908" t="str">
        <f>"14221-5838"</f>
        <v>14221-5838</v>
      </c>
      <c r="AB908" t="s">
        <v>118</v>
      </c>
      <c r="AC908" t="s">
        <v>119</v>
      </c>
      <c r="AD908" t="s">
        <v>113</v>
      </c>
      <c r="AE908" t="s">
        <v>120</v>
      </c>
      <c r="AG908" t="s">
        <v>121</v>
      </c>
    </row>
    <row r="909" spans="1:33" x14ac:dyDescent="0.25">
      <c r="A909" t="str">
        <f>"1710961149"</f>
        <v>1710961149</v>
      </c>
      <c r="B909" t="str">
        <f>"01801101"</f>
        <v>01801101</v>
      </c>
      <c r="C909" t="s">
        <v>5544</v>
      </c>
      <c r="D909" t="s">
        <v>5545</v>
      </c>
      <c r="E909" t="s">
        <v>5546</v>
      </c>
      <c r="G909" t="s">
        <v>5547</v>
      </c>
      <c r="H909" t="s">
        <v>188</v>
      </c>
      <c r="J909" t="s">
        <v>5548</v>
      </c>
      <c r="L909" t="s">
        <v>142</v>
      </c>
      <c r="M909" t="s">
        <v>113</v>
      </c>
      <c r="R909" t="s">
        <v>5549</v>
      </c>
      <c r="W909" t="s">
        <v>5546</v>
      </c>
      <c r="X909" t="s">
        <v>191</v>
      </c>
      <c r="Y909" t="s">
        <v>192</v>
      </c>
      <c r="Z909" t="s">
        <v>117</v>
      </c>
      <c r="AA909" t="str">
        <f>"14020-2202"</f>
        <v>14020-2202</v>
      </c>
      <c r="AB909" t="s">
        <v>118</v>
      </c>
      <c r="AC909" t="s">
        <v>119</v>
      </c>
      <c r="AD909" t="s">
        <v>113</v>
      </c>
      <c r="AE909" t="s">
        <v>120</v>
      </c>
      <c r="AG909" t="s">
        <v>121</v>
      </c>
    </row>
    <row r="910" spans="1:33" x14ac:dyDescent="0.25">
      <c r="A910" t="str">
        <f>"1710962386"</f>
        <v>1710962386</v>
      </c>
      <c r="B910" t="str">
        <f>"02883118"</f>
        <v>02883118</v>
      </c>
      <c r="C910" t="s">
        <v>5550</v>
      </c>
      <c r="D910" t="s">
        <v>5551</v>
      </c>
      <c r="E910" t="s">
        <v>5552</v>
      </c>
      <c r="G910" t="s">
        <v>5550</v>
      </c>
      <c r="H910" t="s">
        <v>227</v>
      </c>
      <c r="J910" t="s">
        <v>5553</v>
      </c>
      <c r="L910" t="s">
        <v>142</v>
      </c>
      <c r="M910" t="s">
        <v>113</v>
      </c>
      <c r="R910" t="s">
        <v>5554</v>
      </c>
      <c r="W910" t="s">
        <v>5552</v>
      </c>
      <c r="X910" t="s">
        <v>5555</v>
      </c>
      <c r="Y910" t="s">
        <v>5556</v>
      </c>
      <c r="Z910" t="s">
        <v>5557</v>
      </c>
      <c r="AA910" t="str">
        <f>"68132-3535"</f>
        <v>68132-3535</v>
      </c>
      <c r="AB910" t="s">
        <v>118</v>
      </c>
      <c r="AC910" t="s">
        <v>119</v>
      </c>
      <c r="AD910" t="s">
        <v>113</v>
      </c>
      <c r="AE910" t="s">
        <v>120</v>
      </c>
      <c r="AG910" t="s">
        <v>121</v>
      </c>
    </row>
    <row r="911" spans="1:33" x14ac:dyDescent="0.25">
      <c r="A911" t="str">
        <f>"1710966650"</f>
        <v>1710966650</v>
      </c>
      <c r="B911" t="str">
        <f>"01084844"</f>
        <v>01084844</v>
      </c>
      <c r="C911" t="s">
        <v>5558</v>
      </c>
      <c r="D911" t="s">
        <v>5559</v>
      </c>
      <c r="E911" t="s">
        <v>5560</v>
      </c>
      <c r="G911" t="s">
        <v>5561</v>
      </c>
      <c r="H911" t="s">
        <v>1013</v>
      </c>
      <c r="J911" t="s">
        <v>5562</v>
      </c>
      <c r="L911" t="s">
        <v>142</v>
      </c>
      <c r="M911" t="s">
        <v>113</v>
      </c>
      <c r="R911" t="s">
        <v>5563</v>
      </c>
      <c r="W911" t="s">
        <v>5560</v>
      </c>
      <c r="X911" t="s">
        <v>3037</v>
      </c>
      <c r="Y911" t="s">
        <v>116</v>
      </c>
      <c r="Z911" t="s">
        <v>117</v>
      </c>
      <c r="AA911" t="str">
        <f>"14221-5329"</f>
        <v>14221-5329</v>
      </c>
      <c r="AB911" t="s">
        <v>118</v>
      </c>
      <c r="AC911" t="s">
        <v>119</v>
      </c>
      <c r="AD911" t="s">
        <v>113</v>
      </c>
      <c r="AE911" t="s">
        <v>120</v>
      </c>
      <c r="AG911" t="s">
        <v>121</v>
      </c>
    </row>
    <row r="912" spans="1:33" x14ac:dyDescent="0.25">
      <c r="A912" t="str">
        <f>"1710966742"</f>
        <v>1710966742</v>
      </c>
      <c r="B912" t="str">
        <f>"02569464"</f>
        <v>02569464</v>
      </c>
      <c r="C912" t="s">
        <v>5564</v>
      </c>
      <c r="D912" t="s">
        <v>5565</v>
      </c>
      <c r="E912" t="s">
        <v>5566</v>
      </c>
      <c r="G912" t="s">
        <v>5564</v>
      </c>
      <c r="H912" t="s">
        <v>5567</v>
      </c>
      <c r="J912" t="s">
        <v>5568</v>
      </c>
      <c r="L912" t="s">
        <v>112</v>
      </c>
      <c r="M912" t="s">
        <v>113</v>
      </c>
      <c r="R912" t="s">
        <v>5569</v>
      </c>
      <c r="W912" t="s">
        <v>5566</v>
      </c>
      <c r="X912" t="s">
        <v>5570</v>
      </c>
      <c r="Y912" t="s">
        <v>5571</v>
      </c>
      <c r="Z912" t="s">
        <v>117</v>
      </c>
      <c r="AA912" t="str">
        <f>"14755-1011"</f>
        <v>14755-1011</v>
      </c>
      <c r="AB912" t="s">
        <v>118</v>
      </c>
      <c r="AC912" t="s">
        <v>119</v>
      </c>
      <c r="AD912" t="s">
        <v>113</v>
      </c>
      <c r="AE912" t="s">
        <v>120</v>
      </c>
      <c r="AG912" t="s">
        <v>121</v>
      </c>
    </row>
    <row r="913" spans="1:33" x14ac:dyDescent="0.25">
      <c r="A913" t="str">
        <f>"1710972245"</f>
        <v>1710972245</v>
      </c>
      <c r="B913" t="str">
        <f>"02582350"</f>
        <v>02582350</v>
      </c>
      <c r="C913" t="s">
        <v>5572</v>
      </c>
      <c r="D913" t="s">
        <v>5573</v>
      </c>
      <c r="E913" t="s">
        <v>5574</v>
      </c>
      <c r="G913" t="s">
        <v>5572</v>
      </c>
      <c r="H913" t="s">
        <v>5207</v>
      </c>
      <c r="J913" t="s">
        <v>5575</v>
      </c>
      <c r="L913" t="s">
        <v>150</v>
      </c>
      <c r="M913" t="s">
        <v>199</v>
      </c>
      <c r="R913" t="s">
        <v>5576</v>
      </c>
      <c r="W913" t="s">
        <v>5574</v>
      </c>
      <c r="X913" t="s">
        <v>5577</v>
      </c>
      <c r="Y913" t="s">
        <v>116</v>
      </c>
      <c r="Z913" t="s">
        <v>117</v>
      </c>
      <c r="AA913" t="str">
        <f>"14208-2221"</f>
        <v>14208-2221</v>
      </c>
      <c r="AB913" t="s">
        <v>118</v>
      </c>
      <c r="AC913" t="s">
        <v>119</v>
      </c>
      <c r="AD913" t="s">
        <v>113</v>
      </c>
      <c r="AE913" t="s">
        <v>120</v>
      </c>
      <c r="AG913" t="s">
        <v>121</v>
      </c>
    </row>
    <row r="914" spans="1:33" x14ac:dyDescent="0.25">
      <c r="A914" t="str">
        <f>"1710972849"</f>
        <v>1710972849</v>
      </c>
      <c r="B914" t="str">
        <f>"03723140"</f>
        <v>03723140</v>
      </c>
      <c r="C914" t="s">
        <v>5578</v>
      </c>
      <c r="D914" t="s">
        <v>5579</v>
      </c>
      <c r="E914" t="s">
        <v>5580</v>
      </c>
      <c r="G914" t="s">
        <v>5578</v>
      </c>
      <c r="H914" t="s">
        <v>5581</v>
      </c>
      <c r="J914" t="s">
        <v>5582</v>
      </c>
      <c r="L914" t="s">
        <v>142</v>
      </c>
      <c r="M914" t="s">
        <v>113</v>
      </c>
      <c r="R914" t="s">
        <v>5583</v>
      </c>
      <c r="W914" t="s">
        <v>5580</v>
      </c>
      <c r="X914" t="s">
        <v>3566</v>
      </c>
      <c r="Y914" t="s">
        <v>377</v>
      </c>
      <c r="Z914" t="s">
        <v>117</v>
      </c>
      <c r="AA914" t="str">
        <f>"14217-1304"</f>
        <v>14217-1304</v>
      </c>
      <c r="AB914" t="s">
        <v>118</v>
      </c>
      <c r="AC914" t="s">
        <v>119</v>
      </c>
      <c r="AD914" t="s">
        <v>113</v>
      </c>
      <c r="AE914" t="s">
        <v>120</v>
      </c>
      <c r="AG914" t="s">
        <v>121</v>
      </c>
    </row>
    <row r="915" spans="1:33" x14ac:dyDescent="0.25">
      <c r="A915" t="str">
        <f>"1710978598"</f>
        <v>1710978598</v>
      </c>
      <c r="B915" t="str">
        <f>"01134427"</f>
        <v>01134427</v>
      </c>
      <c r="C915" t="s">
        <v>5584</v>
      </c>
      <c r="D915" t="s">
        <v>5585</v>
      </c>
      <c r="E915" t="s">
        <v>5586</v>
      </c>
      <c r="G915" t="s">
        <v>5584</v>
      </c>
      <c r="H915" t="s">
        <v>707</v>
      </c>
      <c r="J915" t="s">
        <v>5587</v>
      </c>
      <c r="L915" t="s">
        <v>142</v>
      </c>
      <c r="M915" t="s">
        <v>113</v>
      </c>
      <c r="R915" t="s">
        <v>5588</v>
      </c>
      <c r="W915" t="s">
        <v>5586</v>
      </c>
      <c r="X915" t="s">
        <v>136</v>
      </c>
      <c r="Y915" t="s">
        <v>116</v>
      </c>
      <c r="Z915" t="s">
        <v>117</v>
      </c>
      <c r="AA915" t="str">
        <f>"14209-1120"</f>
        <v>14209-1120</v>
      </c>
      <c r="AB915" t="s">
        <v>118</v>
      </c>
      <c r="AC915" t="s">
        <v>119</v>
      </c>
      <c r="AD915" t="s">
        <v>113</v>
      </c>
      <c r="AE915" t="s">
        <v>120</v>
      </c>
      <c r="AG915" t="s">
        <v>121</v>
      </c>
    </row>
    <row r="916" spans="1:33" x14ac:dyDescent="0.25">
      <c r="A916" t="str">
        <f>"1528081734"</f>
        <v>1528081734</v>
      </c>
      <c r="B916" t="str">
        <f>"02824784"</f>
        <v>02824784</v>
      </c>
      <c r="C916" t="s">
        <v>5589</v>
      </c>
      <c r="D916" t="s">
        <v>5590</v>
      </c>
      <c r="E916" t="s">
        <v>5591</v>
      </c>
      <c r="F916">
        <v>161115992</v>
      </c>
      <c r="G916" t="s">
        <v>5592</v>
      </c>
      <c r="H916" t="s">
        <v>1607</v>
      </c>
      <c r="J916" t="s">
        <v>5593</v>
      </c>
      <c r="L916" t="s">
        <v>69</v>
      </c>
      <c r="M916" t="s">
        <v>199</v>
      </c>
      <c r="R916" t="s">
        <v>5589</v>
      </c>
      <c r="W916" t="s">
        <v>5591</v>
      </c>
      <c r="X916" t="s">
        <v>5594</v>
      </c>
      <c r="Y916" t="s">
        <v>209</v>
      </c>
      <c r="Z916" t="s">
        <v>117</v>
      </c>
      <c r="AA916" t="str">
        <f>"14059-9530"</f>
        <v>14059-9530</v>
      </c>
      <c r="AB916" t="s">
        <v>1146</v>
      </c>
      <c r="AC916" t="s">
        <v>119</v>
      </c>
      <c r="AD916" t="s">
        <v>113</v>
      </c>
      <c r="AE916" t="s">
        <v>120</v>
      </c>
      <c r="AG916" t="s">
        <v>121</v>
      </c>
    </row>
    <row r="917" spans="1:33" x14ac:dyDescent="0.25">
      <c r="A917" t="str">
        <f>"1528093614"</f>
        <v>1528093614</v>
      </c>
      <c r="B917" t="str">
        <f>"00742645"</f>
        <v>00742645</v>
      </c>
      <c r="C917" t="s">
        <v>5595</v>
      </c>
      <c r="D917" t="s">
        <v>5596</v>
      </c>
      <c r="E917" t="s">
        <v>5597</v>
      </c>
      <c r="G917" t="s">
        <v>5595</v>
      </c>
      <c r="H917" t="s">
        <v>5598</v>
      </c>
      <c r="J917" t="s">
        <v>5599</v>
      </c>
      <c r="L917" t="s">
        <v>112</v>
      </c>
      <c r="M917" t="s">
        <v>113</v>
      </c>
      <c r="R917" t="s">
        <v>5600</v>
      </c>
      <c r="W917" t="s">
        <v>5597</v>
      </c>
      <c r="X917" t="s">
        <v>5601</v>
      </c>
      <c r="Y917" t="s">
        <v>816</v>
      </c>
      <c r="Z917" t="s">
        <v>117</v>
      </c>
      <c r="AA917" t="str">
        <f>"14120-6104"</f>
        <v>14120-6104</v>
      </c>
      <c r="AB917" t="s">
        <v>118</v>
      </c>
      <c r="AC917" t="s">
        <v>119</v>
      </c>
      <c r="AD917" t="s">
        <v>113</v>
      </c>
      <c r="AE917" t="s">
        <v>120</v>
      </c>
      <c r="AG917" t="s">
        <v>121</v>
      </c>
    </row>
    <row r="918" spans="1:33" x14ac:dyDescent="0.25">
      <c r="A918" t="str">
        <f>"1528103082"</f>
        <v>1528103082</v>
      </c>
      <c r="B918" t="str">
        <f>"00838757"</f>
        <v>00838757</v>
      </c>
      <c r="C918" t="s">
        <v>3480</v>
      </c>
      <c r="D918" t="s">
        <v>5602</v>
      </c>
      <c r="E918" t="s">
        <v>5603</v>
      </c>
      <c r="G918" t="s">
        <v>5604</v>
      </c>
      <c r="H918" t="s">
        <v>5426</v>
      </c>
      <c r="J918" t="s">
        <v>5605</v>
      </c>
      <c r="L918" t="s">
        <v>1714</v>
      </c>
      <c r="M918" t="s">
        <v>113</v>
      </c>
      <c r="R918" t="s">
        <v>3480</v>
      </c>
      <c r="W918" t="s">
        <v>5603</v>
      </c>
      <c r="X918" t="s">
        <v>740</v>
      </c>
      <c r="Y918" t="s">
        <v>116</v>
      </c>
      <c r="Z918" t="s">
        <v>117</v>
      </c>
      <c r="AA918" t="str">
        <f>"14202-1804"</f>
        <v>14202-1804</v>
      </c>
      <c r="AB918" t="s">
        <v>1146</v>
      </c>
      <c r="AC918" t="s">
        <v>119</v>
      </c>
      <c r="AD918" t="s">
        <v>113</v>
      </c>
      <c r="AE918" t="s">
        <v>120</v>
      </c>
      <c r="AG918" t="s">
        <v>121</v>
      </c>
    </row>
    <row r="919" spans="1:33" x14ac:dyDescent="0.25">
      <c r="A919" t="str">
        <f>"1548682164"</f>
        <v>1548682164</v>
      </c>
      <c r="C919" t="s">
        <v>5606</v>
      </c>
      <c r="G919" t="s">
        <v>5607</v>
      </c>
      <c r="H919" t="s">
        <v>937</v>
      </c>
      <c r="J919" t="s">
        <v>5608</v>
      </c>
      <c r="K919" t="s">
        <v>303</v>
      </c>
      <c r="L919" t="s">
        <v>229</v>
      </c>
      <c r="M919" t="s">
        <v>113</v>
      </c>
      <c r="R919" t="s">
        <v>5609</v>
      </c>
      <c r="S919" t="s">
        <v>3739</v>
      </c>
      <c r="T919" t="s">
        <v>240</v>
      </c>
      <c r="U919" t="s">
        <v>117</v>
      </c>
      <c r="V919" t="str">
        <f>"142216728"</f>
        <v>142216728</v>
      </c>
      <c r="AC919" t="s">
        <v>119</v>
      </c>
      <c r="AD919" t="s">
        <v>113</v>
      </c>
      <c r="AE919" t="s">
        <v>306</v>
      </c>
      <c r="AG919" t="s">
        <v>121</v>
      </c>
    </row>
    <row r="920" spans="1:33" x14ac:dyDescent="0.25">
      <c r="A920" t="str">
        <f>"1558304295"</f>
        <v>1558304295</v>
      </c>
      <c r="B920" t="str">
        <f>"02777306"</f>
        <v>02777306</v>
      </c>
      <c r="C920" t="s">
        <v>5610</v>
      </c>
      <c r="D920" t="s">
        <v>5611</v>
      </c>
      <c r="E920" t="s">
        <v>5612</v>
      </c>
      <c r="G920" t="s">
        <v>5613</v>
      </c>
      <c r="H920" t="s">
        <v>5614</v>
      </c>
      <c r="L920" t="s">
        <v>150</v>
      </c>
      <c r="M920" t="s">
        <v>199</v>
      </c>
      <c r="R920" t="s">
        <v>5612</v>
      </c>
      <c r="W920" t="s">
        <v>5612</v>
      </c>
      <c r="X920" t="s">
        <v>216</v>
      </c>
      <c r="Y920" t="s">
        <v>116</v>
      </c>
      <c r="Z920" t="s">
        <v>117</v>
      </c>
      <c r="AA920" t="str">
        <f>"14222-2006"</f>
        <v>14222-2006</v>
      </c>
      <c r="AB920" t="s">
        <v>118</v>
      </c>
      <c r="AC920" t="s">
        <v>119</v>
      </c>
      <c r="AD920" t="s">
        <v>113</v>
      </c>
      <c r="AE920" t="s">
        <v>120</v>
      </c>
      <c r="AG920" t="s">
        <v>121</v>
      </c>
    </row>
    <row r="921" spans="1:33" x14ac:dyDescent="0.25">
      <c r="A921" t="str">
        <f>"1558315879"</f>
        <v>1558315879</v>
      </c>
      <c r="B921" t="str">
        <f>"00594876"</f>
        <v>00594876</v>
      </c>
      <c r="C921" t="s">
        <v>5615</v>
      </c>
      <c r="D921" t="s">
        <v>5616</v>
      </c>
      <c r="E921" t="s">
        <v>5617</v>
      </c>
      <c r="G921" t="s">
        <v>5615</v>
      </c>
      <c r="H921" t="s">
        <v>5618</v>
      </c>
      <c r="J921" t="s">
        <v>5619</v>
      </c>
      <c r="L921" t="s">
        <v>1033</v>
      </c>
      <c r="M921" t="s">
        <v>113</v>
      </c>
      <c r="R921" t="s">
        <v>5620</v>
      </c>
      <c r="W921" t="s">
        <v>5617</v>
      </c>
      <c r="X921" t="s">
        <v>1353</v>
      </c>
      <c r="Y921" t="s">
        <v>663</v>
      </c>
      <c r="Z921" t="s">
        <v>117</v>
      </c>
      <c r="AA921" t="str">
        <f>"14094-3201"</f>
        <v>14094-3201</v>
      </c>
      <c r="AB921" t="s">
        <v>118</v>
      </c>
      <c r="AC921" t="s">
        <v>119</v>
      </c>
      <c r="AD921" t="s">
        <v>113</v>
      </c>
      <c r="AE921" t="s">
        <v>120</v>
      </c>
      <c r="AG921" t="s">
        <v>121</v>
      </c>
    </row>
    <row r="922" spans="1:33" x14ac:dyDescent="0.25">
      <c r="A922" t="str">
        <f>"1558318105"</f>
        <v>1558318105</v>
      </c>
      <c r="B922" t="str">
        <f>"01007689"</f>
        <v>01007689</v>
      </c>
      <c r="C922" t="s">
        <v>5621</v>
      </c>
      <c r="D922" t="s">
        <v>5622</v>
      </c>
      <c r="E922" t="s">
        <v>5623</v>
      </c>
      <c r="G922" t="s">
        <v>5621</v>
      </c>
      <c r="H922" t="s">
        <v>5624</v>
      </c>
      <c r="J922" t="s">
        <v>5625</v>
      </c>
      <c r="L922" t="s">
        <v>150</v>
      </c>
      <c r="M922" t="s">
        <v>113</v>
      </c>
      <c r="R922" t="s">
        <v>5626</v>
      </c>
      <c r="W922" t="s">
        <v>5623</v>
      </c>
      <c r="X922" t="s">
        <v>176</v>
      </c>
      <c r="Y922" t="s">
        <v>116</v>
      </c>
      <c r="Z922" t="s">
        <v>117</v>
      </c>
      <c r="AA922" t="str">
        <f>"14203-1126"</f>
        <v>14203-1126</v>
      </c>
      <c r="AB922" t="s">
        <v>118</v>
      </c>
      <c r="AC922" t="s">
        <v>119</v>
      </c>
      <c r="AD922" t="s">
        <v>113</v>
      </c>
      <c r="AE922" t="s">
        <v>120</v>
      </c>
      <c r="AG922" t="s">
        <v>121</v>
      </c>
    </row>
    <row r="923" spans="1:33" x14ac:dyDescent="0.25">
      <c r="A923" t="str">
        <f>"1558318949"</f>
        <v>1558318949</v>
      </c>
      <c r="B923" t="str">
        <f>"01833590"</f>
        <v>01833590</v>
      </c>
      <c r="C923" t="s">
        <v>5627</v>
      </c>
      <c r="D923" t="s">
        <v>5628</v>
      </c>
      <c r="E923" t="s">
        <v>5629</v>
      </c>
      <c r="G923" t="s">
        <v>5627</v>
      </c>
      <c r="H923" t="s">
        <v>3743</v>
      </c>
      <c r="J923" t="s">
        <v>5630</v>
      </c>
      <c r="L923" t="s">
        <v>150</v>
      </c>
      <c r="M923" t="s">
        <v>113</v>
      </c>
      <c r="R923" t="s">
        <v>5631</v>
      </c>
      <c r="W923" t="s">
        <v>5629</v>
      </c>
      <c r="X923" t="s">
        <v>5632</v>
      </c>
      <c r="Y923" t="s">
        <v>318</v>
      </c>
      <c r="Z923" t="s">
        <v>117</v>
      </c>
      <c r="AA923" t="str">
        <f>"14225-3140"</f>
        <v>14225-3140</v>
      </c>
      <c r="AB923" t="s">
        <v>118</v>
      </c>
      <c r="AC923" t="s">
        <v>119</v>
      </c>
      <c r="AD923" t="s">
        <v>113</v>
      </c>
      <c r="AE923" t="s">
        <v>120</v>
      </c>
      <c r="AG923" t="s">
        <v>121</v>
      </c>
    </row>
    <row r="924" spans="1:33" x14ac:dyDescent="0.25">
      <c r="A924" t="str">
        <f>"1558321372"</f>
        <v>1558321372</v>
      </c>
      <c r="B924" t="str">
        <f>"01245174"</f>
        <v>01245174</v>
      </c>
      <c r="C924" t="s">
        <v>5633</v>
      </c>
      <c r="D924" t="s">
        <v>5634</v>
      </c>
      <c r="E924" t="s">
        <v>5635</v>
      </c>
      <c r="G924" t="s">
        <v>5633</v>
      </c>
      <c r="H924" t="s">
        <v>5636</v>
      </c>
      <c r="J924" t="s">
        <v>5637</v>
      </c>
      <c r="L924" t="s">
        <v>150</v>
      </c>
      <c r="M924" t="s">
        <v>113</v>
      </c>
      <c r="R924" t="s">
        <v>5638</v>
      </c>
      <c r="W924" t="s">
        <v>5639</v>
      </c>
      <c r="X924" t="s">
        <v>3705</v>
      </c>
      <c r="Y924" t="s">
        <v>958</v>
      </c>
      <c r="Z924" t="s">
        <v>117</v>
      </c>
      <c r="AA924" t="str">
        <f>"14226-1727"</f>
        <v>14226-1727</v>
      </c>
      <c r="AB924" t="s">
        <v>118</v>
      </c>
      <c r="AC924" t="s">
        <v>119</v>
      </c>
      <c r="AD924" t="s">
        <v>113</v>
      </c>
      <c r="AE924" t="s">
        <v>120</v>
      </c>
      <c r="AG924" t="s">
        <v>121</v>
      </c>
    </row>
    <row r="925" spans="1:33" x14ac:dyDescent="0.25">
      <c r="A925" t="str">
        <f>"1558325407"</f>
        <v>1558325407</v>
      </c>
      <c r="B925" t="str">
        <f>"02722645"</f>
        <v>02722645</v>
      </c>
      <c r="C925" t="s">
        <v>5640</v>
      </c>
      <c r="D925" t="s">
        <v>5641</v>
      </c>
      <c r="E925" t="s">
        <v>5642</v>
      </c>
      <c r="G925" t="s">
        <v>5643</v>
      </c>
      <c r="H925" t="s">
        <v>213</v>
      </c>
      <c r="J925" t="s">
        <v>5644</v>
      </c>
      <c r="L925" t="s">
        <v>142</v>
      </c>
      <c r="M925" t="s">
        <v>199</v>
      </c>
      <c r="R925" t="s">
        <v>5645</v>
      </c>
      <c r="W925" t="s">
        <v>5642</v>
      </c>
      <c r="X925" t="s">
        <v>216</v>
      </c>
      <c r="Y925" t="s">
        <v>116</v>
      </c>
      <c r="Z925" t="s">
        <v>117</v>
      </c>
      <c r="AA925" t="str">
        <f>"14222-2006"</f>
        <v>14222-2006</v>
      </c>
      <c r="AB925" t="s">
        <v>118</v>
      </c>
      <c r="AC925" t="s">
        <v>119</v>
      </c>
      <c r="AD925" t="s">
        <v>113</v>
      </c>
      <c r="AE925" t="s">
        <v>120</v>
      </c>
      <c r="AG925" t="s">
        <v>121</v>
      </c>
    </row>
    <row r="926" spans="1:33" x14ac:dyDescent="0.25">
      <c r="A926" t="str">
        <f>"1558325951"</f>
        <v>1558325951</v>
      </c>
      <c r="B926" t="str">
        <f>"02743460"</f>
        <v>02743460</v>
      </c>
      <c r="C926" t="s">
        <v>5646</v>
      </c>
      <c r="D926" t="s">
        <v>5647</v>
      </c>
      <c r="E926" t="s">
        <v>5648</v>
      </c>
      <c r="G926" t="s">
        <v>5649</v>
      </c>
      <c r="H926" t="s">
        <v>806</v>
      </c>
      <c r="J926" t="s">
        <v>5650</v>
      </c>
      <c r="L926" t="s">
        <v>142</v>
      </c>
      <c r="M926" t="s">
        <v>113</v>
      </c>
      <c r="R926" t="s">
        <v>5651</v>
      </c>
      <c r="W926" t="s">
        <v>5648</v>
      </c>
      <c r="X926" t="s">
        <v>5652</v>
      </c>
      <c r="Y926" t="s">
        <v>880</v>
      </c>
      <c r="Z926" t="s">
        <v>117</v>
      </c>
      <c r="AA926" t="str">
        <f>"13210-1683"</f>
        <v>13210-1683</v>
      </c>
      <c r="AB926" t="s">
        <v>118</v>
      </c>
      <c r="AC926" t="s">
        <v>119</v>
      </c>
      <c r="AD926" t="s">
        <v>113</v>
      </c>
      <c r="AE926" t="s">
        <v>120</v>
      </c>
      <c r="AG926" t="s">
        <v>121</v>
      </c>
    </row>
    <row r="927" spans="1:33" x14ac:dyDescent="0.25">
      <c r="A927" t="str">
        <f>"1558327742"</f>
        <v>1558327742</v>
      </c>
      <c r="B927" t="str">
        <f>"01566650"</f>
        <v>01566650</v>
      </c>
      <c r="C927" t="s">
        <v>5653</v>
      </c>
      <c r="D927" t="s">
        <v>5654</v>
      </c>
      <c r="E927" t="s">
        <v>5655</v>
      </c>
      <c r="G927" t="s">
        <v>5653</v>
      </c>
      <c r="H927" t="s">
        <v>205</v>
      </c>
      <c r="J927" t="s">
        <v>5656</v>
      </c>
      <c r="L927" t="s">
        <v>142</v>
      </c>
      <c r="M927" t="s">
        <v>113</v>
      </c>
      <c r="R927" t="s">
        <v>5657</v>
      </c>
      <c r="W927" t="s">
        <v>5655</v>
      </c>
      <c r="X927" t="s">
        <v>2607</v>
      </c>
      <c r="Y927" t="s">
        <v>116</v>
      </c>
      <c r="Z927" t="s">
        <v>117</v>
      </c>
      <c r="AA927" t="str">
        <f>"14203-1149"</f>
        <v>14203-1149</v>
      </c>
      <c r="AB927" t="s">
        <v>118</v>
      </c>
      <c r="AC927" t="s">
        <v>119</v>
      </c>
      <c r="AD927" t="s">
        <v>113</v>
      </c>
      <c r="AE927" t="s">
        <v>120</v>
      </c>
      <c r="AG927" t="s">
        <v>121</v>
      </c>
    </row>
    <row r="928" spans="1:33" x14ac:dyDescent="0.25">
      <c r="A928" t="str">
        <f>"1558328112"</f>
        <v>1558328112</v>
      </c>
      <c r="C928" t="s">
        <v>5658</v>
      </c>
      <c r="G928" t="s">
        <v>5658</v>
      </c>
      <c r="H928" t="s">
        <v>5659</v>
      </c>
      <c r="J928" t="s">
        <v>5660</v>
      </c>
      <c r="K928" t="s">
        <v>303</v>
      </c>
      <c r="L928" t="s">
        <v>229</v>
      </c>
      <c r="M928" t="s">
        <v>113</v>
      </c>
      <c r="R928" t="s">
        <v>5661</v>
      </c>
      <c r="S928" t="s">
        <v>3489</v>
      </c>
      <c r="T928" t="s">
        <v>240</v>
      </c>
      <c r="U928" t="s">
        <v>117</v>
      </c>
      <c r="V928" t="str">
        <f>"142211713"</f>
        <v>142211713</v>
      </c>
      <c r="AC928" t="s">
        <v>119</v>
      </c>
      <c r="AD928" t="s">
        <v>113</v>
      </c>
      <c r="AE928" t="s">
        <v>306</v>
      </c>
      <c r="AG928" t="s">
        <v>121</v>
      </c>
    </row>
    <row r="929" spans="1:33" x14ac:dyDescent="0.25">
      <c r="A929" t="str">
        <f>"1558331017"</f>
        <v>1558331017</v>
      </c>
      <c r="B929" t="str">
        <f>"00639198"</f>
        <v>00639198</v>
      </c>
      <c r="C929" t="s">
        <v>5662</v>
      </c>
      <c r="D929" t="s">
        <v>5663</v>
      </c>
      <c r="E929" t="s">
        <v>5664</v>
      </c>
      <c r="G929" t="s">
        <v>5662</v>
      </c>
      <c r="H929" t="s">
        <v>4132</v>
      </c>
      <c r="J929" t="s">
        <v>5665</v>
      </c>
      <c r="L929" t="s">
        <v>142</v>
      </c>
      <c r="M929" t="s">
        <v>113</v>
      </c>
      <c r="R929" t="s">
        <v>5666</v>
      </c>
      <c r="W929" t="s">
        <v>5664</v>
      </c>
      <c r="X929" t="s">
        <v>5667</v>
      </c>
      <c r="Y929" t="s">
        <v>326</v>
      </c>
      <c r="Z929" t="s">
        <v>117</v>
      </c>
      <c r="AA929" t="str">
        <f>"14127"</f>
        <v>14127</v>
      </c>
      <c r="AB929" t="s">
        <v>118</v>
      </c>
      <c r="AC929" t="s">
        <v>119</v>
      </c>
      <c r="AD929" t="s">
        <v>113</v>
      </c>
      <c r="AE929" t="s">
        <v>120</v>
      </c>
      <c r="AG929" t="s">
        <v>121</v>
      </c>
    </row>
    <row r="930" spans="1:33" x14ac:dyDescent="0.25">
      <c r="A930" t="str">
        <f>"1558332502"</f>
        <v>1558332502</v>
      </c>
      <c r="B930" t="str">
        <f>"02077012"</f>
        <v>02077012</v>
      </c>
      <c r="C930" t="s">
        <v>5668</v>
      </c>
      <c r="D930" t="s">
        <v>5669</v>
      </c>
      <c r="E930" t="s">
        <v>5670</v>
      </c>
      <c r="G930" t="s">
        <v>5671</v>
      </c>
      <c r="H930" t="s">
        <v>5672</v>
      </c>
      <c r="J930" t="s">
        <v>5673</v>
      </c>
      <c r="L930" t="s">
        <v>112</v>
      </c>
      <c r="M930" t="s">
        <v>199</v>
      </c>
      <c r="R930" t="s">
        <v>5670</v>
      </c>
      <c r="W930" t="s">
        <v>5670</v>
      </c>
      <c r="X930" t="s">
        <v>5674</v>
      </c>
      <c r="Y930" t="s">
        <v>5675</v>
      </c>
      <c r="Z930" t="s">
        <v>117</v>
      </c>
      <c r="AA930" t="str">
        <f>"14772-9708"</f>
        <v>14772-9708</v>
      </c>
      <c r="AB930" t="s">
        <v>118</v>
      </c>
      <c r="AC930" t="s">
        <v>119</v>
      </c>
      <c r="AD930" t="s">
        <v>113</v>
      </c>
      <c r="AE930" t="s">
        <v>120</v>
      </c>
      <c r="AG930" t="s">
        <v>121</v>
      </c>
    </row>
    <row r="931" spans="1:33" x14ac:dyDescent="0.25">
      <c r="A931" t="str">
        <f>"1558339093"</f>
        <v>1558339093</v>
      </c>
      <c r="B931" t="str">
        <f>"01219685"</f>
        <v>01219685</v>
      </c>
      <c r="C931" t="s">
        <v>5676</v>
      </c>
      <c r="D931" t="s">
        <v>5677</v>
      </c>
      <c r="E931" t="s">
        <v>5678</v>
      </c>
      <c r="G931" t="s">
        <v>5676</v>
      </c>
      <c r="J931" t="s">
        <v>5679</v>
      </c>
      <c r="L931" t="s">
        <v>112</v>
      </c>
      <c r="M931" t="s">
        <v>113</v>
      </c>
      <c r="R931" t="s">
        <v>5680</v>
      </c>
      <c r="W931" t="s">
        <v>5678</v>
      </c>
      <c r="X931" t="s">
        <v>5681</v>
      </c>
      <c r="Y931" t="s">
        <v>2946</v>
      </c>
      <c r="Z931" t="s">
        <v>117</v>
      </c>
      <c r="AA931" t="str">
        <f>"14075-3738"</f>
        <v>14075-3738</v>
      </c>
      <c r="AB931" t="s">
        <v>118</v>
      </c>
      <c r="AC931" t="s">
        <v>119</v>
      </c>
      <c r="AD931" t="s">
        <v>113</v>
      </c>
      <c r="AE931" t="s">
        <v>120</v>
      </c>
      <c r="AG931" t="s">
        <v>121</v>
      </c>
    </row>
    <row r="932" spans="1:33" x14ac:dyDescent="0.25">
      <c r="A932" t="str">
        <f>"1558346049"</f>
        <v>1558346049</v>
      </c>
      <c r="B932" t="str">
        <f>"00855867"</f>
        <v>00855867</v>
      </c>
      <c r="C932" t="s">
        <v>5682</v>
      </c>
      <c r="D932" t="s">
        <v>5683</v>
      </c>
      <c r="E932" t="s">
        <v>5684</v>
      </c>
      <c r="G932" t="s">
        <v>330</v>
      </c>
      <c r="H932" t="s">
        <v>5685</v>
      </c>
      <c r="J932" t="s">
        <v>332</v>
      </c>
      <c r="L932" t="s">
        <v>150</v>
      </c>
      <c r="M932" t="s">
        <v>113</v>
      </c>
      <c r="R932" t="s">
        <v>5686</v>
      </c>
      <c r="W932" t="s">
        <v>5684</v>
      </c>
      <c r="Y932" t="s">
        <v>116</v>
      </c>
      <c r="Z932" t="s">
        <v>117</v>
      </c>
      <c r="AA932" t="str">
        <f>"14220-2095"</f>
        <v>14220-2095</v>
      </c>
      <c r="AB932" t="s">
        <v>118</v>
      </c>
      <c r="AC932" t="s">
        <v>119</v>
      </c>
      <c r="AD932" t="s">
        <v>113</v>
      </c>
      <c r="AE932" t="s">
        <v>120</v>
      </c>
      <c r="AG932" t="s">
        <v>121</v>
      </c>
    </row>
    <row r="933" spans="1:33" x14ac:dyDescent="0.25">
      <c r="A933" t="str">
        <f>"1558354837"</f>
        <v>1558354837</v>
      </c>
      <c r="B933" t="str">
        <f>"00889749"</f>
        <v>00889749</v>
      </c>
      <c r="C933" t="s">
        <v>5687</v>
      </c>
      <c r="D933" t="s">
        <v>5688</v>
      </c>
      <c r="E933" t="s">
        <v>5689</v>
      </c>
      <c r="G933" t="s">
        <v>5687</v>
      </c>
      <c r="H933" t="s">
        <v>5690</v>
      </c>
      <c r="J933" t="s">
        <v>5691</v>
      </c>
      <c r="L933" t="s">
        <v>150</v>
      </c>
      <c r="M933" t="s">
        <v>199</v>
      </c>
      <c r="R933" t="s">
        <v>5692</v>
      </c>
      <c r="W933" t="s">
        <v>5689</v>
      </c>
      <c r="X933" t="s">
        <v>5693</v>
      </c>
      <c r="Y933" t="s">
        <v>240</v>
      </c>
      <c r="Z933" t="s">
        <v>117</v>
      </c>
      <c r="AA933" t="str">
        <f>"14221-3625"</f>
        <v>14221-3625</v>
      </c>
      <c r="AB933" t="s">
        <v>118</v>
      </c>
      <c r="AC933" t="s">
        <v>119</v>
      </c>
      <c r="AD933" t="s">
        <v>113</v>
      </c>
      <c r="AE933" t="s">
        <v>120</v>
      </c>
      <c r="AG933" t="s">
        <v>121</v>
      </c>
    </row>
    <row r="934" spans="1:33" x14ac:dyDescent="0.25">
      <c r="A934" t="str">
        <f>"1538505219"</f>
        <v>1538505219</v>
      </c>
      <c r="C934" t="s">
        <v>5694</v>
      </c>
      <c r="G934" t="s">
        <v>5695</v>
      </c>
      <c r="H934" t="s">
        <v>590</v>
      </c>
      <c r="J934" t="s">
        <v>5696</v>
      </c>
      <c r="K934" t="s">
        <v>303</v>
      </c>
      <c r="L934" t="s">
        <v>229</v>
      </c>
      <c r="M934" t="s">
        <v>113</v>
      </c>
      <c r="R934" t="s">
        <v>5697</v>
      </c>
      <c r="S934" t="s">
        <v>846</v>
      </c>
      <c r="T934" t="s">
        <v>847</v>
      </c>
      <c r="U934" t="s">
        <v>117</v>
      </c>
      <c r="V934" t="str">
        <f>"145691326"</f>
        <v>145691326</v>
      </c>
      <c r="AC934" t="s">
        <v>119</v>
      </c>
      <c r="AD934" t="s">
        <v>113</v>
      </c>
      <c r="AE934" t="s">
        <v>306</v>
      </c>
      <c r="AG934" t="s">
        <v>121</v>
      </c>
    </row>
    <row r="935" spans="1:33" x14ac:dyDescent="0.25">
      <c r="A935" t="str">
        <f>"1548201551"</f>
        <v>1548201551</v>
      </c>
      <c r="B935" t="str">
        <f>"00452171"</f>
        <v>00452171</v>
      </c>
      <c r="C935" t="s">
        <v>5698</v>
      </c>
      <c r="D935" t="s">
        <v>5699</v>
      </c>
      <c r="E935" t="s">
        <v>5700</v>
      </c>
      <c r="G935" t="s">
        <v>5698</v>
      </c>
      <c r="H935" t="s">
        <v>2994</v>
      </c>
      <c r="J935" t="s">
        <v>5701</v>
      </c>
      <c r="L935" t="s">
        <v>150</v>
      </c>
      <c r="M935" t="s">
        <v>199</v>
      </c>
      <c r="R935" t="s">
        <v>5702</v>
      </c>
      <c r="W935" t="s">
        <v>5703</v>
      </c>
      <c r="X935" t="s">
        <v>5704</v>
      </c>
      <c r="Y935" t="s">
        <v>5705</v>
      </c>
      <c r="Z935" t="s">
        <v>117</v>
      </c>
      <c r="AA935" t="str">
        <f>"14469-9312"</f>
        <v>14469-9312</v>
      </c>
      <c r="AB935" t="s">
        <v>118</v>
      </c>
      <c r="AC935" t="s">
        <v>119</v>
      </c>
      <c r="AD935" t="s">
        <v>113</v>
      </c>
      <c r="AE935" t="s">
        <v>120</v>
      </c>
      <c r="AG935" t="s">
        <v>121</v>
      </c>
    </row>
    <row r="936" spans="1:33" x14ac:dyDescent="0.25">
      <c r="A936" t="str">
        <f>"1659354611"</f>
        <v>1659354611</v>
      </c>
      <c r="B936" t="str">
        <f>"01878591"</f>
        <v>01878591</v>
      </c>
      <c r="C936" t="s">
        <v>5706</v>
      </c>
      <c r="D936" t="s">
        <v>5707</v>
      </c>
      <c r="E936" t="s">
        <v>5708</v>
      </c>
      <c r="L936" t="s">
        <v>142</v>
      </c>
      <c r="M936" t="s">
        <v>199</v>
      </c>
      <c r="R936" t="s">
        <v>5709</v>
      </c>
      <c r="W936" t="s">
        <v>5708</v>
      </c>
      <c r="X936" t="s">
        <v>709</v>
      </c>
      <c r="Y936" t="s">
        <v>116</v>
      </c>
      <c r="Z936" t="s">
        <v>117</v>
      </c>
      <c r="AA936" t="str">
        <f>"14263-0001"</f>
        <v>14263-0001</v>
      </c>
      <c r="AB936" t="s">
        <v>118</v>
      </c>
      <c r="AC936" t="s">
        <v>119</v>
      </c>
      <c r="AD936" t="s">
        <v>113</v>
      </c>
      <c r="AE936" t="s">
        <v>120</v>
      </c>
      <c r="AG936" t="s">
        <v>121</v>
      </c>
    </row>
    <row r="937" spans="1:33" x14ac:dyDescent="0.25">
      <c r="A937" t="str">
        <f>"1679909600"</f>
        <v>1679909600</v>
      </c>
      <c r="C937" t="s">
        <v>5710</v>
      </c>
      <c r="G937" t="s">
        <v>3077</v>
      </c>
      <c r="H937" t="s">
        <v>5711</v>
      </c>
      <c r="J937" t="s">
        <v>3079</v>
      </c>
      <c r="K937" t="s">
        <v>303</v>
      </c>
      <c r="L937" t="s">
        <v>229</v>
      </c>
      <c r="M937" t="s">
        <v>113</v>
      </c>
      <c r="R937" t="s">
        <v>5712</v>
      </c>
      <c r="S937" t="s">
        <v>3081</v>
      </c>
      <c r="T937" t="s">
        <v>986</v>
      </c>
      <c r="U937" t="s">
        <v>117</v>
      </c>
      <c r="V937" t="str">
        <f>"147012828"</f>
        <v>147012828</v>
      </c>
      <c r="AC937" t="s">
        <v>119</v>
      </c>
      <c r="AD937" t="s">
        <v>113</v>
      </c>
      <c r="AE937" t="s">
        <v>306</v>
      </c>
      <c r="AG937" t="s">
        <v>121</v>
      </c>
    </row>
    <row r="938" spans="1:33" x14ac:dyDescent="0.25">
      <c r="A938" t="str">
        <f>"1306812102"</f>
        <v>1306812102</v>
      </c>
      <c r="B938" t="str">
        <f>"02651256"</f>
        <v>02651256</v>
      </c>
      <c r="C938" t="s">
        <v>5713</v>
      </c>
      <c r="D938" t="s">
        <v>5714</v>
      </c>
      <c r="E938" t="s">
        <v>5715</v>
      </c>
      <c r="G938" t="s">
        <v>3077</v>
      </c>
      <c r="H938" t="s">
        <v>5716</v>
      </c>
      <c r="J938" t="s">
        <v>3079</v>
      </c>
      <c r="L938" t="s">
        <v>112</v>
      </c>
      <c r="M938" t="s">
        <v>113</v>
      </c>
      <c r="R938" t="s">
        <v>5717</v>
      </c>
      <c r="W938" t="s">
        <v>5718</v>
      </c>
      <c r="X938" t="s">
        <v>3081</v>
      </c>
      <c r="Y938" t="s">
        <v>986</v>
      </c>
      <c r="Z938" t="s">
        <v>117</v>
      </c>
      <c r="AA938" t="str">
        <f>"14701-2828"</f>
        <v>14701-2828</v>
      </c>
      <c r="AB938" t="s">
        <v>223</v>
      </c>
      <c r="AC938" t="s">
        <v>119</v>
      </c>
      <c r="AD938" t="s">
        <v>113</v>
      </c>
      <c r="AE938" t="s">
        <v>120</v>
      </c>
      <c r="AG938" t="s">
        <v>121</v>
      </c>
    </row>
    <row r="939" spans="1:33" x14ac:dyDescent="0.25">
      <c r="A939" t="str">
        <f>"1477748317"</f>
        <v>1477748317</v>
      </c>
      <c r="C939" t="s">
        <v>5719</v>
      </c>
      <c r="G939" t="s">
        <v>3077</v>
      </c>
      <c r="H939" t="s">
        <v>5720</v>
      </c>
      <c r="J939" t="s">
        <v>3079</v>
      </c>
      <c r="K939" t="s">
        <v>303</v>
      </c>
      <c r="L939" t="s">
        <v>112</v>
      </c>
      <c r="M939" t="s">
        <v>113</v>
      </c>
      <c r="R939" t="s">
        <v>5721</v>
      </c>
      <c r="S939" t="s">
        <v>5722</v>
      </c>
      <c r="T939" t="s">
        <v>986</v>
      </c>
      <c r="U939" t="s">
        <v>117</v>
      </c>
      <c r="V939" t="str">
        <f>"147015502"</f>
        <v>147015502</v>
      </c>
      <c r="AC939" t="s">
        <v>119</v>
      </c>
      <c r="AD939" t="s">
        <v>113</v>
      </c>
      <c r="AE939" t="s">
        <v>306</v>
      </c>
      <c r="AG939" t="s">
        <v>121</v>
      </c>
    </row>
    <row r="940" spans="1:33" x14ac:dyDescent="0.25">
      <c r="A940" t="str">
        <f>"1366432098"</f>
        <v>1366432098</v>
      </c>
      <c r="B940" t="str">
        <f>"02740834"</f>
        <v>02740834</v>
      </c>
      <c r="C940" t="s">
        <v>5723</v>
      </c>
      <c r="D940" t="s">
        <v>5724</v>
      </c>
      <c r="E940" t="s">
        <v>5725</v>
      </c>
      <c r="G940" t="s">
        <v>3077</v>
      </c>
      <c r="H940" t="s">
        <v>5726</v>
      </c>
      <c r="J940" t="s">
        <v>3079</v>
      </c>
      <c r="L940" t="s">
        <v>112</v>
      </c>
      <c r="M940" t="s">
        <v>113</v>
      </c>
      <c r="R940" t="s">
        <v>5727</v>
      </c>
      <c r="W940" t="s">
        <v>5728</v>
      </c>
      <c r="X940" t="s">
        <v>5729</v>
      </c>
      <c r="Y940" t="s">
        <v>986</v>
      </c>
      <c r="Z940" t="s">
        <v>117</v>
      </c>
      <c r="AA940" t="str">
        <f>"14701-2630"</f>
        <v>14701-2630</v>
      </c>
      <c r="AB940" t="s">
        <v>634</v>
      </c>
      <c r="AC940" t="s">
        <v>119</v>
      </c>
      <c r="AD940" t="s">
        <v>113</v>
      </c>
      <c r="AE940" t="s">
        <v>120</v>
      </c>
      <c r="AG940" t="s">
        <v>121</v>
      </c>
    </row>
    <row r="941" spans="1:33" x14ac:dyDescent="0.25">
      <c r="A941" t="str">
        <f>"1831127711"</f>
        <v>1831127711</v>
      </c>
      <c r="C941" t="s">
        <v>5730</v>
      </c>
      <c r="G941" t="s">
        <v>3077</v>
      </c>
      <c r="H941" t="s">
        <v>5731</v>
      </c>
      <c r="J941" t="s">
        <v>3079</v>
      </c>
      <c r="K941" t="s">
        <v>303</v>
      </c>
      <c r="L941" t="s">
        <v>229</v>
      </c>
      <c r="M941" t="s">
        <v>113</v>
      </c>
      <c r="R941" t="s">
        <v>5732</v>
      </c>
      <c r="S941" t="s">
        <v>3081</v>
      </c>
      <c r="T941" t="s">
        <v>986</v>
      </c>
      <c r="U941" t="s">
        <v>117</v>
      </c>
      <c r="V941" t="str">
        <f>"147012828"</f>
        <v>147012828</v>
      </c>
      <c r="AC941" t="s">
        <v>119</v>
      </c>
      <c r="AD941" t="s">
        <v>113</v>
      </c>
      <c r="AE941" t="s">
        <v>306</v>
      </c>
      <c r="AG941" t="s">
        <v>121</v>
      </c>
    </row>
    <row r="942" spans="1:33" x14ac:dyDescent="0.25">
      <c r="A942" t="str">
        <f>"1669776068"</f>
        <v>1669776068</v>
      </c>
      <c r="C942" t="s">
        <v>5733</v>
      </c>
      <c r="G942" t="s">
        <v>3077</v>
      </c>
      <c r="H942" t="s">
        <v>5734</v>
      </c>
      <c r="J942" t="s">
        <v>3079</v>
      </c>
      <c r="K942" t="s">
        <v>303</v>
      </c>
      <c r="L942" t="s">
        <v>112</v>
      </c>
      <c r="M942" t="s">
        <v>113</v>
      </c>
      <c r="R942" t="s">
        <v>5735</v>
      </c>
      <c r="S942" t="s">
        <v>5722</v>
      </c>
      <c r="T942" t="s">
        <v>986</v>
      </c>
      <c r="U942" t="s">
        <v>117</v>
      </c>
      <c r="V942" t="str">
        <f>"147015502"</f>
        <v>147015502</v>
      </c>
      <c r="AC942" t="s">
        <v>119</v>
      </c>
      <c r="AD942" t="s">
        <v>113</v>
      </c>
      <c r="AE942" t="s">
        <v>306</v>
      </c>
      <c r="AG942" t="s">
        <v>121</v>
      </c>
    </row>
    <row r="943" spans="1:33" x14ac:dyDescent="0.25">
      <c r="A943" t="str">
        <f>"1699026658"</f>
        <v>1699026658</v>
      </c>
      <c r="B943" t="str">
        <f>"03550332"</f>
        <v>03550332</v>
      </c>
      <c r="C943" t="s">
        <v>5736</v>
      </c>
      <c r="D943" t="s">
        <v>5737</v>
      </c>
      <c r="E943" t="s">
        <v>5738</v>
      </c>
      <c r="G943" t="s">
        <v>3077</v>
      </c>
      <c r="H943" t="s">
        <v>5739</v>
      </c>
      <c r="J943" t="s">
        <v>3079</v>
      </c>
      <c r="L943" t="s">
        <v>142</v>
      </c>
      <c r="M943" t="s">
        <v>113</v>
      </c>
      <c r="R943" t="s">
        <v>5740</v>
      </c>
      <c r="W943" t="s">
        <v>5738</v>
      </c>
      <c r="X943" t="s">
        <v>5741</v>
      </c>
      <c r="Y943" t="s">
        <v>986</v>
      </c>
      <c r="Z943" t="s">
        <v>117</v>
      </c>
      <c r="AA943" t="str">
        <f>"14701-3824"</f>
        <v>14701-3824</v>
      </c>
      <c r="AB943" t="s">
        <v>118</v>
      </c>
      <c r="AC943" t="s">
        <v>119</v>
      </c>
      <c r="AD943" t="s">
        <v>113</v>
      </c>
      <c r="AE943" t="s">
        <v>120</v>
      </c>
      <c r="AG943" t="s">
        <v>121</v>
      </c>
    </row>
    <row r="944" spans="1:33" x14ac:dyDescent="0.25">
      <c r="A944" t="str">
        <f>"1396819066"</f>
        <v>1396819066</v>
      </c>
      <c r="B944" t="str">
        <f>"02242157"</f>
        <v>02242157</v>
      </c>
      <c r="C944" t="s">
        <v>5742</v>
      </c>
      <c r="D944" t="s">
        <v>5743</v>
      </c>
      <c r="E944" t="s">
        <v>5744</v>
      </c>
      <c r="G944" t="s">
        <v>3077</v>
      </c>
      <c r="H944" t="s">
        <v>5745</v>
      </c>
      <c r="J944" t="s">
        <v>3079</v>
      </c>
      <c r="L944" t="s">
        <v>1033</v>
      </c>
      <c r="M944" t="s">
        <v>113</v>
      </c>
      <c r="R944" t="s">
        <v>5746</v>
      </c>
      <c r="W944" t="s">
        <v>5744</v>
      </c>
      <c r="X944" t="s">
        <v>5747</v>
      </c>
      <c r="Y944" t="s">
        <v>978</v>
      </c>
      <c r="Z944" t="s">
        <v>117</v>
      </c>
      <c r="AA944" t="str">
        <f>"14081"</f>
        <v>14081</v>
      </c>
      <c r="AB944" t="s">
        <v>118</v>
      </c>
      <c r="AC944" t="s">
        <v>119</v>
      </c>
      <c r="AD944" t="s">
        <v>113</v>
      </c>
      <c r="AE944" t="s">
        <v>120</v>
      </c>
      <c r="AG944" t="s">
        <v>121</v>
      </c>
    </row>
    <row r="945" spans="1:33" x14ac:dyDescent="0.25">
      <c r="C945" t="s">
        <v>5748</v>
      </c>
      <c r="G945" t="s">
        <v>3077</v>
      </c>
      <c r="H945" t="s">
        <v>5749</v>
      </c>
      <c r="J945" t="s">
        <v>3079</v>
      </c>
      <c r="K945" t="s">
        <v>303</v>
      </c>
      <c r="L945" t="s">
        <v>3095</v>
      </c>
      <c r="M945" t="s">
        <v>113</v>
      </c>
      <c r="N945" t="s">
        <v>5750</v>
      </c>
      <c r="O945" t="s">
        <v>5751</v>
      </c>
      <c r="P945" t="s">
        <v>117</v>
      </c>
      <c r="Q945" t="str">
        <f>"14732"</f>
        <v>14732</v>
      </c>
      <c r="AC945" t="s">
        <v>119</v>
      </c>
      <c r="AD945" t="s">
        <v>113</v>
      </c>
      <c r="AE945" t="s">
        <v>3098</v>
      </c>
      <c r="AG945" t="s">
        <v>121</v>
      </c>
    </row>
    <row r="946" spans="1:33" x14ac:dyDescent="0.25">
      <c r="A946" t="str">
        <f>"1053388843"</f>
        <v>1053388843</v>
      </c>
      <c r="C946" t="s">
        <v>5752</v>
      </c>
      <c r="G946" t="s">
        <v>3077</v>
      </c>
      <c r="H946" t="s">
        <v>5753</v>
      </c>
      <c r="J946" t="s">
        <v>3079</v>
      </c>
      <c r="K946" t="s">
        <v>303</v>
      </c>
      <c r="L946" t="s">
        <v>112</v>
      </c>
      <c r="M946" t="s">
        <v>113</v>
      </c>
      <c r="R946" t="s">
        <v>5754</v>
      </c>
      <c r="S946" t="s">
        <v>5755</v>
      </c>
      <c r="T946" t="s">
        <v>541</v>
      </c>
      <c r="U946" t="s">
        <v>117</v>
      </c>
      <c r="V946" t="str">
        <f>"140481437"</f>
        <v>140481437</v>
      </c>
      <c r="AC946" t="s">
        <v>119</v>
      </c>
      <c r="AD946" t="s">
        <v>113</v>
      </c>
      <c r="AE946" t="s">
        <v>306</v>
      </c>
      <c r="AG946" t="s">
        <v>121</v>
      </c>
    </row>
    <row r="947" spans="1:33" x14ac:dyDescent="0.25">
      <c r="A947" t="str">
        <f>"1124453352"</f>
        <v>1124453352</v>
      </c>
      <c r="C947" t="s">
        <v>5756</v>
      </c>
      <c r="G947" t="s">
        <v>3077</v>
      </c>
      <c r="H947" t="s">
        <v>5757</v>
      </c>
      <c r="J947" t="s">
        <v>3079</v>
      </c>
      <c r="K947" t="s">
        <v>303</v>
      </c>
      <c r="L947" t="s">
        <v>112</v>
      </c>
      <c r="M947" t="s">
        <v>113</v>
      </c>
      <c r="R947" t="s">
        <v>5758</v>
      </c>
      <c r="S947" t="s">
        <v>3085</v>
      </c>
      <c r="T947" t="s">
        <v>986</v>
      </c>
      <c r="U947" t="s">
        <v>117</v>
      </c>
      <c r="V947" t="str">
        <f>"147012528"</f>
        <v>147012528</v>
      </c>
      <c r="AC947" t="s">
        <v>119</v>
      </c>
      <c r="AD947" t="s">
        <v>113</v>
      </c>
      <c r="AE947" t="s">
        <v>306</v>
      </c>
      <c r="AG947" t="s">
        <v>121</v>
      </c>
    </row>
    <row r="948" spans="1:33" x14ac:dyDescent="0.25">
      <c r="A948" t="str">
        <f>"1992139596"</f>
        <v>1992139596</v>
      </c>
      <c r="C948" t="s">
        <v>5759</v>
      </c>
      <c r="G948" t="s">
        <v>3077</v>
      </c>
      <c r="H948" t="s">
        <v>5760</v>
      </c>
      <c r="J948" t="s">
        <v>3079</v>
      </c>
      <c r="K948" t="s">
        <v>303</v>
      </c>
      <c r="L948" t="s">
        <v>229</v>
      </c>
      <c r="M948" t="s">
        <v>113</v>
      </c>
      <c r="R948" t="s">
        <v>5761</v>
      </c>
      <c r="S948" t="s">
        <v>3081</v>
      </c>
      <c r="T948" t="s">
        <v>986</v>
      </c>
      <c r="U948" t="s">
        <v>117</v>
      </c>
      <c r="V948" t="str">
        <f>"147012828"</f>
        <v>147012828</v>
      </c>
      <c r="AC948" t="s">
        <v>119</v>
      </c>
      <c r="AD948" t="s">
        <v>113</v>
      </c>
      <c r="AE948" t="s">
        <v>306</v>
      </c>
      <c r="AG948" t="s">
        <v>121</v>
      </c>
    </row>
    <row r="949" spans="1:33" x14ac:dyDescent="0.25">
      <c r="A949" t="str">
        <f>"1912061789"</f>
        <v>1912061789</v>
      </c>
      <c r="B949" t="str">
        <f>"03004946"</f>
        <v>03004946</v>
      </c>
      <c r="C949" t="s">
        <v>5762</v>
      </c>
      <c r="D949" t="s">
        <v>4752</v>
      </c>
      <c r="E949" t="s">
        <v>4753</v>
      </c>
      <c r="F949">
        <v>160968914</v>
      </c>
      <c r="G949" t="s">
        <v>3077</v>
      </c>
      <c r="H949" t="s">
        <v>5763</v>
      </c>
      <c r="J949" t="s">
        <v>3079</v>
      </c>
      <c r="L949" t="s">
        <v>4756</v>
      </c>
      <c r="M949" t="s">
        <v>199</v>
      </c>
      <c r="R949" t="s">
        <v>4757</v>
      </c>
      <c r="W949" t="s">
        <v>4753</v>
      </c>
      <c r="X949" t="s">
        <v>4758</v>
      </c>
      <c r="Y949" t="s">
        <v>986</v>
      </c>
      <c r="Z949" t="s">
        <v>117</v>
      </c>
      <c r="AA949" t="str">
        <f>"14701-2828"</f>
        <v>14701-2828</v>
      </c>
      <c r="AB949" t="s">
        <v>1460</v>
      </c>
      <c r="AC949" t="s">
        <v>119</v>
      </c>
      <c r="AD949" t="s">
        <v>113</v>
      </c>
      <c r="AE949" t="s">
        <v>120</v>
      </c>
      <c r="AG949" t="s">
        <v>121</v>
      </c>
    </row>
    <row r="950" spans="1:33" x14ac:dyDescent="0.25">
      <c r="A950" t="str">
        <f>"1811050214"</f>
        <v>1811050214</v>
      </c>
      <c r="B950" t="str">
        <f>"03004928"</f>
        <v>03004928</v>
      </c>
      <c r="C950" t="s">
        <v>5764</v>
      </c>
      <c r="D950" t="s">
        <v>4752</v>
      </c>
      <c r="E950" t="s">
        <v>4753</v>
      </c>
      <c r="F950">
        <v>160968914</v>
      </c>
      <c r="G950" t="s">
        <v>3077</v>
      </c>
      <c r="H950" t="s">
        <v>5765</v>
      </c>
      <c r="J950" t="s">
        <v>3079</v>
      </c>
      <c r="L950" t="s">
        <v>4756</v>
      </c>
      <c r="M950" t="s">
        <v>199</v>
      </c>
      <c r="R950" t="s">
        <v>4757</v>
      </c>
      <c r="W950" t="s">
        <v>4753</v>
      </c>
      <c r="X950" t="s">
        <v>4758</v>
      </c>
      <c r="Y950" t="s">
        <v>986</v>
      </c>
      <c r="Z950" t="s">
        <v>117</v>
      </c>
      <c r="AA950" t="str">
        <f>"14701-2828"</f>
        <v>14701-2828</v>
      </c>
      <c r="AB950" t="s">
        <v>1146</v>
      </c>
      <c r="AC950" t="s">
        <v>119</v>
      </c>
      <c r="AD950" t="s">
        <v>113</v>
      </c>
      <c r="AE950" t="s">
        <v>120</v>
      </c>
      <c r="AG950" t="s">
        <v>121</v>
      </c>
    </row>
    <row r="951" spans="1:33" x14ac:dyDescent="0.25">
      <c r="A951" t="str">
        <f>"1265686786"</f>
        <v>1265686786</v>
      </c>
      <c r="B951" t="str">
        <f>"03545815"</f>
        <v>03545815</v>
      </c>
      <c r="C951" t="s">
        <v>5766</v>
      </c>
      <c r="D951" t="s">
        <v>5767</v>
      </c>
      <c r="E951" t="s">
        <v>5768</v>
      </c>
      <c r="G951" t="s">
        <v>3077</v>
      </c>
      <c r="H951" t="s">
        <v>5769</v>
      </c>
      <c r="J951" t="s">
        <v>3079</v>
      </c>
      <c r="L951" t="s">
        <v>112</v>
      </c>
      <c r="M951" t="s">
        <v>113</v>
      </c>
      <c r="R951" t="s">
        <v>5770</v>
      </c>
      <c r="W951" t="s">
        <v>5768</v>
      </c>
      <c r="X951" t="s">
        <v>3081</v>
      </c>
      <c r="Y951" t="s">
        <v>986</v>
      </c>
      <c r="Z951" t="s">
        <v>117</v>
      </c>
      <c r="AA951" t="str">
        <f>"14701-2828"</f>
        <v>14701-2828</v>
      </c>
      <c r="AB951" t="s">
        <v>223</v>
      </c>
      <c r="AC951" t="s">
        <v>119</v>
      </c>
      <c r="AD951" t="s">
        <v>113</v>
      </c>
      <c r="AE951" t="s">
        <v>120</v>
      </c>
      <c r="AG951" t="s">
        <v>121</v>
      </c>
    </row>
    <row r="952" spans="1:33" x14ac:dyDescent="0.25">
      <c r="A952" t="str">
        <f>"1427095892"</f>
        <v>1427095892</v>
      </c>
      <c r="B952" t="str">
        <f>"00710696"</f>
        <v>00710696</v>
      </c>
      <c r="C952" t="s">
        <v>5771</v>
      </c>
      <c r="D952" t="s">
        <v>5772</v>
      </c>
      <c r="E952" t="s">
        <v>5773</v>
      </c>
      <c r="G952" t="s">
        <v>3077</v>
      </c>
      <c r="H952" t="s">
        <v>5774</v>
      </c>
      <c r="J952" t="s">
        <v>3079</v>
      </c>
      <c r="L952" t="s">
        <v>20</v>
      </c>
      <c r="M952" t="s">
        <v>113</v>
      </c>
      <c r="R952" t="s">
        <v>5775</v>
      </c>
      <c r="W952" t="s">
        <v>5773</v>
      </c>
      <c r="X952" t="s">
        <v>5776</v>
      </c>
      <c r="Y952" t="s">
        <v>986</v>
      </c>
      <c r="Z952" t="s">
        <v>117</v>
      </c>
      <c r="AA952" t="str">
        <f>"14701-2914"</f>
        <v>14701-2914</v>
      </c>
      <c r="AB952" t="s">
        <v>5777</v>
      </c>
      <c r="AC952" t="s">
        <v>119</v>
      </c>
      <c r="AD952" t="s">
        <v>113</v>
      </c>
      <c r="AE952" t="s">
        <v>120</v>
      </c>
      <c r="AG952" t="s">
        <v>121</v>
      </c>
    </row>
    <row r="953" spans="1:33" x14ac:dyDescent="0.25">
      <c r="A953" t="str">
        <f>"1356368864"</f>
        <v>1356368864</v>
      </c>
      <c r="B953" t="str">
        <f>"00845978"</f>
        <v>00845978</v>
      </c>
      <c r="C953" t="s">
        <v>5778</v>
      </c>
      <c r="D953" t="s">
        <v>5779</v>
      </c>
      <c r="E953" t="s">
        <v>5780</v>
      </c>
      <c r="G953" t="s">
        <v>3077</v>
      </c>
      <c r="H953" t="s">
        <v>5781</v>
      </c>
      <c r="J953" t="s">
        <v>3079</v>
      </c>
      <c r="L953" t="s">
        <v>142</v>
      </c>
      <c r="M953" t="s">
        <v>113</v>
      </c>
      <c r="R953" t="s">
        <v>5782</v>
      </c>
      <c r="W953" t="s">
        <v>5783</v>
      </c>
      <c r="X953" t="s">
        <v>5784</v>
      </c>
      <c r="Y953" t="s">
        <v>1545</v>
      </c>
      <c r="Z953" t="s">
        <v>117</v>
      </c>
      <c r="AA953" t="str">
        <f>"14218-3527"</f>
        <v>14218-3527</v>
      </c>
      <c r="AB953" t="s">
        <v>1755</v>
      </c>
      <c r="AC953" t="s">
        <v>119</v>
      </c>
      <c r="AD953" t="s">
        <v>113</v>
      </c>
      <c r="AE953" t="s">
        <v>120</v>
      </c>
      <c r="AG953" t="s">
        <v>121</v>
      </c>
    </row>
    <row r="954" spans="1:33" x14ac:dyDescent="0.25">
      <c r="A954" t="str">
        <f>"1437123114"</f>
        <v>1437123114</v>
      </c>
      <c r="B954" t="str">
        <f>"02160158"</f>
        <v>02160158</v>
      </c>
      <c r="C954" t="s">
        <v>5785</v>
      </c>
      <c r="D954" t="s">
        <v>5786</v>
      </c>
      <c r="E954" t="s">
        <v>5787</v>
      </c>
      <c r="G954" t="s">
        <v>3077</v>
      </c>
      <c r="H954" t="s">
        <v>5788</v>
      </c>
      <c r="J954" t="s">
        <v>3079</v>
      </c>
      <c r="L954" t="s">
        <v>112</v>
      </c>
      <c r="M954" t="s">
        <v>199</v>
      </c>
      <c r="R954" t="s">
        <v>5789</v>
      </c>
      <c r="W954" t="s">
        <v>5787</v>
      </c>
      <c r="X954" t="s">
        <v>5790</v>
      </c>
      <c r="Y954" t="s">
        <v>986</v>
      </c>
      <c r="Z954" t="s">
        <v>117</v>
      </c>
      <c r="AA954" t="str">
        <f>"14701-5623"</f>
        <v>14701-5623</v>
      </c>
      <c r="AB954" t="s">
        <v>118</v>
      </c>
      <c r="AC954" t="s">
        <v>119</v>
      </c>
      <c r="AD954" t="s">
        <v>113</v>
      </c>
      <c r="AE954" t="s">
        <v>120</v>
      </c>
      <c r="AG954" t="s">
        <v>121</v>
      </c>
    </row>
    <row r="955" spans="1:33" x14ac:dyDescent="0.25">
      <c r="A955" t="str">
        <f>"1164448031"</f>
        <v>1164448031</v>
      </c>
      <c r="B955" t="str">
        <f>"03510652"</f>
        <v>03510652</v>
      </c>
      <c r="C955" t="s">
        <v>5791</v>
      </c>
      <c r="D955" t="s">
        <v>5792</v>
      </c>
      <c r="E955" t="s">
        <v>5793</v>
      </c>
      <c r="G955" t="s">
        <v>3077</v>
      </c>
      <c r="H955" t="s">
        <v>5794</v>
      </c>
      <c r="J955" t="s">
        <v>3079</v>
      </c>
      <c r="L955" t="s">
        <v>1033</v>
      </c>
      <c r="M955" t="s">
        <v>113</v>
      </c>
      <c r="R955" t="s">
        <v>5795</v>
      </c>
      <c r="W955" t="s">
        <v>5793</v>
      </c>
      <c r="X955" t="s">
        <v>5722</v>
      </c>
      <c r="Y955" t="s">
        <v>986</v>
      </c>
      <c r="Z955" t="s">
        <v>117</v>
      </c>
      <c r="AA955" t="str">
        <f>"14701-5502"</f>
        <v>14701-5502</v>
      </c>
      <c r="AB955" t="s">
        <v>621</v>
      </c>
      <c r="AC955" t="s">
        <v>119</v>
      </c>
      <c r="AD955" t="s">
        <v>113</v>
      </c>
      <c r="AE955" t="s">
        <v>120</v>
      </c>
      <c r="AG955" t="s">
        <v>121</v>
      </c>
    </row>
    <row r="956" spans="1:33" x14ac:dyDescent="0.25">
      <c r="A956" t="str">
        <f>"1255745295"</f>
        <v>1255745295</v>
      </c>
      <c r="C956" t="s">
        <v>5796</v>
      </c>
      <c r="G956" t="s">
        <v>3077</v>
      </c>
      <c r="H956" t="s">
        <v>5797</v>
      </c>
      <c r="J956" t="s">
        <v>3079</v>
      </c>
      <c r="K956" t="s">
        <v>303</v>
      </c>
      <c r="L956" t="s">
        <v>112</v>
      </c>
      <c r="M956" t="s">
        <v>113</v>
      </c>
      <c r="R956" t="s">
        <v>5798</v>
      </c>
      <c r="S956" t="s">
        <v>5799</v>
      </c>
      <c r="T956" t="s">
        <v>541</v>
      </c>
      <c r="U956" t="s">
        <v>117</v>
      </c>
      <c r="V956" t="str">
        <f>"140482201"</f>
        <v>140482201</v>
      </c>
      <c r="AC956" t="s">
        <v>119</v>
      </c>
      <c r="AD956" t="s">
        <v>113</v>
      </c>
      <c r="AE956" t="s">
        <v>306</v>
      </c>
      <c r="AG956" t="s">
        <v>121</v>
      </c>
    </row>
    <row r="957" spans="1:33" x14ac:dyDescent="0.25">
      <c r="A957" t="str">
        <f>"1750636536"</f>
        <v>1750636536</v>
      </c>
      <c r="B957" t="str">
        <f>"03496917"</f>
        <v>03496917</v>
      </c>
      <c r="C957" t="s">
        <v>5800</v>
      </c>
      <c r="D957" t="s">
        <v>5801</v>
      </c>
      <c r="E957" t="s">
        <v>5802</v>
      </c>
      <c r="G957" t="s">
        <v>3077</v>
      </c>
      <c r="H957" t="s">
        <v>5803</v>
      </c>
      <c r="J957" t="s">
        <v>3079</v>
      </c>
      <c r="L957" t="s">
        <v>112</v>
      </c>
      <c r="M957" t="s">
        <v>113</v>
      </c>
      <c r="R957" t="s">
        <v>5804</v>
      </c>
      <c r="W957" t="s">
        <v>5805</v>
      </c>
      <c r="X957" t="s">
        <v>5755</v>
      </c>
      <c r="Y957" t="s">
        <v>541</v>
      </c>
      <c r="Z957" t="s">
        <v>117</v>
      </c>
      <c r="AA957" t="str">
        <f>"14048-1437"</f>
        <v>14048-1437</v>
      </c>
      <c r="AB957" t="s">
        <v>223</v>
      </c>
      <c r="AC957" t="s">
        <v>119</v>
      </c>
      <c r="AD957" t="s">
        <v>113</v>
      </c>
      <c r="AE957" t="s">
        <v>120</v>
      </c>
      <c r="AG957" t="s">
        <v>121</v>
      </c>
    </row>
    <row r="958" spans="1:33" x14ac:dyDescent="0.25">
      <c r="A958" t="str">
        <f>"1891115044"</f>
        <v>1891115044</v>
      </c>
      <c r="C958" t="s">
        <v>5806</v>
      </c>
      <c r="G958" t="s">
        <v>3077</v>
      </c>
      <c r="H958" t="s">
        <v>5807</v>
      </c>
      <c r="J958" t="s">
        <v>3079</v>
      </c>
      <c r="K958" t="s">
        <v>303</v>
      </c>
      <c r="L958" t="s">
        <v>229</v>
      </c>
      <c r="M958" t="s">
        <v>113</v>
      </c>
      <c r="R958" t="s">
        <v>5808</v>
      </c>
      <c r="S958" t="s">
        <v>3081</v>
      </c>
      <c r="T958" t="s">
        <v>986</v>
      </c>
      <c r="U958" t="s">
        <v>117</v>
      </c>
      <c r="V958" t="str">
        <f>"147012828"</f>
        <v>147012828</v>
      </c>
      <c r="AC958" t="s">
        <v>119</v>
      </c>
      <c r="AD958" t="s">
        <v>113</v>
      </c>
      <c r="AE958" t="s">
        <v>306</v>
      </c>
      <c r="AG958" t="s">
        <v>121</v>
      </c>
    </row>
    <row r="959" spans="1:33" x14ac:dyDescent="0.25">
      <c r="A959" t="str">
        <f>"1346578424"</f>
        <v>1346578424</v>
      </c>
      <c r="C959" t="s">
        <v>5809</v>
      </c>
      <c r="G959" t="s">
        <v>3077</v>
      </c>
      <c r="H959" t="s">
        <v>5810</v>
      </c>
      <c r="J959" t="s">
        <v>3079</v>
      </c>
      <c r="K959" t="s">
        <v>303</v>
      </c>
      <c r="L959" t="s">
        <v>112</v>
      </c>
      <c r="M959" t="s">
        <v>113</v>
      </c>
      <c r="R959" t="s">
        <v>5811</v>
      </c>
      <c r="S959" t="s">
        <v>5812</v>
      </c>
      <c r="T959" t="s">
        <v>986</v>
      </c>
      <c r="U959" t="s">
        <v>117</v>
      </c>
      <c r="V959" t="str">
        <f>"147015323"</f>
        <v>147015323</v>
      </c>
      <c r="AC959" t="s">
        <v>119</v>
      </c>
      <c r="AD959" t="s">
        <v>113</v>
      </c>
      <c r="AE959" t="s">
        <v>306</v>
      </c>
      <c r="AG959" t="s">
        <v>121</v>
      </c>
    </row>
    <row r="960" spans="1:33" x14ac:dyDescent="0.25">
      <c r="A960" t="str">
        <f>"1164410213"</f>
        <v>1164410213</v>
      </c>
      <c r="B960" t="str">
        <f>"02741326"</f>
        <v>02741326</v>
      </c>
      <c r="C960" t="s">
        <v>5813</v>
      </c>
      <c r="D960" t="s">
        <v>5814</v>
      </c>
      <c r="E960" t="s">
        <v>5815</v>
      </c>
      <c r="G960" t="s">
        <v>3077</v>
      </c>
      <c r="H960" t="s">
        <v>5816</v>
      </c>
      <c r="J960" t="s">
        <v>3079</v>
      </c>
      <c r="L960" t="s">
        <v>112</v>
      </c>
      <c r="M960" t="s">
        <v>113</v>
      </c>
      <c r="R960" t="s">
        <v>5817</v>
      </c>
      <c r="W960" t="s">
        <v>5815</v>
      </c>
      <c r="X960" t="s">
        <v>5818</v>
      </c>
      <c r="Y960" t="s">
        <v>986</v>
      </c>
      <c r="Z960" t="s">
        <v>117</v>
      </c>
      <c r="AA960" t="str">
        <f>"14701-3826"</f>
        <v>14701-3826</v>
      </c>
      <c r="AB960" t="s">
        <v>634</v>
      </c>
      <c r="AC960" t="s">
        <v>119</v>
      </c>
      <c r="AD960" t="s">
        <v>113</v>
      </c>
      <c r="AE960" t="s">
        <v>120</v>
      </c>
      <c r="AG960" t="s">
        <v>121</v>
      </c>
    </row>
    <row r="961" spans="1:33" x14ac:dyDescent="0.25">
      <c r="A961" t="str">
        <f>"1942485057"</f>
        <v>1942485057</v>
      </c>
      <c r="C961" t="s">
        <v>5819</v>
      </c>
      <c r="G961" t="s">
        <v>3077</v>
      </c>
      <c r="H961" t="s">
        <v>5820</v>
      </c>
      <c r="J961" t="s">
        <v>3079</v>
      </c>
      <c r="K961" t="s">
        <v>303</v>
      </c>
      <c r="L961" t="s">
        <v>112</v>
      </c>
      <c r="M961" t="s">
        <v>113</v>
      </c>
      <c r="R961" t="s">
        <v>5821</v>
      </c>
      <c r="S961" t="s">
        <v>5822</v>
      </c>
      <c r="T961" t="s">
        <v>5823</v>
      </c>
      <c r="U961" t="s">
        <v>1535</v>
      </c>
      <c r="V961" t="str">
        <f>"158531939"</f>
        <v>158531939</v>
      </c>
      <c r="AC961" t="s">
        <v>119</v>
      </c>
      <c r="AD961" t="s">
        <v>113</v>
      </c>
      <c r="AE961" t="s">
        <v>306</v>
      </c>
      <c r="AG961" t="s">
        <v>121</v>
      </c>
    </row>
    <row r="962" spans="1:33" x14ac:dyDescent="0.25">
      <c r="A962" t="str">
        <f>"1700212909"</f>
        <v>1700212909</v>
      </c>
      <c r="C962" t="s">
        <v>5824</v>
      </c>
      <c r="G962" t="s">
        <v>3077</v>
      </c>
      <c r="H962" t="s">
        <v>5825</v>
      </c>
      <c r="J962" t="s">
        <v>3079</v>
      </c>
      <c r="K962" t="s">
        <v>303</v>
      </c>
      <c r="L962" t="s">
        <v>112</v>
      </c>
      <c r="M962" t="s">
        <v>113</v>
      </c>
      <c r="R962" t="s">
        <v>5826</v>
      </c>
      <c r="S962" t="s">
        <v>3085</v>
      </c>
      <c r="T962" t="s">
        <v>986</v>
      </c>
      <c r="U962" t="s">
        <v>117</v>
      </c>
      <c r="V962" t="str">
        <f>"147012528"</f>
        <v>147012528</v>
      </c>
      <c r="AC962" t="s">
        <v>119</v>
      </c>
      <c r="AD962" t="s">
        <v>113</v>
      </c>
      <c r="AE962" t="s">
        <v>306</v>
      </c>
      <c r="AG962" t="s">
        <v>121</v>
      </c>
    </row>
    <row r="963" spans="1:33" x14ac:dyDescent="0.25">
      <c r="A963" t="str">
        <f>"1861745358"</f>
        <v>1861745358</v>
      </c>
      <c r="C963" t="s">
        <v>5827</v>
      </c>
      <c r="G963" t="s">
        <v>3077</v>
      </c>
      <c r="H963" t="s">
        <v>5828</v>
      </c>
      <c r="J963" t="s">
        <v>3079</v>
      </c>
      <c r="K963" t="s">
        <v>303</v>
      </c>
      <c r="L963" t="s">
        <v>112</v>
      </c>
      <c r="M963" t="s">
        <v>113</v>
      </c>
      <c r="R963" t="s">
        <v>5829</v>
      </c>
      <c r="S963" t="s">
        <v>5830</v>
      </c>
      <c r="T963" t="s">
        <v>986</v>
      </c>
      <c r="U963" t="s">
        <v>117</v>
      </c>
      <c r="V963" t="str">
        <f>"147012828"</f>
        <v>147012828</v>
      </c>
      <c r="AC963" t="s">
        <v>119</v>
      </c>
      <c r="AD963" t="s">
        <v>113</v>
      </c>
      <c r="AE963" t="s">
        <v>306</v>
      </c>
      <c r="AG963" t="s">
        <v>121</v>
      </c>
    </row>
    <row r="964" spans="1:33" x14ac:dyDescent="0.25">
      <c r="A964" t="str">
        <f>"1326014192"</f>
        <v>1326014192</v>
      </c>
      <c r="B964" t="str">
        <f>"02626286"</f>
        <v>02626286</v>
      </c>
      <c r="C964" t="s">
        <v>5831</v>
      </c>
      <c r="D964" t="s">
        <v>5832</v>
      </c>
      <c r="E964" t="s">
        <v>5833</v>
      </c>
      <c r="G964" t="s">
        <v>3077</v>
      </c>
      <c r="H964" t="s">
        <v>5834</v>
      </c>
      <c r="J964" t="s">
        <v>3079</v>
      </c>
      <c r="L964" t="s">
        <v>112</v>
      </c>
      <c r="M964" t="s">
        <v>113</v>
      </c>
      <c r="R964" t="s">
        <v>5835</v>
      </c>
      <c r="W964" t="s">
        <v>5833</v>
      </c>
      <c r="X964" t="s">
        <v>5836</v>
      </c>
      <c r="Y964" t="s">
        <v>541</v>
      </c>
      <c r="Z964" t="s">
        <v>117</v>
      </c>
      <c r="AA964" t="str">
        <f>"14048-1437"</f>
        <v>14048-1437</v>
      </c>
      <c r="AB964" t="s">
        <v>223</v>
      </c>
      <c r="AC964" t="s">
        <v>119</v>
      </c>
      <c r="AD964" t="s">
        <v>113</v>
      </c>
      <c r="AE964" t="s">
        <v>120</v>
      </c>
      <c r="AG964" t="s">
        <v>121</v>
      </c>
    </row>
    <row r="965" spans="1:33" x14ac:dyDescent="0.25">
      <c r="A965" t="str">
        <f>"1396976403"</f>
        <v>1396976403</v>
      </c>
      <c r="B965" t="str">
        <f>"03603427"</f>
        <v>03603427</v>
      </c>
      <c r="C965" t="s">
        <v>5837</v>
      </c>
      <c r="D965" t="s">
        <v>5838</v>
      </c>
      <c r="E965" t="s">
        <v>5839</v>
      </c>
      <c r="G965" t="s">
        <v>5840</v>
      </c>
      <c r="H965" t="s">
        <v>5841</v>
      </c>
      <c r="J965" t="s">
        <v>5842</v>
      </c>
      <c r="L965" t="s">
        <v>142</v>
      </c>
      <c r="M965" t="s">
        <v>113</v>
      </c>
      <c r="R965" t="s">
        <v>5839</v>
      </c>
      <c r="W965" t="s">
        <v>5839</v>
      </c>
      <c r="X965" t="s">
        <v>5843</v>
      </c>
      <c r="Y965" t="s">
        <v>958</v>
      </c>
      <c r="Z965" t="s">
        <v>117</v>
      </c>
      <c r="AA965" t="str">
        <f>"14226-1727"</f>
        <v>14226-1727</v>
      </c>
      <c r="AB965" t="s">
        <v>118</v>
      </c>
      <c r="AC965" t="s">
        <v>119</v>
      </c>
      <c r="AD965" t="s">
        <v>113</v>
      </c>
      <c r="AE965" t="s">
        <v>120</v>
      </c>
      <c r="AG965" t="s">
        <v>121</v>
      </c>
    </row>
    <row r="966" spans="1:33" x14ac:dyDescent="0.25">
      <c r="A966" t="str">
        <f>"1407012016"</f>
        <v>1407012016</v>
      </c>
      <c r="B966" t="str">
        <f>"03624095"</f>
        <v>03624095</v>
      </c>
      <c r="C966" t="s">
        <v>5844</v>
      </c>
      <c r="D966" t="s">
        <v>5845</v>
      </c>
      <c r="E966" t="s">
        <v>5846</v>
      </c>
      <c r="G966" t="s">
        <v>5844</v>
      </c>
      <c r="H966" t="s">
        <v>2280</v>
      </c>
      <c r="J966" t="s">
        <v>5847</v>
      </c>
      <c r="L966" t="s">
        <v>142</v>
      </c>
      <c r="M966" t="s">
        <v>113</v>
      </c>
      <c r="R966" t="s">
        <v>5846</v>
      </c>
      <c r="W966" t="s">
        <v>5846</v>
      </c>
      <c r="X966" t="s">
        <v>216</v>
      </c>
      <c r="Y966" t="s">
        <v>116</v>
      </c>
      <c r="Z966" t="s">
        <v>117</v>
      </c>
      <c r="AA966" t="str">
        <f>"14222-2006"</f>
        <v>14222-2006</v>
      </c>
      <c r="AB966" t="s">
        <v>118</v>
      </c>
      <c r="AC966" t="s">
        <v>119</v>
      </c>
      <c r="AD966" t="s">
        <v>113</v>
      </c>
      <c r="AE966" t="s">
        <v>120</v>
      </c>
      <c r="AG966" t="s">
        <v>121</v>
      </c>
    </row>
    <row r="967" spans="1:33" x14ac:dyDescent="0.25">
      <c r="A967" t="str">
        <f>"1407017940"</f>
        <v>1407017940</v>
      </c>
      <c r="B967" t="str">
        <f>"03076762"</f>
        <v>03076762</v>
      </c>
      <c r="C967" t="s">
        <v>5848</v>
      </c>
      <c r="D967" t="s">
        <v>5849</v>
      </c>
      <c r="E967" t="s">
        <v>5850</v>
      </c>
      <c r="G967" t="s">
        <v>4593</v>
      </c>
      <c r="H967" t="s">
        <v>4594</v>
      </c>
      <c r="J967" t="s">
        <v>4595</v>
      </c>
      <c r="L967" t="s">
        <v>150</v>
      </c>
      <c r="M967" t="s">
        <v>113</v>
      </c>
      <c r="R967" t="s">
        <v>5851</v>
      </c>
      <c r="W967" t="s">
        <v>5852</v>
      </c>
      <c r="X967" t="s">
        <v>1304</v>
      </c>
      <c r="Y967" t="s">
        <v>116</v>
      </c>
      <c r="Z967" t="s">
        <v>117</v>
      </c>
      <c r="AA967" t="str">
        <f>"14220-2039"</f>
        <v>14220-2039</v>
      </c>
      <c r="AB967" t="s">
        <v>118</v>
      </c>
      <c r="AC967" t="s">
        <v>119</v>
      </c>
      <c r="AD967" t="s">
        <v>113</v>
      </c>
      <c r="AE967" t="s">
        <v>120</v>
      </c>
      <c r="AG967" t="s">
        <v>121</v>
      </c>
    </row>
    <row r="968" spans="1:33" x14ac:dyDescent="0.25">
      <c r="A968" t="str">
        <f>"1427215029"</f>
        <v>1427215029</v>
      </c>
      <c r="B968" t="str">
        <f>"03816346"</f>
        <v>03816346</v>
      </c>
      <c r="C968" t="s">
        <v>5853</v>
      </c>
      <c r="D968" t="s">
        <v>5854</v>
      </c>
      <c r="E968" t="s">
        <v>5855</v>
      </c>
      <c r="G968" t="s">
        <v>5856</v>
      </c>
      <c r="H968" t="s">
        <v>5857</v>
      </c>
      <c r="J968" t="s">
        <v>5858</v>
      </c>
      <c r="L968" t="s">
        <v>142</v>
      </c>
      <c r="M968" t="s">
        <v>113</v>
      </c>
      <c r="R968" t="s">
        <v>5859</v>
      </c>
      <c r="W968" t="s">
        <v>5855</v>
      </c>
      <c r="X968" t="s">
        <v>216</v>
      </c>
      <c r="Y968" t="s">
        <v>116</v>
      </c>
      <c r="Z968" t="s">
        <v>117</v>
      </c>
      <c r="AA968" t="str">
        <f>"14222-2006"</f>
        <v>14222-2006</v>
      </c>
      <c r="AB968" t="s">
        <v>118</v>
      </c>
      <c r="AC968" t="s">
        <v>119</v>
      </c>
      <c r="AD968" t="s">
        <v>113</v>
      </c>
      <c r="AE968" t="s">
        <v>120</v>
      </c>
      <c r="AG968" t="s">
        <v>121</v>
      </c>
    </row>
    <row r="969" spans="1:33" x14ac:dyDescent="0.25">
      <c r="A969" t="str">
        <f>"1427225317"</f>
        <v>1427225317</v>
      </c>
      <c r="B969" t="str">
        <f>"03352114"</f>
        <v>03352114</v>
      </c>
      <c r="C969" t="s">
        <v>5860</v>
      </c>
      <c r="D969" t="s">
        <v>5861</v>
      </c>
      <c r="E969" t="s">
        <v>5862</v>
      </c>
      <c r="G969" t="s">
        <v>5863</v>
      </c>
      <c r="H969" t="s">
        <v>5864</v>
      </c>
      <c r="L969" t="s">
        <v>142</v>
      </c>
      <c r="M969" t="s">
        <v>113</v>
      </c>
      <c r="R969" t="s">
        <v>5863</v>
      </c>
      <c r="W969" t="s">
        <v>5862</v>
      </c>
      <c r="X969" t="s">
        <v>152</v>
      </c>
      <c r="Y969" t="s">
        <v>153</v>
      </c>
      <c r="Z969" t="s">
        <v>117</v>
      </c>
      <c r="AA969" t="str">
        <f>"14301-1813"</f>
        <v>14301-1813</v>
      </c>
      <c r="AB969" t="s">
        <v>118</v>
      </c>
      <c r="AC969" t="s">
        <v>119</v>
      </c>
      <c r="AD969" t="s">
        <v>113</v>
      </c>
      <c r="AE969" t="s">
        <v>120</v>
      </c>
      <c r="AG969" t="s">
        <v>121</v>
      </c>
    </row>
    <row r="970" spans="1:33" x14ac:dyDescent="0.25">
      <c r="A970" t="str">
        <f>"1427228477"</f>
        <v>1427228477</v>
      </c>
      <c r="C970" t="s">
        <v>5865</v>
      </c>
      <c r="G970" t="s">
        <v>5866</v>
      </c>
      <c r="H970" t="s">
        <v>5867</v>
      </c>
      <c r="J970" t="s">
        <v>352</v>
      </c>
      <c r="K970" t="s">
        <v>303</v>
      </c>
      <c r="L970" t="s">
        <v>229</v>
      </c>
      <c r="M970" t="s">
        <v>113</v>
      </c>
      <c r="R970" t="s">
        <v>5868</v>
      </c>
      <c r="S970" t="s">
        <v>409</v>
      </c>
      <c r="T970" t="s">
        <v>116</v>
      </c>
      <c r="U970" t="s">
        <v>117</v>
      </c>
      <c r="V970" t="str">
        <f>"142152814"</f>
        <v>142152814</v>
      </c>
      <c r="AC970" t="s">
        <v>119</v>
      </c>
      <c r="AD970" t="s">
        <v>113</v>
      </c>
      <c r="AE970" t="s">
        <v>306</v>
      </c>
      <c r="AG970" t="s">
        <v>121</v>
      </c>
    </row>
    <row r="971" spans="1:33" x14ac:dyDescent="0.25">
      <c r="A971" t="str">
        <f>"1427236330"</f>
        <v>1427236330</v>
      </c>
      <c r="B971" t="str">
        <f>"03361740"</f>
        <v>03361740</v>
      </c>
      <c r="C971" t="s">
        <v>5869</v>
      </c>
      <c r="D971" t="s">
        <v>5870</v>
      </c>
      <c r="E971" t="s">
        <v>5871</v>
      </c>
      <c r="G971" t="s">
        <v>5869</v>
      </c>
      <c r="H971" t="s">
        <v>5327</v>
      </c>
      <c r="J971" t="s">
        <v>5872</v>
      </c>
      <c r="L971" t="s">
        <v>150</v>
      </c>
      <c r="M971" t="s">
        <v>113</v>
      </c>
      <c r="R971" t="s">
        <v>5873</v>
      </c>
      <c r="W971" t="s">
        <v>5871</v>
      </c>
      <c r="X971" t="s">
        <v>5874</v>
      </c>
      <c r="Y971" t="s">
        <v>663</v>
      </c>
      <c r="Z971" t="s">
        <v>117</v>
      </c>
      <c r="AA971" t="str">
        <f>"14094-0000"</f>
        <v>14094-0000</v>
      </c>
      <c r="AB971" t="s">
        <v>118</v>
      </c>
      <c r="AC971" t="s">
        <v>119</v>
      </c>
      <c r="AD971" t="s">
        <v>113</v>
      </c>
      <c r="AE971" t="s">
        <v>120</v>
      </c>
      <c r="AG971" t="s">
        <v>121</v>
      </c>
    </row>
    <row r="972" spans="1:33" x14ac:dyDescent="0.25">
      <c r="A972" t="str">
        <f>"1427344498"</f>
        <v>1427344498</v>
      </c>
      <c r="C972" t="s">
        <v>5875</v>
      </c>
      <c r="G972" t="s">
        <v>5876</v>
      </c>
      <c r="H972" t="s">
        <v>351</v>
      </c>
      <c r="J972" t="s">
        <v>352</v>
      </c>
      <c r="K972" t="s">
        <v>303</v>
      </c>
      <c r="L972" t="s">
        <v>229</v>
      </c>
      <c r="M972" t="s">
        <v>113</v>
      </c>
      <c r="R972" t="s">
        <v>5877</v>
      </c>
      <c r="S972" t="s">
        <v>354</v>
      </c>
      <c r="T972" t="s">
        <v>116</v>
      </c>
      <c r="U972" t="s">
        <v>117</v>
      </c>
      <c r="V972" t="str">
        <f>"142152814"</f>
        <v>142152814</v>
      </c>
      <c r="AC972" t="s">
        <v>119</v>
      </c>
      <c r="AD972" t="s">
        <v>113</v>
      </c>
      <c r="AE972" t="s">
        <v>306</v>
      </c>
      <c r="AG972" t="s">
        <v>121</v>
      </c>
    </row>
    <row r="973" spans="1:33" x14ac:dyDescent="0.25">
      <c r="A973" t="str">
        <f>"1427345875"</f>
        <v>1427345875</v>
      </c>
      <c r="B973" t="str">
        <f>"03358541"</f>
        <v>03358541</v>
      </c>
      <c r="C973" t="s">
        <v>5878</v>
      </c>
      <c r="D973" t="s">
        <v>5879</v>
      </c>
      <c r="E973" t="s">
        <v>5880</v>
      </c>
      <c r="G973" t="s">
        <v>5881</v>
      </c>
      <c r="H973" t="s">
        <v>1227</v>
      </c>
      <c r="J973" t="s">
        <v>5882</v>
      </c>
      <c r="L973" t="s">
        <v>112</v>
      </c>
      <c r="M973" t="s">
        <v>113</v>
      </c>
      <c r="R973" t="s">
        <v>5880</v>
      </c>
      <c r="W973" t="s">
        <v>5880</v>
      </c>
      <c r="X973" t="s">
        <v>3705</v>
      </c>
      <c r="Y973" t="s">
        <v>958</v>
      </c>
      <c r="Z973" t="s">
        <v>117</v>
      </c>
      <c r="AA973" t="str">
        <f>"14226-1727"</f>
        <v>14226-1727</v>
      </c>
      <c r="AB973" t="s">
        <v>118</v>
      </c>
      <c r="AC973" t="s">
        <v>119</v>
      </c>
      <c r="AD973" t="s">
        <v>113</v>
      </c>
      <c r="AE973" t="s">
        <v>120</v>
      </c>
      <c r="AG973" t="s">
        <v>121</v>
      </c>
    </row>
    <row r="974" spans="1:33" x14ac:dyDescent="0.25">
      <c r="A974" t="str">
        <f>"1427352673"</f>
        <v>1427352673</v>
      </c>
      <c r="C974" t="s">
        <v>5883</v>
      </c>
      <c r="G974" t="s">
        <v>5884</v>
      </c>
      <c r="J974" t="s">
        <v>352</v>
      </c>
      <c r="K974" t="s">
        <v>303</v>
      </c>
      <c r="L974" t="s">
        <v>229</v>
      </c>
      <c r="M974" t="s">
        <v>113</v>
      </c>
      <c r="R974" t="s">
        <v>5885</v>
      </c>
      <c r="S974" t="s">
        <v>2052</v>
      </c>
      <c r="T974" t="s">
        <v>116</v>
      </c>
      <c r="U974" t="s">
        <v>117</v>
      </c>
      <c r="V974" t="str">
        <f>"142072341"</f>
        <v>142072341</v>
      </c>
      <c r="AC974" t="s">
        <v>119</v>
      </c>
      <c r="AD974" t="s">
        <v>113</v>
      </c>
      <c r="AE974" t="s">
        <v>306</v>
      </c>
      <c r="AG974" t="s">
        <v>121</v>
      </c>
    </row>
    <row r="975" spans="1:33" x14ac:dyDescent="0.25">
      <c r="A975" t="str">
        <f>"1427363886"</f>
        <v>1427363886</v>
      </c>
      <c r="B975" t="str">
        <f>"03619550"</f>
        <v>03619550</v>
      </c>
      <c r="C975" t="s">
        <v>5886</v>
      </c>
      <c r="D975" t="s">
        <v>5887</v>
      </c>
      <c r="E975" t="s">
        <v>5888</v>
      </c>
      <c r="G975" t="s">
        <v>5886</v>
      </c>
      <c r="H975" t="s">
        <v>5889</v>
      </c>
      <c r="J975" t="s">
        <v>5890</v>
      </c>
      <c r="L975" t="s">
        <v>142</v>
      </c>
      <c r="M975" t="s">
        <v>113</v>
      </c>
      <c r="R975" t="s">
        <v>5891</v>
      </c>
      <c r="W975" t="s">
        <v>5888</v>
      </c>
      <c r="X975" t="s">
        <v>838</v>
      </c>
      <c r="Y975" t="s">
        <v>240</v>
      </c>
      <c r="Z975" t="s">
        <v>117</v>
      </c>
      <c r="AA975" t="str">
        <f>"14221-3647"</f>
        <v>14221-3647</v>
      </c>
      <c r="AB975" t="s">
        <v>118</v>
      </c>
      <c r="AC975" t="s">
        <v>119</v>
      </c>
      <c r="AD975" t="s">
        <v>113</v>
      </c>
      <c r="AE975" t="s">
        <v>120</v>
      </c>
      <c r="AG975" t="s">
        <v>121</v>
      </c>
    </row>
    <row r="976" spans="1:33" x14ac:dyDescent="0.25">
      <c r="A976" t="str">
        <f>"1427450154"</f>
        <v>1427450154</v>
      </c>
      <c r="C976" t="s">
        <v>5892</v>
      </c>
      <c r="G976" t="s">
        <v>5893</v>
      </c>
      <c r="J976" t="s">
        <v>438</v>
      </c>
      <c r="K976" t="s">
        <v>303</v>
      </c>
      <c r="L976" t="s">
        <v>229</v>
      </c>
      <c r="M976" t="s">
        <v>113</v>
      </c>
      <c r="R976" t="s">
        <v>5894</v>
      </c>
      <c r="S976" t="s">
        <v>5895</v>
      </c>
      <c r="T976" t="s">
        <v>116</v>
      </c>
      <c r="U976" t="s">
        <v>117</v>
      </c>
      <c r="V976" t="str">
        <f>"142091442"</f>
        <v>142091442</v>
      </c>
      <c r="AC976" t="s">
        <v>119</v>
      </c>
      <c r="AD976" t="s">
        <v>113</v>
      </c>
      <c r="AE976" t="s">
        <v>306</v>
      </c>
      <c r="AG976" t="s">
        <v>121</v>
      </c>
    </row>
    <row r="977" spans="1:33" x14ac:dyDescent="0.25">
      <c r="A977" t="str">
        <f>"1427493741"</f>
        <v>1427493741</v>
      </c>
      <c r="B977" t="str">
        <f>"03865249"</f>
        <v>03865249</v>
      </c>
      <c r="C977" t="s">
        <v>5896</v>
      </c>
      <c r="D977" t="s">
        <v>5897</v>
      </c>
      <c r="E977" t="s">
        <v>5898</v>
      </c>
      <c r="G977" t="s">
        <v>5899</v>
      </c>
      <c r="H977" t="s">
        <v>5900</v>
      </c>
      <c r="J977" t="s">
        <v>5901</v>
      </c>
      <c r="L977" t="s">
        <v>112</v>
      </c>
      <c r="M977" t="s">
        <v>113</v>
      </c>
      <c r="R977" t="s">
        <v>5902</v>
      </c>
      <c r="W977" t="s">
        <v>5903</v>
      </c>
      <c r="X977" t="s">
        <v>253</v>
      </c>
      <c r="Y977" t="s">
        <v>116</v>
      </c>
      <c r="Z977" t="s">
        <v>117</v>
      </c>
      <c r="AA977" t="str">
        <f>"14215-3021"</f>
        <v>14215-3021</v>
      </c>
      <c r="AB977" t="s">
        <v>118</v>
      </c>
      <c r="AC977" t="s">
        <v>119</v>
      </c>
      <c r="AD977" t="s">
        <v>113</v>
      </c>
      <c r="AE977" t="s">
        <v>120</v>
      </c>
      <c r="AG977" t="s">
        <v>121</v>
      </c>
    </row>
    <row r="978" spans="1:33" x14ac:dyDescent="0.25">
      <c r="A978" t="str">
        <f>"1437102712"</f>
        <v>1437102712</v>
      </c>
      <c r="B978" t="str">
        <f>"02408271"</f>
        <v>02408271</v>
      </c>
      <c r="C978" t="s">
        <v>5904</v>
      </c>
      <c r="D978" t="s">
        <v>5905</v>
      </c>
      <c r="E978" t="s">
        <v>5906</v>
      </c>
      <c r="G978" t="s">
        <v>330</v>
      </c>
      <c r="H978" t="s">
        <v>478</v>
      </c>
      <c r="J978" t="s">
        <v>332</v>
      </c>
      <c r="L978" t="s">
        <v>142</v>
      </c>
      <c r="M978" t="s">
        <v>113</v>
      </c>
      <c r="R978" t="s">
        <v>5907</v>
      </c>
      <c r="W978" t="s">
        <v>5906</v>
      </c>
      <c r="X978" t="s">
        <v>1304</v>
      </c>
      <c r="Y978" t="s">
        <v>116</v>
      </c>
      <c r="Z978" t="s">
        <v>117</v>
      </c>
      <c r="AA978" t="str">
        <f>"14220-2039"</f>
        <v>14220-2039</v>
      </c>
      <c r="AB978" t="s">
        <v>118</v>
      </c>
      <c r="AC978" t="s">
        <v>119</v>
      </c>
      <c r="AD978" t="s">
        <v>113</v>
      </c>
      <c r="AE978" t="s">
        <v>120</v>
      </c>
      <c r="AG978" t="s">
        <v>121</v>
      </c>
    </row>
    <row r="979" spans="1:33" x14ac:dyDescent="0.25">
      <c r="A979" t="str">
        <f>"1437107232"</f>
        <v>1437107232</v>
      </c>
      <c r="B979" t="str">
        <f>"00801969"</f>
        <v>00801969</v>
      </c>
      <c r="C979" t="s">
        <v>5908</v>
      </c>
      <c r="D979" t="s">
        <v>5909</v>
      </c>
      <c r="E979" t="s">
        <v>5910</v>
      </c>
      <c r="G979" t="s">
        <v>5908</v>
      </c>
      <c r="H979" t="s">
        <v>5911</v>
      </c>
      <c r="J979" t="s">
        <v>5912</v>
      </c>
      <c r="L979" t="s">
        <v>229</v>
      </c>
      <c r="M979" t="s">
        <v>113</v>
      </c>
      <c r="R979" t="s">
        <v>5913</v>
      </c>
      <c r="W979" t="s">
        <v>5910</v>
      </c>
      <c r="X979" t="s">
        <v>784</v>
      </c>
      <c r="Y979" t="s">
        <v>116</v>
      </c>
      <c r="Z979" t="s">
        <v>117</v>
      </c>
      <c r="AA979" t="str">
        <f>"14209"</f>
        <v>14209</v>
      </c>
      <c r="AB979" t="s">
        <v>118</v>
      </c>
      <c r="AC979" t="s">
        <v>119</v>
      </c>
      <c r="AD979" t="s">
        <v>113</v>
      </c>
      <c r="AE979" t="s">
        <v>120</v>
      </c>
      <c r="AG979" t="s">
        <v>121</v>
      </c>
    </row>
    <row r="980" spans="1:33" x14ac:dyDescent="0.25">
      <c r="A980" t="str">
        <f>"1437113164"</f>
        <v>1437113164</v>
      </c>
      <c r="B980" t="str">
        <f>"01776416"</f>
        <v>01776416</v>
      </c>
      <c r="C980" t="s">
        <v>5914</v>
      </c>
      <c r="D980" t="s">
        <v>5915</v>
      </c>
      <c r="E980" t="s">
        <v>5916</v>
      </c>
      <c r="G980" t="s">
        <v>5914</v>
      </c>
      <c r="H980" t="s">
        <v>5917</v>
      </c>
      <c r="J980" t="s">
        <v>5918</v>
      </c>
      <c r="L980" t="s">
        <v>142</v>
      </c>
      <c r="M980" t="s">
        <v>113</v>
      </c>
      <c r="R980" t="s">
        <v>5919</v>
      </c>
      <c r="W980" t="s">
        <v>5916</v>
      </c>
      <c r="X980" t="s">
        <v>5577</v>
      </c>
      <c r="Y980" t="s">
        <v>116</v>
      </c>
      <c r="Z980" t="s">
        <v>117</v>
      </c>
      <c r="AA980" t="str">
        <f>"14208-2221"</f>
        <v>14208-2221</v>
      </c>
      <c r="AB980" t="s">
        <v>118</v>
      </c>
      <c r="AC980" t="s">
        <v>119</v>
      </c>
      <c r="AD980" t="s">
        <v>113</v>
      </c>
      <c r="AE980" t="s">
        <v>120</v>
      </c>
      <c r="AG980" t="s">
        <v>121</v>
      </c>
    </row>
    <row r="981" spans="1:33" x14ac:dyDescent="0.25">
      <c r="A981" t="str">
        <f>"1437115300"</f>
        <v>1437115300</v>
      </c>
      <c r="B981" t="str">
        <f>"02161791"</f>
        <v>02161791</v>
      </c>
      <c r="C981" t="s">
        <v>5920</v>
      </c>
      <c r="D981" t="s">
        <v>5921</v>
      </c>
      <c r="E981" t="s">
        <v>5922</v>
      </c>
      <c r="G981" t="s">
        <v>5920</v>
      </c>
      <c r="H981" t="s">
        <v>5327</v>
      </c>
      <c r="J981" t="s">
        <v>5923</v>
      </c>
      <c r="L981" t="s">
        <v>150</v>
      </c>
      <c r="M981" t="s">
        <v>199</v>
      </c>
      <c r="R981" t="s">
        <v>5924</v>
      </c>
      <c r="W981" t="s">
        <v>5925</v>
      </c>
      <c r="X981" t="s">
        <v>5926</v>
      </c>
      <c r="Y981" t="s">
        <v>663</v>
      </c>
      <c r="Z981" t="s">
        <v>117</v>
      </c>
      <c r="AA981" t="str">
        <f>"14094-5369"</f>
        <v>14094-5369</v>
      </c>
      <c r="AB981" t="s">
        <v>118</v>
      </c>
      <c r="AC981" t="s">
        <v>119</v>
      </c>
      <c r="AD981" t="s">
        <v>113</v>
      </c>
      <c r="AE981" t="s">
        <v>120</v>
      </c>
      <c r="AG981" t="s">
        <v>121</v>
      </c>
    </row>
    <row r="982" spans="1:33" x14ac:dyDescent="0.25">
      <c r="A982" t="str">
        <f>"1306809918"</f>
        <v>1306809918</v>
      </c>
      <c r="B982" t="str">
        <f>"03579191"</f>
        <v>03579191</v>
      </c>
      <c r="C982" t="s">
        <v>5927</v>
      </c>
      <c r="D982" t="s">
        <v>5928</v>
      </c>
      <c r="E982" t="s">
        <v>5929</v>
      </c>
      <c r="G982" t="s">
        <v>5927</v>
      </c>
      <c r="H982" t="s">
        <v>5930</v>
      </c>
      <c r="J982" t="s">
        <v>5931</v>
      </c>
      <c r="L982" t="s">
        <v>112</v>
      </c>
      <c r="M982" t="s">
        <v>113</v>
      </c>
      <c r="R982" t="s">
        <v>5932</v>
      </c>
      <c r="W982" t="s">
        <v>5929</v>
      </c>
      <c r="X982" t="s">
        <v>216</v>
      </c>
      <c r="Y982" t="s">
        <v>116</v>
      </c>
      <c r="Z982" t="s">
        <v>117</v>
      </c>
      <c r="AA982" t="str">
        <f>"14222-2006"</f>
        <v>14222-2006</v>
      </c>
      <c r="AB982" t="s">
        <v>118</v>
      </c>
      <c r="AC982" t="s">
        <v>119</v>
      </c>
      <c r="AD982" t="s">
        <v>113</v>
      </c>
      <c r="AE982" t="s">
        <v>120</v>
      </c>
      <c r="AG982" t="s">
        <v>121</v>
      </c>
    </row>
    <row r="983" spans="1:33" x14ac:dyDescent="0.25">
      <c r="A983" t="str">
        <f>"1437214830"</f>
        <v>1437214830</v>
      </c>
      <c r="B983" t="str">
        <f>"03006291"</f>
        <v>03006291</v>
      </c>
      <c r="C983" t="s">
        <v>5933</v>
      </c>
      <c r="D983" t="s">
        <v>4045</v>
      </c>
      <c r="E983" t="s">
        <v>4046</v>
      </c>
      <c r="F983">
        <v>131623856</v>
      </c>
      <c r="G983" t="s">
        <v>5933</v>
      </c>
      <c r="H983" t="s">
        <v>5934</v>
      </c>
      <c r="L983" t="s">
        <v>1143</v>
      </c>
      <c r="M983" t="s">
        <v>199</v>
      </c>
      <c r="R983" t="s">
        <v>5933</v>
      </c>
      <c r="W983" t="s">
        <v>4046</v>
      </c>
      <c r="X983" t="s">
        <v>4047</v>
      </c>
      <c r="Y983" t="s">
        <v>4048</v>
      </c>
      <c r="Z983" t="s">
        <v>117</v>
      </c>
      <c r="AA983" t="str">
        <f>"10303-1506"</f>
        <v>10303-1506</v>
      </c>
      <c r="AB983" t="s">
        <v>1146</v>
      </c>
      <c r="AC983" t="s">
        <v>119</v>
      </c>
      <c r="AD983" t="s">
        <v>113</v>
      </c>
      <c r="AE983" t="s">
        <v>120</v>
      </c>
      <c r="AG983" t="s">
        <v>121</v>
      </c>
    </row>
    <row r="984" spans="1:33" x14ac:dyDescent="0.25">
      <c r="A984" t="str">
        <f>"1346283306"</f>
        <v>1346283306</v>
      </c>
      <c r="B984" t="str">
        <f>"02736189"</f>
        <v>02736189</v>
      </c>
      <c r="C984" t="s">
        <v>5935</v>
      </c>
      <c r="D984" t="s">
        <v>5936</v>
      </c>
      <c r="E984" t="s">
        <v>5937</v>
      </c>
      <c r="G984" t="s">
        <v>5938</v>
      </c>
      <c r="H984" t="s">
        <v>366</v>
      </c>
      <c r="J984" t="s">
        <v>5939</v>
      </c>
      <c r="L984" t="s">
        <v>112</v>
      </c>
      <c r="M984" t="s">
        <v>113</v>
      </c>
      <c r="R984" t="s">
        <v>5940</v>
      </c>
      <c r="W984" t="s">
        <v>5937</v>
      </c>
      <c r="X984" t="s">
        <v>176</v>
      </c>
      <c r="Y984" t="s">
        <v>116</v>
      </c>
      <c r="Z984" t="s">
        <v>117</v>
      </c>
      <c r="AA984" t="str">
        <f>"14203-1126"</f>
        <v>14203-1126</v>
      </c>
      <c r="AB984" t="s">
        <v>118</v>
      </c>
      <c r="AC984" t="s">
        <v>119</v>
      </c>
      <c r="AD984" t="s">
        <v>113</v>
      </c>
      <c r="AE984" t="s">
        <v>120</v>
      </c>
      <c r="AG984" t="s">
        <v>121</v>
      </c>
    </row>
    <row r="985" spans="1:33" x14ac:dyDescent="0.25">
      <c r="A985" t="str">
        <f>"1346303864"</f>
        <v>1346303864</v>
      </c>
      <c r="B985" t="str">
        <f>"03537648"</f>
        <v>03537648</v>
      </c>
      <c r="C985" t="s">
        <v>5941</v>
      </c>
      <c r="D985" t="s">
        <v>5942</v>
      </c>
      <c r="E985" t="s">
        <v>5943</v>
      </c>
      <c r="G985" t="s">
        <v>5941</v>
      </c>
      <c r="J985" t="s">
        <v>5944</v>
      </c>
      <c r="L985" t="s">
        <v>112</v>
      </c>
      <c r="M985" t="s">
        <v>113</v>
      </c>
      <c r="R985" t="s">
        <v>5945</v>
      </c>
      <c r="W985" t="s">
        <v>5943</v>
      </c>
      <c r="X985" t="s">
        <v>253</v>
      </c>
      <c r="Y985" t="s">
        <v>116</v>
      </c>
      <c r="Z985" t="s">
        <v>117</v>
      </c>
      <c r="AA985" t="str">
        <f>"14215-3021"</f>
        <v>14215-3021</v>
      </c>
      <c r="AB985" t="s">
        <v>118</v>
      </c>
      <c r="AC985" t="s">
        <v>119</v>
      </c>
      <c r="AD985" t="s">
        <v>113</v>
      </c>
      <c r="AE985" t="s">
        <v>120</v>
      </c>
      <c r="AG985" t="s">
        <v>121</v>
      </c>
    </row>
    <row r="986" spans="1:33" x14ac:dyDescent="0.25">
      <c r="A986" t="str">
        <f>"1346337011"</f>
        <v>1346337011</v>
      </c>
      <c r="B986" t="str">
        <f>"00474924"</f>
        <v>00474924</v>
      </c>
      <c r="C986" t="s">
        <v>5946</v>
      </c>
      <c r="D986" t="s">
        <v>5947</v>
      </c>
      <c r="E986" t="s">
        <v>5948</v>
      </c>
      <c r="F986">
        <v>160757756</v>
      </c>
      <c r="G986" t="s">
        <v>5949</v>
      </c>
      <c r="H986" t="s">
        <v>1615</v>
      </c>
      <c r="J986" t="s">
        <v>5950</v>
      </c>
      <c r="L986" t="s">
        <v>1143</v>
      </c>
      <c r="M986" t="s">
        <v>199</v>
      </c>
      <c r="R986" t="s">
        <v>5946</v>
      </c>
      <c r="W986" t="s">
        <v>5948</v>
      </c>
      <c r="X986" t="s">
        <v>5951</v>
      </c>
      <c r="Y986" t="s">
        <v>116</v>
      </c>
      <c r="Z986" t="s">
        <v>117</v>
      </c>
      <c r="AA986" t="str">
        <f>"14225-2523"</f>
        <v>14225-2523</v>
      </c>
      <c r="AB986" t="s">
        <v>1460</v>
      </c>
      <c r="AC986" t="s">
        <v>119</v>
      </c>
      <c r="AD986" t="s">
        <v>113</v>
      </c>
      <c r="AE986" t="s">
        <v>120</v>
      </c>
      <c r="AG986" t="s">
        <v>121</v>
      </c>
    </row>
    <row r="987" spans="1:33" x14ac:dyDescent="0.25">
      <c r="A987" t="str">
        <f>"1346367935"</f>
        <v>1346367935</v>
      </c>
      <c r="B987" t="str">
        <f>"02860566"</f>
        <v>02860566</v>
      </c>
      <c r="C987" t="s">
        <v>5952</v>
      </c>
      <c r="D987" t="s">
        <v>5953</v>
      </c>
      <c r="E987" t="s">
        <v>5954</v>
      </c>
      <c r="G987" t="s">
        <v>5955</v>
      </c>
      <c r="H987" t="s">
        <v>908</v>
      </c>
      <c r="J987" t="s">
        <v>5956</v>
      </c>
      <c r="L987" t="s">
        <v>142</v>
      </c>
      <c r="M987" t="s">
        <v>113</v>
      </c>
      <c r="R987" t="s">
        <v>5957</v>
      </c>
      <c r="W987" t="s">
        <v>5958</v>
      </c>
      <c r="X987" t="s">
        <v>176</v>
      </c>
      <c r="Y987" t="s">
        <v>116</v>
      </c>
      <c r="Z987" t="s">
        <v>117</v>
      </c>
      <c r="AA987" t="str">
        <f>"14203-1126"</f>
        <v>14203-1126</v>
      </c>
      <c r="AB987" t="s">
        <v>118</v>
      </c>
      <c r="AC987" t="s">
        <v>119</v>
      </c>
      <c r="AD987" t="s">
        <v>113</v>
      </c>
      <c r="AE987" t="s">
        <v>120</v>
      </c>
      <c r="AG987" t="s">
        <v>121</v>
      </c>
    </row>
    <row r="988" spans="1:33" x14ac:dyDescent="0.25">
      <c r="A988" t="str">
        <f>"1346378924"</f>
        <v>1346378924</v>
      </c>
      <c r="B988" t="str">
        <f>"01991253"</f>
        <v>01991253</v>
      </c>
      <c r="C988" t="s">
        <v>5959</v>
      </c>
      <c r="D988" t="s">
        <v>5960</v>
      </c>
      <c r="E988" t="s">
        <v>5961</v>
      </c>
      <c r="G988" t="s">
        <v>330</v>
      </c>
      <c r="H988" t="s">
        <v>5962</v>
      </c>
      <c r="J988" t="s">
        <v>332</v>
      </c>
      <c r="L988" t="s">
        <v>150</v>
      </c>
      <c r="M988" t="s">
        <v>113</v>
      </c>
      <c r="R988" t="s">
        <v>5963</v>
      </c>
      <c r="W988" t="s">
        <v>5961</v>
      </c>
      <c r="X988" t="s">
        <v>5964</v>
      </c>
      <c r="Y988" t="s">
        <v>5965</v>
      </c>
      <c r="Z988" t="s">
        <v>117</v>
      </c>
      <c r="AA988" t="str">
        <f>"14001-1220"</f>
        <v>14001-1220</v>
      </c>
      <c r="AB988" t="s">
        <v>118</v>
      </c>
      <c r="AC988" t="s">
        <v>119</v>
      </c>
      <c r="AD988" t="s">
        <v>113</v>
      </c>
      <c r="AE988" t="s">
        <v>120</v>
      </c>
      <c r="AG988" t="s">
        <v>121</v>
      </c>
    </row>
    <row r="989" spans="1:33" x14ac:dyDescent="0.25">
      <c r="A989" t="str">
        <f>"1346424520"</f>
        <v>1346424520</v>
      </c>
      <c r="B989" t="str">
        <f>"02732658"</f>
        <v>02732658</v>
      </c>
      <c r="C989" t="s">
        <v>5966</v>
      </c>
      <c r="D989" t="s">
        <v>5967</v>
      </c>
      <c r="E989" t="s">
        <v>5966</v>
      </c>
      <c r="G989" t="s">
        <v>5968</v>
      </c>
      <c r="H989" t="s">
        <v>5969</v>
      </c>
      <c r="I989">
        <v>112</v>
      </c>
      <c r="J989" t="s">
        <v>5970</v>
      </c>
      <c r="L989" t="s">
        <v>229</v>
      </c>
      <c r="M989" t="s">
        <v>113</v>
      </c>
      <c r="R989" t="s">
        <v>5966</v>
      </c>
      <c r="W989" t="s">
        <v>5966</v>
      </c>
      <c r="X989" t="s">
        <v>3331</v>
      </c>
      <c r="Y989" t="s">
        <v>116</v>
      </c>
      <c r="Z989" t="s">
        <v>117</v>
      </c>
      <c r="AA989" t="str">
        <f>"14201-1886"</f>
        <v>14201-1886</v>
      </c>
      <c r="AB989" t="s">
        <v>1146</v>
      </c>
      <c r="AC989" t="s">
        <v>119</v>
      </c>
      <c r="AD989" t="s">
        <v>113</v>
      </c>
      <c r="AE989" t="s">
        <v>120</v>
      </c>
      <c r="AG989" t="s">
        <v>121</v>
      </c>
    </row>
    <row r="990" spans="1:33" x14ac:dyDescent="0.25">
      <c r="A990" t="str">
        <f>"1346432333"</f>
        <v>1346432333</v>
      </c>
      <c r="B990" t="str">
        <f>"02908845"</f>
        <v>02908845</v>
      </c>
      <c r="C990" t="s">
        <v>5971</v>
      </c>
      <c r="D990" t="s">
        <v>5972</v>
      </c>
      <c r="E990" t="s">
        <v>5973</v>
      </c>
      <c r="G990" t="s">
        <v>5971</v>
      </c>
      <c r="H990" t="s">
        <v>205</v>
      </c>
      <c r="J990" t="s">
        <v>5974</v>
      </c>
      <c r="L990" t="s">
        <v>142</v>
      </c>
      <c r="M990" t="s">
        <v>113</v>
      </c>
      <c r="R990" t="s">
        <v>5975</v>
      </c>
      <c r="W990" t="s">
        <v>5976</v>
      </c>
      <c r="X990" t="s">
        <v>1282</v>
      </c>
      <c r="Y990" t="s">
        <v>240</v>
      </c>
      <c r="Z990" t="s">
        <v>117</v>
      </c>
      <c r="AA990" t="str">
        <f>"14221-7051"</f>
        <v>14221-7051</v>
      </c>
      <c r="AB990" t="s">
        <v>118</v>
      </c>
      <c r="AC990" t="s">
        <v>119</v>
      </c>
      <c r="AD990" t="s">
        <v>113</v>
      </c>
      <c r="AE990" t="s">
        <v>120</v>
      </c>
      <c r="AG990" t="s">
        <v>121</v>
      </c>
    </row>
    <row r="991" spans="1:33" x14ac:dyDescent="0.25">
      <c r="A991" t="str">
        <f>"1346434271"</f>
        <v>1346434271</v>
      </c>
      <c r="C991" t="s">
        <v>5977</v>
      </c>
      <c r="G991" t="s">
        <v>5977</v>
      </c>
      <c r="H991" t="s">
        <v>437</v>
      </c>
      <c r="J991" t="s">
        <v>438</v>
      </c>
      <c r="K991" t="s">
        <v>303</v>
      </c>
      <c r="L991" t="s">
        <v>229</v>
      </c>
      <c r="M991" t="s">
        <v>113</v>
      </c>
      <c r="R991" t="s">
        <v>5978</v>
      </c>
      <c r="S991" t="s">
        <v>1117</v>
      </c>
      <c r="T991" t="s">
        <v>318</v>
      </c>
      <c r="U991" t="s">
        <v>117</v>
      </c>
      <c r="V991" t="str">
        <f>"142254965"</f>
        <v>142254965</v>
      </c>
      <c r="AC991" t="s">
        <v>119</v>
      </c>
      <c r="AD991" t="s">
        <v>113</v>
      </c>
      <c r="AE991" t="s">
        <v>306</v>
      </c>
      <c r="AG991" t="s">
        <v>121</v>
      </c>
    </row>
    <row r="992" spans="1:33" x14ac:dyDescent="0.25">
      <c r="A992" t="str">
        <f>"1346455755"</f>
        <v>1346455755</v>
      </c>
      <c r="B992" t="str">
        <f>"03552307"</f>
        <v>03552307</v>
      </c>
      <c r="C992" t="s">
        <v>5979</v>
      </c>
      <c r="D992" t="s">
        <v>5980</v>
      </c>
      <c r="E992" t="s">
        <v>5981</v>
      </c>
      <c r="G992" t="s">
        <v>5979</v>
      </c>
      <c r="H992" t="s">
        <v>5982</v>
      </c>
      <c r="J992" t="s">
        <v>5983</v>
      </c>
      <c r="L992" t="s">
        <v>112</v>
      </c>
      <c r="M992" t="s">
        <v>113</v>
      </c>
      <c r="R992" t="s">
        <v>5984</v>
      </c>
      <c r="W992" t="s">
        <v>5981</v>
      </c>
      <c r="X992" t="s">
        <v>4607</v>
      </c>
      <c r="Y992" t="s">
        <v>116</v>
      </c>
      <c r="Z992" t="s">
        <v>117</v>
      </c>
      <c r="AA992" t="str">
        <f>"14215-1145"</f>
        <v>14215-1145</v>
      </c>
      <c r="AB992" t="s">
        <v>118</v>
      </c>
      <c r="AC992" t="s">
        <v>119</v>
      </c>
      <c r="AD992" t="s">
        <v>113</v>
      </c>
      <c r="AE992" t="s">
        <v>120</v>
      </c>
      <c r="AG992" t="s">
        <v>121</v>
      </c>
    </row>
    <row r="993" spans="1:33" x14ac:dyDescent="0.25">
      <c r="A993" t="str">
        <f>"1346471851"</f>
        <v>1346471851</v>
      </c>
      <c r="B993" t="str">
        <f>"03132450"</f>
        <v>03132450</v>
      </c>
      <c r="C993" t="s">
        <v>5985</v>
      </c>
      <c r="D993" t="s">
        <v>5986</v>
      </c>
      <c r="E993" t="s">
        <v>5987</v>
      </c>
      <c r="G993" t="s">
        <v>1816</v>
      </c>
      <c r="H993" t="s">
        <v>5988</v>
      </c>
      <c r="J993" t="s">
        <v>1818</v>
      </c>
      <c r="L993" t="s">
        <v>150</v>
      </c>
      <c r="M993" t="s">
        <v>113</v>
      </c>
      <c r="R993" t="s">
        <v>5989</v>
      </c>
      <c r="W993" t="s">
        <v>5990</v>
      </c>
      <c r="X993" t="s">
        <v>518</v>
      </c>
      <c r="Y993" t="s">
        <v>305</v>
      </c>
      <c r="Z993" t="s">
        <v>117</v>
      </c>
      <c r="AA993" t="str">
        <f>"14760-1500"</f>
        <v>14760-1500</v>
      </c>
      <c r="AB993" t="s">
        <v>118</v>
      </c>
      <c r="AC993" t="s">
        <v>119</v>
      </c>
      <c r="AD993" t="s">
        <v>113</v>
      </c>
      <c r="AE993" t="s">
        <v>120</v>
      </c>
      <c r="AG993" t="s">
        <v>121</v>
      </c>
    </row>
    <row r="994" spans="1:33" x14ac:dyDescent="0.25">
      <c r="A994" t="str">
        <f>"1467451534"</f>
        <v>1467451534</v>
      </c>
      <c r="B994" t="str">
        <f>"01202088"</f>
        <v>01202088</v>
      </c>
      <c r="C994" t="s">
        <v>5991</v>
      </c>
      <c r="D994" t="s">
        <v>5992</v>
      </c>
      <c r="E994" t="s">
        <v>5993</v>
      </c>
      <c r="G994" t="s">
        <v>4593</v>
      </c>
      <c r="H994" t="s">
        <v>4594</v>
      </c>
      <c r="J994" t="s">
        <v>4595</v>
      </c>
      <c r="L994" t="s">
        <v>150</v>
      </c>
      <c r="M994" t="s">
        <v>113</v>
      </c>
      <c r="R994" t="s">
        <v>5994</v>
      </c>
      <c r="W994" t="s">
        <v>5995</v>
      </c>
      <c r="Y994" t="s">
        <v>305</v>
      </c>
      <c r="Z994" t="s">
        <v>117</v>
      </c>
      <c r="AA994" t="str">
        <f>"14760-1500"</f>
        <v>14760-1500</v>
      </c>
      <c r="AB994" t="s">
        <v>118</v>
      </c>
      <c r="AC994" t="s">
        <v>119</v>
      </c>
      <c r="AD994" t="s">
        <v>113</v>
      </c>
      <c r="AE994" t="s">
        <v>120</v>
      </c>
      <c r="AG994" t="s">
        <v>121</v>
      </c>
    </row>
    <row r="995" spans="1:33" x14ac:dyDescent="0.25">
      <c r="A995" t="str">
        <f>"1558358846"</f>
        <v>1558358846</v>
      </c>
      <c r="C995" t="s">
        <v>5996</v>
      </c>
      <c r="G995" t="s">
        <v>5997</v>
      </c>
      <c r="H995" t="s">
        <v>5998</v>
      </c>
      <c r="J995" t="s">
        <v>5999</v>
      </c>
      <c r="K995" t="s">
        <v>303</v>
      </c>
      <c r="L995" t="s">
        <v>229</v>
      </c>
      <c r="M995" t="s">
        <v>113</v>
      </c>
      <c r="R995" t="s">
        <v>5996</v>
      </c>
      <c r="S995" t="s">
        <v>6000</v>
      </c>
      <c r="T995" t="s">
        <v>362</v>
      </c>
      <c r="U995" t="s">
        <v>117</v>
      </c>
      <c r="V995" t="str">
        <f>"141089701"</f>
        <v>141089701</v>
      </c>
      <c r="AC995" t="s">
        <v>119</v>
      </c>
      <c r="AD995" t="s">
        <v>113</v>
      </c>
      <c r="AE995" t="s">
        <v>306</v>
      </c>
      <c r="AG995" t="s">
        <v>121</v>
      </c>
    </row>
    <row r="996" spans="1:33" x14ac:dyDescent="0.25">
      <c r="A996" t="str">
        <f>"1558367946"</f>
        <v>1558367946</v>
      </c>
      <c r="B996" t="str">
        <f>"01558227"</f>
        <v>01558227</v>
      </c>
      <c r="C996" t="s">
        <v>6001</v>
      </c>
      <c r="D996" t="s">
        <v>6002</v>
      </c>
      <c r="E996" t="s">
        <v>6003</v>
      </c>
      <c r="G996" t="s">
        <v>6001</v>
      </c>
      <c r="H996" t="s">
        <v>6004</v>
      </c>
      <c r="J996" t="s">
        <v>6005</v>
      </c>
      <c r="L996" t="s">
        <v>142</v>
      </c>
      <c r="M996" t="s">
        <v>199</v>
      </c>
      <c r="R996" t="s">
        <v>6006</v>
      </c>
      <c r="W996" t="s">
        <v>6007</v>
      </c>
      <c r="X996" t="s">
        <v>216</v>
      </c>
      <c r="Y996" t="s">
        <v>116</v>
      </c>
      <c r="Z996" t="s">
        <v>117</v>
      </c>
      <c r="AA996" t="str">
        <f>"14222-2006"</f>
        <v>14222-2006</v>
      </c>
      <c r="AB996" t="s">
        <v>118</v>
      </c>
      <c r="AC996" t="s">
        <v>119</v>
      </c>
      <c r="AD996" t="s">
        <v>113</v>
      </c>
      <c r="AE996" t="s">
        <v>120</v>
      </c>
      <c r="AG996" t="s">
        <v>121</v>
      </c>
    </row>
    <row r="997" spans="1:33" x14ac:dyDescent="0.25">
      <c r="A997" t="str">
        <f>"1558396325"</f>
        <v>1558396325</v>
      </c>
      <c r="B997" t="str">
        <f>"02176781"</f>
        <v>02176781</v>
      </c>
      <c r="C997" t="s">
        <v>6008</v>
      </c>
      <c r="D997" t="s">
        <v>6009</v>
      </c>
      <c r="E997" t="s">
        <v>6010</v>
      </c>
      <c r="G997" t="s">
        <v>2200</v>
      </c>
      <c r="J997" t="s">
        <v>2202</v>
      </c>
      <c r="L997" t="s">
        <v>150</v>
      </c>
      <c r="M997" t="s">
        <v>113</v>
      </c>
      <c r="R997" t="s">
        <v>6011</v>
      </c>
      <c r="W997" t="s">
        <v>6010</v>
      </c>
      <c r="X997" t="s">
        <v>6012</v>
      </c>
      <c r="Y997" t="s">
        <v>2683</v>
      </c>
      <c r="Z997" t="s">
        <v>117</v>
      </c>
      <c r="AA997" t="str">
        <f>"14009-1626"</f>
        <v>14009-1626</v>
      </c>
      <c r="AB997" t="s">
        <v>118</v>
      </c>
      <c r="AC997" t="s">
        <v>119</v>
      </c>
      <c r="AD997" t="s">
        <v>113</v>
      </c>
      <c r="AE997" t="s">
        <v>120</v>
      </c>
      <c r="AG997" t="s">
        <v>121</v>
      </c>
    </row>
    <row r="998" spans="1:33" x14ac:dyDescent="0.25">
      <c r="B998" t="str">
        <f>"02687965"</f>
        <v>02687965</v>
      </c>
      <c r="C998" t="s">
        <v>11654</v>
      </c>
      <c r="D998" t="s">
        <v>11655</v>
      </c>
      <c r="E998" t="s">
        <v>11656</v>
      </c>
      <c r="F998">
        <v>161017453</v>
      </c>
      <c r="H998" t="s">
        <v>11657</v>
      </c>
      <c r="L998" t="s">
        <v>69</v>
      </c>
      <c r="M998" t="s">
        <v>113</v>
      </c>
      <c r="W998" t="s">
        <v>11654</v>
      </c>
      <c r="X998" t="s">
        <v>11658</v>
      </c>
      <c r="Y998" t="s">
        <v>1545</v>
      </c>
      <c r="Z998" t="s">
        <v>117</v>
      </c>
      <c r="AA998" t="str">
        <f>"14218-1629"</f>
        <v>14218-1629</v>
      </c>
      <c r="AB998" t="s">
        <v>291</v>
      </c>
      <c r="AC998" t="s">
        <v>119</v>
      </c>
      <c r="AD998" t="s">
        <v>113</v>
      </c>
      <c r="AE998" t="s">
        <v>120</v>
      </c>
      <c r="AG998" t="s">
        <v>121</v>
      </c>
    </row>
    <row r="999" spans="1:33" x14ac:dyDescent="0.25">
      <c r="A999" t="str">
        <f>"1114110848"</f>
        <v>1114110848</v>
      </c>
      <c r="B999" t="str">
        <f>"02994109"</f>
        <v>02994109</v>
      </c>
      <c r="C999" t="s">
        <v>17751</v>
      </c>
      <c r="D999" t="s">
        <v>17752</v>
      </c>
      <c r="E999" t="s">
        <v>17753</v>
      </c>
      <c r="G999" t="s">
        <v>17754</v>
      </c>
      <c r="H999" t="s">
        <v>17755</v>
      </c>
      <c r="J999" t="s">
        <v>17756</v>
      </c>
      <c r="L999" t="s">
        <v>15855</v>
      </c>
      <c r="M999" t="s">
        <v>199</v>
      </c>
      <c r="R999" t="s">
        <v>17751</v>
      </c>
      <c r="W999" t="s">
        <v>17757</v>
      </c>
      <c r="X999" t="s">
        <v>17758</v>
      </c>
      <c r="Y999" t="s">
        <v>116</v>
      </c>
      <c r="Z999" t="s">
        <v>117</v>
      </c>
      <c r="AA999" t="str">
        <f>"14212-1046"</f>
        <v>14212-1046</v>
      </c>
      <c r="AB999" t="s">
        <v>291</v>
      </c>
      <c r="AC999" t="s">
        <v>119</v>
      </c>
      <c r="AD999" t="s">
        <v>113</v>
      </c>
      <c r="AE999" t="s">
        <v>120</v>
      </c>
      <c r="AG999" t="s">
        <v>121</v>
      </c>
    </row>
    <row r="1000" spans="1:33" x14ac:dyDescent="0.25">
      <c r="A1000" t="str">
        <f>"1669493326"</f>
        <v>1669493326</v>
      </c>
      <c r="B1000" t="str">
        <f>"01549233"</f>
        <v>01549233</v>
      </c>
      <c r="C1000" t="s">
        <v>6027</v>
      </c>
      <c r="D1000" t="s">
        <v>6028</v>
      </c>
      <c r="E1000" t="s">
        <v>6029</v>
      </c>
      <c r="G1000" t="s">
        <v>6027</v>
      </c>
      <c r="H1000" t="s">
        <v>6030</v>
      </c>
      <c r="J1000" t="s">
        <v>6031</v>
      </c>
      <c r="L1000" t="s">
        <v>112</v>
      </c>
      <c r="M1000" t="s">
        <v>113</v>
      </c>
      <c r="R1000" t="s">
        <v>6032</v>
      </c>
      <c r="W1000" t="s">
        <v>6033</v>
      </c>
      <c r="X1000" t="s">
        <v>6034</v>
      </c>
      <c r="Y1000" t="s">
        <v>1381</v>
      </c>
      <c r="Z1000" t="s">
        <v>117</v>
      </c>
      <c r="AA1000" t="str">
        <f>"14063-0000"</f>
        <v>14063-0000</v>
      </c>
      <c r="AB1000" t="s">
        <v>634</v>
      </c>
      <c r="AC1000" t="s">
        <v>119</v>
      </c>
      <c r="AD1000" t="s">
        <v>113</v>
      </c>
      <c r="AE1000" t="s">
        <v>120</v>
      </c>
      <c r="AG1000" t="s">
        <v>121</v>
      </c>
    </row>
    <row r="1001" spans="1:33" x14ac:dyDescent="0.25">
      <c r="A1001" t="str">
        <f>"1669524492"</f>
        <v>1669524492</v>
      </c>
      <c r="B1001" t="str">
        <f>"03002311"</f>
        <v>03002311</v>
      </c>
      <c r="C1001" t="s">
        <v>6035</v>
      </c>
      <c r="D1001" t="s">
        <v>1711</v>
      </c>
      <c r="E1001" t="s">
        <v>1712</v>
      </c>
      <c r="G1001" t="s">
        <v>6036</v>
      </c>
      <c r="H1001" t="s">
        <v>471</v>
      </c>
      <c r="L1001" t="s">
        <v>1714</v>
      </c>
      <c r="M1001" t="s">
        <v>199</v>
      </c>
      <c r="R1001" t="s">
        <v>6037</v>
      </c>
      <c r="W1001" t="s">
        <v>1712</v>
      </c>
      <c r="X1001" t="s">
        <v>1715</v>
      </c>
      <c r="Y1001" t="s">
        <v>116</v>
      </c>
      <c r="Z1001" t="s">
        <v>117</v>
      </c>
      <c r="AA1001" t="str">
        <f>"14214-1316"</f>
        <v>14214-1316</v>
      </c>
      <c r="AB1001" t="s">
        <v>1146</v>
      </c>
      <c r="AC1001" t="s">
        <v>119</v>
      </c>
      <c r="AD1001" t="s">
        <v>113</v>
      </c>
      <c r="AE1001" t="s">
        <v>120</v>
      </c>
      <c r="AG1001" t="s">
        <v>121</v>
      </c>
    </row>
    <row r="1002" spans="1:33" x14ac:dyDescent="0.25">
      <c r="A1002" t="str">
        <f>"1669526745"</f>
        <v>1669526745</v>
      </c>
      <c r="B1002" t="str">
        <f>"00980543"</f>
        <v>00980543</v>
      </c>
      <c r="C1002" t="s">
        <v>6038</v>
      </c>
      <c r="D1002" t="s">
        <v>6039</v>
      </c>
      <c r="E1002" t="s">
        <v>6040</v>
      </c>
      <c r="F1002">
        <v>160786061</v>
      </c>
      <c r="G1002" t="s">
        <v>6041</v>
      </c>
      <c r="H1002" t="s">
        <v>6042</v>
      </c>
      <c r="I1002">
        <v>126</v>
      </c>
      <c r="J1002" t="s">
        <v>6043</v>
      </c>
      <c r="L1002" t="s">
        <v>69</v>
      </c>
      <c r="M1002" t="s">
        <v>199</v>
      </c>
      <c r="R1002" t="s">
        <v>6038</v>
      </c>
      <c r="W1002" t="s">
        <v>6044</v>
      </c>
      <c r="X1002" t="s">
        <v>6045</v>
      </c>
      <c r="Y1002" t="s">
        <v>663</v>
      </c>
      <c r="Z1002" t="s">
        <v>117</v>
      </c>
      <c r="AA1002" t="str">
        <f>"14094-1830"</f>
        <v>14094-1830</v>
      </c>
      <c r="AB1002" t="s">
        <v>282</v>
      </c>
      <c r="AC1002" t="s">
        <v>119</v>
      </c>
      <c r="AD1002" t="s">
        <v>113</v>
      </c>
      <c r="AE1002" t="s">
        <v>120</v>
      </c>
      <c r="AG1002" t="s">
        <v>121</v>
      </c>
    </row>
    <row r="1003" spans="1:33" x14ac:dyDescent="0.25">
      <c r="A1003" t="str">
        <f>"1669534863"</f>
        <v>1669534863</v>
      </c>
      <c r="B1003" t="str">
        <f>"01351940"</f>
        <v>01351940</v>
      </c>
      <c r="C1003" t="s">
        <v>6046</v>
      </c>
      <c r="D1003" t="s">
        <v>6047</v>
      </c>
      <c r="E1003" t="s">
        <v>6048</v>
      </c>
      <c r="G1003" t="s">
        <v>6046</v>
      </c>
      <c r="H1003" t="s">
        <v>6049</v>
      </c>
      <c r="J1003" t="s">
        <v>6050</v>
      </c>
      <c r="L1003" t="s">
        <v>112</v>
      </c>
      <c r="M1003" t="s">
        <v>113</v>
      </c>
      <c r="R1003" t="s">
        <v>6051</v>
      </c>
      <c r="W1003" t="s">
        <v>6052</v>
      </c>
      <c r="X1003" t="s">
        <v>216</v>
      </c>
      <c r="Y1003" t="s">
        <v>116</v>
      </c>
      <c r="Z1003" t="s">
        <v>117</v>
      </c>
      <c r="AA1003" t="str">
        <f>"14222-2006"</f>
        <v>14222-2006</v>
      </c>
      <c r="AB1003" t="s">
        <v>634</v>
      </c>
      <c r="AC1003" t="s">
        <v>119</v>
      </c>
      <c r="AD1003" t="s">
        <v>113</v>
      </c>
      <c r="AE1003" t="s">
        <v>120</v>
      </c>
      <c r="AG1003" t="s">
        <v>121</v>
      </c>
    </row>
    <row r="1004" spans="1:33" x14ac:dyDescent="0.25">
      <c r="A1004" t="str">
        <f>"1588628267"</f>
        <v>1588628267</v>
      </c>
      <c r="B1004" t="str">
        <f>"03151113"</f>
        <v>03151113</v>
      </c>
      <c r="C1004" t="s">
        <v>6053</v>
      </c>
      <c r="D1004" t="s">
        <v>6054</v>
      </c>
      <c r="E1004" t="s">
        <v>6055</v>
      </c>
      <c r="G1004" t="s">
        <v>6056</v>
      </c>
      <c r="H1004" t="s">
        <v>590</v>
      </c>
      <c r="J1004" t="s">
        <v>6057</v>
      </c>
      <c r="L1004" t="s">
        <v>1033</v>
      </c>
      <c r="M1004" t="s">
        <v>113</v>
      </c>
      <c r="R1004" t="s">
        <v>6058</v>
      </c>
      <c r="W1004" t="s">
        <v>6055</v>
      </c>
      <c r="X1004" t="s">
        <v>6059</v>
      </c>
      <c r="Y1004" t="s">
        <v>847</v>
      </c>
      <c r="Z1004" t="s">
        <v>117</v>
      </c>
      <c r="AA1004" t="str">
        <f>"14569-1258"</f>
        <v>14569-1258</v>
      </c>
      <c r="AB1004" t="s">
        <v>621</v>
      </c>
      <c r="AC1004" t="s">
        <v>119</v>
      </c>
      <c r="AD1004" t="s">
        <v>113</v>
      </c>
      <c r="AE1004" t="s">
        <v>120</v>
      </c>
      <c r="AG1004" t="s">
        <v>121</v>
      </c>
    </row>
    <row r="1005" spans="1:33" x14ac:dyDescent="0.25">
      <c r="A1005" t="str">
        <f>"1588633051"</f>
        <v>1588633051</v>
      </c>
      <c r="B1005" t="str">
        <f>"02560061"</f>
        <v>02560061</v>
      </c>
      <c r="C1005" t="s">
        <v>6060</v>
      </c>
      <c r="D1005" t="s">
        <v>6061</v>
      </c>
      <c r="E1005" t="s">
        <v>6062</v>
      </c>
      <c r="G1005" t="s">
        <v>6063</v>
      </c>
      <c r="H1005" t="s">
        <v>579</v>
      </c>
      <c r="J1005" t="s">
        <v>6064</v>
      </c>
      <c r="L1005" t="s">
        <v>112</v>
      </c>
      <c r="M1005" t="s">
        <v>113</v>
      </c>
      <c r="R1005" t="s">
        <v>6065</v>
      </c>
      <c r="W1005" t="s">
        <v>6066</v>
      </c>
      <c r="X1005" t="s">
        <v>6067</v>
      </c>
      <c r="Y1005" t="s">
        <v>116</v>
      </c>
      <c r="Z1005" t="s">
        <v>117</v>
      </c>
      <c r="AA1005" t="str">
        <f>"14222-2006"</f>
        <v>14222-2006</v>
      </c>
      <c r="AB1005" t="s">
        <v>118</v>
      </c>
      <c r="AC1005" t="s">
        <v>119</v>
      </c>
      <c r="AD1005" t="s">
        <v>113</v>
      </c>
      <c r="AE1005" t="s">
        <v>120</v>
      </c>
      <c r="AG1005" t="s">
        <v>121</v>
      </c>
    </row>
    <row r="1006" spans="1:33" x14ac:dyDescent="0.25">
      <c r="A1006" t="str">
        <f>"1588646426"</f>
        <v>1588646426</v>
      </c>
      <c r="B1006" t="str">
        <f>"01493627"</f>
        <v>01493627</v>
      </c>
      <c r="C1006" t="s">
        <v>6068</v>
      </c>
      <c r="D1006" t="s">
        <v>6069</v>
      </c>
      <c r="E1006" t="s">
        <v>6070</v>
      </c>
      <c r="G1006" t="s">
        <v>6068</v>
      </c>
      <c r="H1006" t="s">
        <v>1308</v>
      </c>
      <c r="J1006" t="s">
        <v>6071</v>
      </c>
      <c r="L1006" t="s">
        <v>142</v>
      </c>
      <c r="M1006" t="s">
        <v>113</v>
      </c>
      <c r="R1006" t="s">
        <v>6072</v>
      </c>
      <c r="W1006" t="s">
        <v>6070</v>
      </c>
      <c r="X1006" t="s">
        <v>1311</v>
      </c>
      <c r="Y1006" t="s">
        <v>1312</v>
      </c>
      <c r="Z1006" t="s">
        <v>117</v>
      </c>
      <c r="AA1006" t="str">
        <f>"14226-4567"</f>
        <v>14226-4567</v>
      </c>
      <c r="AB1006" t="s">
        <v>118</v>
      </c>
      <c r="AC1006" t="s">
        <v>119</v>
      </c>
      <c r="AD1006" t="s">
        <v>113</v>
      </c>
      <c r="AE1006" t="s">
        <v>120</v>
      </c>
      <c r="AG1006" t="s">
        <v>121</v>
      </c>
    </row>
    <row r="1007" spans="1:33" x14ac:dyDescent="0.25">
      <c r="A1007" t="str">
        <f>"1588652168"</f>
        <v>1588652168</v>
      </c>
      <c r="B1007" t="str">
        <f>"02634339"</f>
        <v>02634339</v>
      </c>
      <c r="C1007" t="s">
        <v>6073</v>
      </c>
      <c r="D1007" t="s">
        <v>6074</v>
      </c>
      <c r="E1007" t="s">
        <v>6075</v>
      </c>
      <c r="G1007" t="s">
        <v>6073</v>
      </c>
      <c r="H1007" t="s">
        <v>205</v>
      </c>
      <c r="J1007" t="s">
        <v>6076</v>
      </c>
      <c r="L1007" t="s">
        <v>142</v>
      </c>
      <c r="M1007" t="s">
        <v>113</v>
      </c>
      <c r="R1007" t="s">
        <v>6077</v>
      </c>
      <c r="W1007" t="s">
        <v>6075</v>
      </c>
      <c r="X1007" t="s">
        <v>2607</v>
      </c>
      <c r="Y1007" t="s">
        <v>116</v>
      </c>
      <c r="Z1007" t="s">
        <v>117</v>
      </c>
      <c r="AA1007" t="str">
        <f>"14203-1149"</f>
        <v>14203-1149</v>
      </c>
      <c r="AB1007" t="s">
        <v>118</v>
      </c>
      <c r="AC1007" t="s">
        <v>119</v>
      </c>
      <c r="AD1007" t="s">
        <v>113</v>
      </c>
      <c r="AE1007" t="s">
        <v>120</v>
      </c>
      <c r="AG1007" t="s">
        <v>121</v>
      </c>
    </row>
    <row r="1008" spans="1:33" x14ac:dyDescent="0.25">
      <c r="A1008" t="str">
        <f>"1588667893"</f>
        <v>1588667893</v>
      </c>
      <c r="B1008" t="str">
        <f>"01092020"</f>
        <v>01092020</v>
      </c>
      <c r="C1008" t="s">
        <v>6078</v>
      </c>
      <c r="D1008" t="s">
        <v>6079</v>
      </c>
      <c r="E1008" t="s">
        <v>6080</v>
      </c>
      <c r="G1008" t="s">
        <v>6081</v>
      </c>
      <c r="H1008" t="s">
        <v>6082</v>
      </c>
      <c r="L1008" t="s">
        <v>150</v>
      </c>
      <c r="M1008" t="s">
        <v>113</v>
      </c>
      <c r="R1008" t="s">
        <v>6081</v>
      </c>
      <c r="W1008" t="s">
        <v>6080</v>
      </c>
      <c r="X1008" t="s">
        <v>6083</v>
      </c>
      <c r="Y1008" t="s">
        <v>4839</v>
      </c>
      <c r="Z1008" t="s">
        <v>117</v>
      </c>
      <c r="AA1008" t="str">
        <f>"14111"</f>
        <v>14111</v>
      </c>
      <c r="AB1008" t="s">
        <v>118</v>
      </c>
      <c r="AC1008" t="s">
        <v>119</v>
      </c>
      <c r="AD1008" t="s">
        <v>113</v>
      </c>
      <c r="AE1008" t="s">
        <v>120</v>
      </c>
      <c r="AG1008" t="s">
        <v>121</v>
      </c>
    </row>
    <row r="1009" spans="1:33" x14ac:dyDescent="0.25">
      <c r="A1009" t="str">
        <f>"1588674428"</f>
        <v>1588674428</v>
      </c>
      <c r="B1009" t="str">
        <f>"02396963"</f>
        <v>02396963</v>
      </c>
      <c r="C1009" t="s">
        <v>6084</v>
      </c>
      <c r="D1009" t="s">
        <v>6085</v>
      </c>
      <c r="E1009" t="s">
        <v>6086</v>
      </c>
      <c r="G1009" t="s">
        <v>6084</v>
      </c>
      <c r="H1009" t="s">
        <v>1006</v>
      </c>
      <c r="J1009" t="s">
        <v>6087</v>
      </c>
      <c r="L1009" t="s">
        <v>142</v>
      </c>
      <c r="M1009" t="s">
        <v>113</v>
      </c>
      <c r="R1009" t="s">
        <v>6088</v>
      </c>
      <c r="W1009" t="s">
        <v>6088</v>
      </c>
      <c r="X1009" t="s">
        <v>6089</v>
      </c>
      <c r="Y1009" t="s">
        <v>116</v>
      </c>
      <c r="Z1009" t="s">
        <v>117</v>
      </c>
      <c r="AA1009" t="str">
        <f>"14215-3021"</f>
        <v>14215-3021</v>
      </c>
      <c r="AB1009" t="s">
        <v>118</v>
      </c>
      <c r="AC1009" t="s">
        <v>119</v>
      </c>
      <c r="AD1009" t="s">
        <v>113</v>
      </c>
      <c r="AE1009" t="s">
        <v>120</v>
      </c>
      <c r="AG1009" t="s">
        <v>121</v>
      </c>
    </row>
    <row r="1010" spans="1:33" x14ac:dyDescent="0.25">
      <c r="A1010" t="str">
        <f>"1588688964"</f>
        <v>1588688964</v>
      </c>
      <c r="B1010" t="str">
        <f>"00651372"</f>
        <v>00651372</v>
      </c>
      <c r="C1010" t="s">
        <v>6090</v>
      </c>
      <c r="D1010" t="s">
        <v>6091</v>
      </c>
      <c r="E1010" t="s">
        <v>6092</v>
      </c>
      <c r="G1010" t="s">
        <v>6090</v>
      </c>
      <c r="H1010" t="s">
        <v>6093</v>
      </c>
      <c r="J1010" t="s">
        <v>6094</v>
      </c>
      <c r="L1010" t="s">
        <v>150</v>
      </c>
      <c r="M1010" t="s">
        <v>113</v>
      </c>
      <c r="R1010" t="s">
        <v>6095</v>
      </c>
      <c r="W1010" t="s">
        <v>6092</v>
      </c>
      <c r="X1010" t="s">
        <v>6096</v>
      </c>
      <c r="Y1010" t="s">
        <v>116</v>
      </c>
      <c r="Z1010" t="s">
        <v>117</v>
      </c>
      <c r="AA1010" t="str">
        <f>"14204-1152"</f>
        <v>14204-1152</v>
      </c>
      <c r="AB1010" t="s">
        <v>118</v>
      </c>
      <c r="AC1010" t="s">
        <v>119</v>
      </c>
      <c r="AD1010" t="s">
        <v>113</v>
      </c>
      <c r="AE1010" t="s">
        <v>120</v>
      </c>
      <c r="AG1010" t="s">
        <v>121</v>
      </c>
    </row>
    <row r="1011" spans="1:33" x14ac:dyDescent="0.25">
      <c r="A1011" t="str">
        <f>"1588699227"</f>
        <v>1588699227</v>
      </c>
      <c r="B1011" t="str">
        <f>"02430197"</f>
        <v>02430197</v>
      </c>
      <c r="C1011" t="s">
        <v>6097</v>
      </c>
      <c r="D1011" t="s">
        <v>6098</v>
      </c>
      <c r="E1011" t="s">
        <v>6099</v>
      </c>
      <c r="G1011" t="s">
        <v>6100</v>
      </c>
      <c r="H1011" t="s">
        <v>944</v>
      </c>
      <c r="J1011" t="s">
        <v>6101</v>
      </c>
      <c r="L1011" t="s">
        <v>1033</v>
      </c>
      <c r="M1011" t="s">
        <v>113</v>
      </c>
      <c r="R1011" t="s">
        <v>6102</v>
      </c>
      <c r="W1011" t="s">
        <v>6099</v>
      </c>
      <c r="X1011" t="s">
        <v>6103</v>
      </c>
      <c r="Y1011" t="s">
        <v>1381</v>
      </c>
      <c r="Z1011" t="s">
        <v>117</v>
      </c>
      <c r="AA1011" t="str">
        <f>"14063-1132"</f>
        <v>14063-1132</v>
      </c>
      <c r="AB1011" t="s">
        <v>118</v>
      </c>
      <c r="AC1011" t="s">
        <v>119</v>
      </c>
      <c r="AD1011" t="s">
        <v>113</v>
      </c>
      <c r="AE1011" t="s">
        <v>120</v>
      </c>
      <c r="AG1011" t="s">
        <v>121</v>
      </c>
    </row>
    <row r="1012" spans="1:33" x14ac:dyDescent="0.25">
      <c r="A1012" t="str">
        <f>"1588714208"</f>
        <v>1588714208</v>
      </c>
      <c r="C1012" t="s">
        <v>6104</v>
      </c>
      <c r="G1012" t="s">
        <v>6105</v>
      </c>
      <c r="H1012" t="s">
        <v>6106</v>
      </c>
      <c r="J1012" t="s">
        <v>6107</v>
      </c>
      <c r="K1012" t="s">
        <v>303</v>
      </c>
      <c r="L1012" t="s">
        <v>229</v>
      </c>
      <c r="M1012" t="s">
        <v>113</v>
      </c>
      <c r="R1012" t="s">
        <v>6108</v>
      </c>
      <c r="S1012" t="s">
        <v>6109</v>
      </c>
      <c r="T1012" t="s">
        <v>663</v>
      </c>
      <c r="U1012" t="s">
        <v>117</v>
      </c>
      <c r="V1012" t="str">
        <f>"140941895"</f>
        <v>140941895</v>
      </c>
      <c r="AC1012" t="s">
        <v>119</v>
      </c>
      <c r="AD1012" t="s">
        <v>113</v>
      </c>
      <c r="AE1012" t="s">
        <v>306</v>
      </c>
      <c r="AG1012" t="s">
        <v>121</v>
      </c>
    </row>
    <row r="1013" spans="1:33" x14ac:dyDescent="0.25">
      <c r="A1013" t="str">
        <f>"1588743702"</f>
        <v>1588743702</v>
      </c>
      <c r="B1013" t="str">
        <f>"01398338"</f>
        <v>01398338</v>
      </c>
      <c r="C1013" t="s">
        <v>6110</v>
      </c>
      <c r="D1013" t="s">
        <v>6111</v>
      </c>
      <c r="E1013" t="s">
        <v>6112</v>
      </c>
      <c r="G1013" t="s">
        <v>6113</v>
      </c>
      <c r="H1013" t="s">
        <v>6114</v>
      </c>
      <c r="J1013" t="s">
        <v>6115</v>
      </c>
      <c r="L1013" t="s">
        <v>14</v>
      </c>
      <c r="M1013" t="s">
        <v>113</v>
      </c>
      <c r="R1013" t="s">
        <v>6110</v>
      </c>
      <c r="W1013" t="s">
        <v>6112</v>
      </c>
      <c r="X1013" t="s">
        <v>253</v>
      </c>
      <c r="Y1013" t="s">
        <v>116</v>
      </c>
      <c r="Z1013" t="s">
        <v>117</v>
      </c>
      <c r="AA1013" t="str">
        <f>"14215-3021"</f>
        <v>14215-3021</v>
      </c>
      <c r="AB1013" t="s">
        <v>872</v>
      </c>
      <c r="AC1013" t="s">
        <v>119</v>
      </c>
      <c r="AD1013" t="s">
        <v>113</v>
      </c>
      <c r="AE1013" t="s">
        <v>120</v>
      </c>
      <c r="AG1013" t="s">
        <v>121</v>
      </c>
    </row>
    <row r="1014" spans="1:33" x14ac:dyDescent="0.25">
      <c r="A1014" t="str">
        <f>"1588778104"</f>
        <v>1588778104</v>
      </c>
      <c r="B1014" t="str">
        <f>"02090384"</f>
        <v>02090384</v>
      </c>
      <c r="C1014" t="s">
        <v>6116</v>
      </c>
      <c r="D1014" t="s">
        <v>6117</v>
      </c>
      <c r="E1014" t="s">
        <v>6118</v>
      </c>
      <c r="G1014" t="s">
        <v>6116</v>
      </c>
      <c r="H1014" t="s">
        <v>1724</v>
      </c>
      <c r="J1014" t="s">
        <v>6119</v>
      </c>
      <c r="L1014" t="s">
        <v>142</v>
      </c>
      <c r="M1014" t="s">
        <v>113</v>
      </c>
      <c r="R1014" t="s">
        <v>6120</v>
      </c>
      <c r="W1014" t="s">
        <v>6118</v>
      </c>
      <c r="X1014" t="s">
        <v>6121</v>
      </c>
      <c r="Y1014" t="s">
        <v>116</v>
      </c>
      <c r="Z1014" t="s">
        <v>117</v>
      </c>
      <c r="AA1014" t="str">
        <f>"14215-3021"</f>
        <v>14215-3021</v>
      </c>
      <c r="AB1014" t="s">
        <v>118</v>
      </c>
      <c r="AC1014" t="s">
        <v>119</v>
      </c>
      <c r="AD1014" t="s">
        <v>113</v>
      </c>
      <c r="AE1014" t="s">
        <v>120</v>
      </c>
      <c r="AG1014" t="s">
        <v>121</v>
      </c>
    </row>
    <row r="1015" spans="1:33" x14ac:dyDescent="0.25">
      <c r="A1015" t="str">
        <f>"1588803464"</f>
        <v>1588803464</v>
      </c>
      <c r="B1015" t="str">
        <f>"03303257"</f>
        <v>03303257</v>
      </c>
      <c r="C1015" t="s">
        <v>6122</v>
      </c>
      <c r="D1015" t="s">
        <v>6123</v>
      </c>
      <c r="E1015" t="s">
        <v>6124</v>
      </c>
      <c r="G1015" t="s">
        <v>6122</v>
      </c>
      <c r="H1015" t="s">
        <v>6125</v>
      </c>
      <c r="J1015" t="s">
        <v>6126</v>
      </c>
      <c r="L1015" t="s">
        <v>112</v>
      </c>
      <c r="M1015" t="s">
        <v>113</v>
      </c>
      <c r="R1015" t="s">
        <v>6127</v>
      </c>
      <c r="W1015" t="s">
        <v>6128</v>
      </c>
      <c r="X1015" t="s">
        <v>6129</v>
      </c>
      <c r="Y1015" t="s">
        <v>116</v>
      </c>
      <c r="Z1015" t="s">
        <v>117</v>
      </c>
      <c r="AA1015" t="str">
        <f>"14203-1126"</f>
        <v>14203-1126</v>
      </c>
      <c r="AB1015" t="s">
        <v>118</v>
      </c>
      <c r="AC1015" t="s">
        <v>119</v>
      </c>
      <c r="AD1015" t="s">
        <v>113</v>
      </c>
      <c r="AE1015" t="s">
        <v>120</v>
      </c>
      <c r="AG1015" t="s">
        <v>121</v>
      </c>
    </row>
    <row r="1016" spans="1:33" x14ac:dyDescent="0.25">
      <c r="A1016" t="str">
        <f>"1497754428"</f>
        <v>1497754428</v>
      </c>
      <c r="B1016" t="str">
        <f>"01087989"</f>
        <v>01087989</v>
      </c>
      <c r="C1016" t="s">
        <v>6130</v>
      </c>
      <c r="D1016" t="s">
        <v>6131</v>
      </c>
      <c r="E1016" t="s">
        <v>6132</v>
      </c>
      <c r="G1016" t="s">
        <v>1816</v>
      </c>
      <c r="H1016" t="s">
        <v>6133</v>
      </c>
      <c r="J1016" t="s">
        <v>1818</v>
      </c>
      <c r="L1016" t="s">
        <v>150</v>
      </c>
      <c r="M1016" t="s">
        <v>113</v>
      </c>
      <c r="R1016" t="s">
        <v>6134</v>
      </c>
      <c r="W1016" t="s">
        <v>6132</v>
      </c>
      <c r="X1016" t="s">
        <v>6135</v>
      </c>
      <c r="Y1016" t="s">
        <v>305</v>
      </c>
      <c r="Z1016" t="s">
        <v>117</v>
      </c>
      <c r="AA1016" t="str">
        <f>"14760-1500"</f>
        <v>14760-1500</v>
      </c>
      <c r="AB1016" t="s">
        <v>118</v>
      </c>
      <c r="AC1016" t="s">
        <v>119</v>
      </c>
      <c r="AD1016" t="s">
        <v>113</v>
      </c>
      <c r="AE1016" t="s">
        <v>120</v>
      </c>
      <c r="AG1016" t="s">
        <v>121</v>
      </c>
    </row>
    <row r="1017" spans="1:33" x14ac:dyDescent="0.25">
      <c r="A1017" t="str">
        <f>"1497758064"</f>
        <v>1497758064</v>
      </c>
      <c r="B1017" t="str">
        <f>"00797737"</f>
        <v>00797737</v>
      </c>
      <c r="C1017" t="s">
        <v>6136</v>
      </c>
      <c r="D1017" t="s">
        <v>6137</v>
      </c>
      <c r="E1017" t="s">
        <v>6138</v>
      </c>
      <c r="G1017" t="s">
        <v>6136</v>
      </c>
      <c r="H1017" t="s">
        <v>6139</v>
      </c>
      <c r="J1017" t="s">
        <v>6140</v>
      </c>
      <c r="L1017" t="s">
        <v>142</v>
      </c>
      <c r="M1017" t="s">
        <v>113</v>
      </c>
      <c r="R1017" t="s">
        <v>6141</v>
      </c>
      <c r="W1017" t="s">
        <v>6142</v>
      </c>
      <c r="X1017" t="s">
        <v>3803</v>
      </c>
      <c r="Y1017" t="s">
        <v>129</v>
      </c>
      <c r="Z1017" t="s">
        <v>117</v>
      </c>
      <c r="AA1017" t="str">
        <f>"14224-2646"</f>
        <v>14224-2646</v>
      </c>
      <c r="AB1017" t="s">
        <v>118</v>
      </c>
      <c r="AC1017" t="s">
        <v>119</v>
      </c>
      <c r="AD1017" t="s">
        <v>113</v>
      </c>
      <c r="AE1017" t="s">
        <v>120</v>
      </c>
      <c r="AG1017" t="s">
        <v>121</v>
      </c>
    </row>
    <row r="1018" spans="1:33" x14ac:dyDescent="0.25">
      <c r="A1018" t="str">
        <f>"1497765697"</f>
        <v>1497765697</v>
      </c>
      <c r="B1018" t="str">
        <f>"01240844"</f>
        <v>01240844</v>
      </c>
      <c r="C1018" t="s">
        <v>6143</v>
      </c>
      <c r="D1018" t="s">
        <v>6144</v>
      </c>
      <c r="E1018" t="s">
        <v>6145</v>
      </c>
      <c r="G1018" t="s">
        <v>6143</v>
      </c>
      <c r="H1018" t="s">
        <v>6146</v>
      </c>
      <c r="J1018" t="s">
        <v>6147</v>
      </c>
      <c r="L1018" t="s">
        <v>229</v>
      </c>
      <c r="M1018" t="s">
        <v>113</v>
      </c>
      <c r="W1018" t="s">
        <v>6145</v>
      </c>
      <c r="X1018" t="s">
        <v>3453</v>
      </c>
      <c r="Y1018" t="s">
        <v>116</v>
      </c>
      <c r="Z1018" t="s">
        <v>117</v>
      </c>
      <c r="AA1018" t="str">
        <f>"14215-1129"</f>
        <v>14215-1129</v>
      </c>
      <c r="AB1018" t="s">
        <v>118</v>
      </c>
      <c r="AC1018" t="s">
        <v>119</v>
      </c>
      <c r="AD1018" t="s">
        <v>113</v>
      </c>
      <c r="AE1018" t="s">
        <v>120</v>
      </c>
      <c r="AG1018" t="s">
        <v>121</v>
      </c>
    </row>
    <row r="1019" spans="1:33" x14ac:dyDescent="0.25">
      <c r="A1019" t="str">
        <f>"1497796304"</f>
        <v>1497796304</v>
      </c>
      <c r="B1019" t="str">
        <f>"02689123"</f>
        <v>02689123</v>
      </c>
      <c r="C1019" t="s">
        <v>6148</v>
      </c>
      <c r="D1019" t="s">
        <v>6149</v>
      </c>
      <c r="E1019" t="s">
        <v>6150</v>
      </c>
      <c r="G1019" t="s">
        <v>6148</v>
      </c>
      <c r="H1019" t="s">
        <v>6151</v>
      </c>
      <c r="J1019" t="s">
        <v>6152</v>
      </c>
      <c r="L1019" t="s">
        <v>142</v>
      </c>
      <c r="M1019" t="s">
        <v>113</v>
      </c>
      <c r="R1019" t="s">
        <v>6153</v>
      </c>
      <c r="W1019" t="s">
        <v>6150</v>
      </c>
      <c r="X1019" t="s">
        <v>6154</v>
      </c>
      <c r="Y1019" t="s">
        <v>240</v>
      </c>
      <c r="Z1019" t="s">
        <v>117</v>
      </c>
      <c r="AA1019" t="str">
        <f>"14221-7717"</f>
        <v>14221-7717</v>
      </c>
      <c r="AB1019" t="s">
        <v>118</v>
      </c>
      <c r="AC1019" t="s">
        <v>119</v>
      </c>
      <c r="AD1019" t="s">
        <v>113</v>
      </c>
      <c r="AE1019" t="s">
        <v>120</v>
      </c>
      <c r="AG1019" t="s">
        <v>121</v>
      </c>
    </row>
    <row r="1020" spans="1:33" x14ac:dyDescent="0.25">
      <c r="A1020" t="str">
        <f>"1497808364"</f>
        <v>1497808364</v>
      </c>
      <c r="C1020" t="s">
        <v>6155</v>
      </c>
      <c r="G1020" t="s">
        <v>6156</v>
      </c>
      <c r="H1020" t="s">
        <v>6157</v>
      </c>
      <c r="J1020" t="s">
        <v>6158</v>
      </c>
      <c r="K1020" t="s">
        <v>303</v>
      </c>
      <c r="L1020" t="s">
        <v>229</v>
      </c>
      <c r="M1020" t="s">
        <v>113</v>
      </c>
      <c r="R1020" t="s">
        <v>6159</v>
      </c>
      <c r="S1020" t="s">
        <v>6160</v>
      </c>
      <c r="T1020" t="s">
        <v>116</v>
      </c>
      <c r="U1020" t="s">
        <v>117</v>
      </c>
      <c r="V1020" t="str">
        <f>"14209"</f>
        <v>14209</v>
      </c>
      <c r="AC1020" t="s">
        <v>119</v>
      </c>
      <c r="AD1020" t="s">
        <v>113</v>
      </c>
      <c r="AE1020" t="s">
        <v>306</v>
      </c>
      <c r="AG1020" t="s">
        <v>121</v>
      </c>
    </row>
    <row r="1021" spans="1:33" x14ac:dyDescent="0.25">
      <c r="A1021" t="str">
        <f>"1497814198"</f>
        <v>1497814198</v>
      </c>
      <c r="C1021" t="s">
        <v>6161</v>
      </c>
      <c r="G1021" t="s">
        <v>6162</v>
      </c>
      <c r="H1021" t="s">
        <v>937</v>
      </c>
      <c r="J1021" t="s">
        <v>6163</v>
      </c>
      <c r="K1021" t="s">
        <v>303</v>
      </c>
      <c r="L1021" t="s">
        <v>229</v>
      </c>
      <c r="M1021" t="s">
        <v>113</v>
      </c>
      <c r="R1021" t="s">
        <v>6164</v>
      </c>
      <c r="S1021" t="s">
        <v>3739</v>
      </c>
      <c r="T1021" t="s">
        <v>240</v>
      </c>
      <c r="U1021" t="s">
        <v>117</v>
      </c>
      <c r="V1021" t="str">
        <f>"142216728"</f>
        <v>142216728</v>
      </c>
      <c r="AC1021" t="s">
        <v>119</v>
      </c>
      <c r="AD1021" t="s">
        <v>113</v>
      </c>
      <c r="AE1021" t="s">
        <v>306</v>
      </c>
      <c r="AG1021" t="s">
        <v>121</v>
      </c>
    </row>
    <row r="1022" spans="1:33" x14ac:dyDescent="0.25">
      <c r="A1022" t="str">
        <f>"1497818173"</f>
        <v>1497818173</v>
      </c>
      <c r="B1022" t="str">
        <f>"02836446"</f>
        <v>02836446</v>
      </c>
      <c r="C1022" t="s">
        <v>6165</v>
      </c>
      <c r="D1022" t="s">
        <v>6166</v>
      </c>
      <c r="E1022" t="s">
        <v>6167</v>
      </c>
      <c r="G1022" t="s">
        <v>6165</v>
      </c>
      <c r="H1022" t="s">
        <v>6168</v>
      </c>
      <c r="J1022" t="s">
        <v>6169</v>
      </c>
      <c r="L1022" t="s">
        <v>150</v>
      </c>
      <c r="M1022" t="s">
        <v>199</v>
      </c>
      <c r="R1022" t="s">
        <v>6167</v>
      </c>
      <c r="W1022" t="s">
        <v>6167</v>
      </c>
      <c r="X1022" t="s">
        <v>6170</v>
      </c>
      <c r="Y1022" t="s">
        <v>116</v>
      </c>
      <c r="Z1022" t="s">
        <v>117</v>
      </c>
      <c r="AA1022" t="str">
        <f>"14202-1110"</f>
        <v>14202-1110</v>
      </c>
      <c r="AB1022" t="s">
        <v>118</v>
      </c>
      <c r="AC1022" t="s">
        <v>119</v>
      </c>
      <c r="AD1022" t="s">
        <v>113</v>
      </c>
      <c r="AE1022" t="s">
        <v>120</v>
      </c>
      <c r="AG1022" t="s">
        <v>121</v>
      </c>
    </row>
    <row r="1023" spans="1:33" x14ac:dyDescent="0.25">
      <c r="A1023" t="str">
        <f>"1508037292"</f>
        <v>1508037292</v>
      </c>
      <c r="B1023" t="str">
        <f>"02990090"</f>
        <v>02990090</v>
      </c>
      <c r="C1023" t="s">
        <v>6171</v>
      </c>
      <c r="D1023" t="s">
        <v>6172</v>
      </c>
      <c r="E1023" t="s">
        <v>6173</v>
      </c>
      <c r="G1023" t="s">
        <v>859</v>
      </c>
      <c r="H1023" t="s">
        <v>6174</v>
      </c>
      <c r="J1023" t="s">
        <v>861</v>
      </c>
      <c r="L1023" t="s">
        <v>150</v>
      </c>
      <c r="M1023" t="s">
        <v>113</v>
      </c>
      <c r="R1023" t="s">
        <v>6175</v>
      </c>
      <c r="W1023" t="s">
        <v>6176</v>
      </c>
      <c r="X1023" t="s">
        <v>176</v>
      </c>
      <c r="Y1023" t="s">
        <v>116</v>
      </c>
      <c r="Z1023" t="s">
        <v>117</v>
      </c>
      <c r="AA1023" t="str">
        <f>"14203-1126"</f>
        <v>14203-1126</v>
      </c>
      <c r="AB1023" t="s">
        <v>118</v>
      </c>
      <c r="AC1023" t="s">
        <v>119</v>
      </c>
      <c r="AD1023" t="s">
        <v>113</v>
      </c>
      <c r="AE1023" t="s">
        <v>120</v>
      </c>
      <c r="AG1023" t="s">
        <v>121</v>
      </c>
    </row>
    <row r="1024" spans="1:33" x14ac:dyDescent="0.25">
      <c r="A1024" t="str">
        <f>"1043480585"</f>
        <v>1043480585</v>
      </c>
      <c r="B1024" t="str">
        <f>"02950883"</f>
        <v>02950883</v>
      </c>
      <c r="C1024" t="s">
        <v>9493</v>
      </c>
      <c r="D1024" t="s">
        <v>9494</v>
      </c>
      <c r="E1024" t="s">
        <v>9493</v>
      </c>
      <c r="H1024" t="s">
        <v>7509</v>
      </c>
      <c r="L1024" t="s">
        <v>14</v>
      </c>
      <c r="M1024" t="s">
        <v>113</v>
      </c>
      <c r="R1024" t="s">
        <v>9493</v>
      </c>
      <c r="W1024" t="s">
        <v>9493</v>
      </c>
      <c r="X1024" t="s">
        <v>9495</v>
      </c>
      <c r="Y1024" t="s">
        <v>116</v>
      </c>
      <c r="Z1024" t="s">
        <v>117</v>
      </c>
      <c r="AA1024" t="str">
        <f>"14213-1207"</f>
        <v>14213-1207</v>
      </c>
      <c r="AB1024" t="s">
        <v>291</v>
      </c>
      <c r="AC1024" t="s">
        <v>119</v>
      </c>
      <c r="AD1024" t="s">
        <v>113</v>
      </c>
      <c r="AE1024" t="s">
        <v>120</v>
      </c>
      <c r="AG1024" t="s">
        <v>121</v>
      </c>
    </row>
    <row r="1025" spans="1:33" x14ac:dyDescent="0.25">
      <c r="A1025" t="str">
        <f>"1508065046"</f>
        <v>1508065046</v>
      </c>
      <c r="B1025" t="str">
        <f>"03923562"</f>
        <v>03923562</v>
      </c>
      <c r="C1025" t="s">
        <v>6180</v>
      </c>
      <c r="D1025" t="s">
        <v>6181</v>
      </c>
      <c r="E1025" t="s">
        <v>6182</v>
      </c>
      <c r="G1025" t="s">
        <v>6180</v>
      </c>
      <c r="J1025" t="s">
        <v>6183</v>
      </c>
      <c r="L1025" t="s">
        <v>142</v>
      </c>
      <c r="M1025" t="s">
        <v>113</v>
      </c>
      <c r="R1025" t="s">
        <v>6184</v>
      </c>
      <c r="W1025" t="s">
        <v>6185</v>
      </c>
      <c r="X1025" t="s">
        <v>176</v>
      </c>
      <c r="Y1025" t="s">
        <v>116</v>
      </c>
      <c r="Z1025" t="s">
        <v>117</v>
      </c>
      <c r="AA1025" t="str">
        <f>"14203-1126"</f>
        <v>14203-1126</v>
      </c>
      <c r="AB1025" t="s">
        <v>118</v>
      </c>
      <c r="AC1025" t="s">
        <v>119</v>
      </c>
      <c r="AD1025" t="s">
        <v>113</v>
      </c>
      <c r="AE1025" t="s">
        <v>120</v>
      </c>
      <c r="AG1025" t="s">
        <v>121</v>
      </c>
    </row>
    <row r="1026" spans="1:33" x14ac:dyDescent="0.25">
      <c r="A1026" t="str">
        <f>"1508100785"</f>
        <v>1508100785</v>
      </c>
      <c r="C1026" t="s">
        <v>6186</v>
      </c>
      <c r="G1026" t="s">
        <v>6187</v>
      </c>
      <c r="H1026" t="s">
        <v>1115</v>
      </c>
      <c r="J1026" t="s">
        <v>438</v>
      </c>
      <c r="K1026" t="s">
        <v>303</v>
      </c>
      <c r="L1026" t="s">
        <v>229</v>
      </c>
      <c r="M1026" t="s">
        <v>113</v>
      </c>
      <c r="R1026" t="s">
        <v>6188</v>
      </c>
      <c r="S1026" t="s">
        <v>2800</v>
      </c>
      <c r="T1026" t="s">
        <v>318</v>
      </c>
      <c r="U1026" t="s">
        <v>117</v>
      </c>
      <c r="V1026" t="str">
        <f>"142254985"</f>
        <v>142254985</v>
      </c>
      <c r="AC1026" t="s">
        <v>119</v>
      </c>
      <c r="AD1026" t="s">
        <v>113</v>
      </c>
      <c r="AE1026" t="s">
        <v>306</v>
      </c>
      <c r="AG1026" t="s">
        <v>121</v>
      </c>
    </row>
    <row r="1027" spans="1:33" x14ac:dyDescent="0.25">
      <c r="A1027" t="str">
        <f>"1508109315"</f>
        <v>1508109315</v>
      </c>
      <c r="B1027" t="str">
        <f>"03706732"</f>
        <v>03706732</v>
      </c>
      <c r="C1027" t="s">
        <v>6189</v>
      </c>
      <c r="D1027" t="s">
        <v>6190</v>
      </c>
      <c r="E1027" t="s">
        <v>6191</v>
      </c>
      <c r="G1027" t="s">
        <v>6192</v>
      </c>
      <c r="J1027" t="s">
        <v>352</v>
      </c>
      <c r="L1027" t="s">
        <v>1033</v>
      </c>
      <c r="M1027" t="s">
        <v>113</v>
      </c>
      <c r="R1027" t="s">
        <v>6193</v>
      </c>
      <c r="W1027" t="s">
        <v>6191</v>
      </c>
      <c r="X1027" t="s">
        <v>6194</v>
      </c>
      <c r="Y1027" t="s">
        <v>153</v>
      </c>
      <c r="Z1027" t="s">
        <v>117</v>
      </c>
      <c r="AA1027" t="str">
        <f>"14304-1550"</f>
        <v>14304-1550</v>
      </c>
      <c r="AB1027" t="s">
        <v>118</v>
      </c>
      <c r="AC1027" t="s">
        <v>119</v>
      </c>
      <c r="AD1027" t="s">
        <v>113</v>
      </c>
      <c r="AE1027" t="s">
        <v>120</v>
      </c>
      <c r="AG1027" t="s">
        <v>121</v>
      </c>
    </row>
    <row r="1028" spans="1:33" x14ac:dyDescent="0.25">
      <c r="A1028" t="str">
        <f>"1508159146"</f>
        <v>1508159146</v>
      </c>
      <c r="C1028" t="s">
        <v>6195</v>
      </c>
      <c r="G1028" t="s">
        <v>6195</v>
      </c>
      <c r="H1028" t="s">
        <v>6196</v>
      </c>
      <c r="J1028" t="s">
        <v>6197</v>
      </c>
      <c r="K1028" t="s">
        <v>303</v>
      </c>
      <c r="L1028" t="s">
        <v>229</v>
      </c>
      <c r="M1028" t="s">
        <v>113</v>
      </c>
      <c r="R1028" t="s">
        <v>6198</v>
      </c>
      <c r="S1028" t="s">
        <v>6199</v>
      </c>
      <c r="T1028" t="s">
        <v>6200</v>
      </c>
      <c r="U1028" t="s">
        <v>5493</v>
      </c>
      <c r="V1028" t="str">
        <f>"606123841"</f>
        <v>606123841</v>
      </c>
      <c r="AC1028" t="s">
        <v>119</v>
      </c>
      <c r="AD1028" t="s">
        <v>113</v>
      </c>
      <c r="AE1028" t="s">
        <v>306</v>
      </c>
      <c r="AG1028" t="s">
        <v>121</v>
      </c>
    </row>
    <row r="1029" spans="1:33" x14ac:dyDescent="0.25">
      <c r="A1029" t="str">
        <f>"1508168535"</f>
        <v>1508168535</v>
      </c>
      <c r="B1029" t="str">
        <f>"03316649"</f>
        <v>03316649</v>
      </c>
      <c r="C1029" t="s">
        <v>6201</v>
      </c>
      <c r="D1029" t="s">
        <v>6202</v>
      </c>
      <c r="E1029" t="s">
        <v>6203</v>
      </c>
      <c r="G1029" t="s">
        <v>6204</v>
      </c>
      <c r="J1029" t="s">
        <v>6205</v>
      </c>
      <c r="L1029" t="s">
        <v>142</v>
      </c>
      <c r="M1029" t="s">
        <v>113</v>
      </c>
      <c r="R1029" t="s">
        <v>6206</v>
      </c>
      <c r="W1029" t="s">
        <v>6203</v>
      </c>
      <c r="X1029" t="s">
        <v>253</v>
      </c>
      <c r="Y1029" t="s">
        <v>116</v>
      </c>
      <c r="Z1029" t="s">
        <v>117</v>
      </c>
      <c r="AA1029" t="str">
        <f>"14215-3021"</f>
        <v>14215-3021</v>
      </c>
      <c r="AB1029" t="s">
        <v>118</v>
      </c>
      <c r="AC1029" t="s">
        <v>119</v>
      </c>
      <c r="AD1029" t="s">
        <v>113</v>
      </c>
      <c r="AE1029" t="s">
        <v>120</v>
      </c>
      <c r="AG1029" t="s">
        <v>121</v>
      </c>
    </row>
    <row r="1030" spans="1:33" x14ac:dyDescent="0.25">
      <c r="A1030" t="str">
        <f>"1508179045"</f>
        <v>1508179045</v>
      </c>
      <c r="B1030" t="str">
        <f>"03252760"</f>
        <v>03252760</v>
      </c>
      <c r="C1030" t="s">
        <v>6207</v>
      </c>
      <c r="D1030" t="s">
        <v>6208</v>
      </c>
      <c r="E1030" t="s">
        <v>6209</v>
      </c>
      <c r="G1030" t="s">
        <v>6207</v>
      </c>
      <c r="H1030" t="s">
        <v>6210</v>
      </c>
      <c r="J1030" t="s">
        <v>6211</v>
      </c>
      <c r="L1030" t="s">
        <v>142</v>
      </c>
      <c r="M1030" t="s">
        <v>113</v>
      </c>
      <c r="R1030" t="s">
        <v>6212</v>
      </c>
      <c r="W1030" t="s">
        <v>6213</v>
      </c>
      <c r="X1030" t="s">
        <v>152</v>
      </c>
      <c r="Y1030" t="s">
        <v>153</v>
      </c>
      <c r="Z1030" t="s">
        <v>117</v>
      </c>
      <c r="AA1030" t="str">
        <f>"14301-1813"</f>
        <v>14301-1813</v>
      </c>
      <c r="AB1030" t="s">
        <v>118</v>
      </c>
      <c r="AC1030" t="s">
        <v>119</v>
      </c>
      <c r="AD1030" t="s">
        <v>113</v>
      </c>
      <c r="AE1030" t="s">
        <v>120</v>
      </c>
      <c r="AG1030" t="s">
        <v>121</v>
      </c>
    </row>
    <row r="1031" spans="1:33" x14ac:dyDescent="0.25">
      <c r="A1031" t="str">
        <f>"1508180282"</f>
        <v>1508180282</v>
      </c>
      <c r="B1031" t="str">
        <f>"03737139"</f>
        <v>03737139</v>
      </c>
      <c r="C1031" t="s">
        <v>6214</v>
      </c>
      <c r="D1031" t="s">
        <v>6215</v>
      </c>
      <c r="E1031" t="s">
        <v>6216</v>
      </c>
      <c r="G1031" t="s">
        <v>6214</v>
      </c>
      <c r="J1031" t="s">
        <v>1774</v>
      </c>
      <c r="L1031" t="s">
        <v>1033</v>
      </c>
      <c r="M1031" t="s">
        <v>113</v>
      </c>
      <c r="R1031" t="s">
        <v>6217</v>
      </c>
      <c r="W1031" t="s">
        <v>6216</v>
      </c>
      <c r="X1031" t="s">
        <v>5799</v>
      </c>
      <c r="Y1031" t="s">
        <v>541</v>
      </c>
      <c r="Z1031" t="s">
        <v>117</v>
      </c>
      <c r="AA1031" t="str">
        <f>"14048-2201"</f>
        <v>14048-2201</v>
      </c>
      <c r="AB1031" t="s">
        <v>621</v>
      </c>
      <c r="AC1031" t="s">
        <v>119</v>
      </c>
      <c r="AD1031" t="s">
        <v>113</v>
      </c>
      <c r="AE1031" t="s">
        <v>120</v>
      </c>
      <c r="AG1031" t="s">
        <v>121</v>
      </c>
    </row>
    <row r="1032" spans="1:33" x14ac:dyDescent="0.25">
      <c r="A1032" t="str">
        <f>"1508207945"</f>
        <v>1508207945</v>
      </c>
      <c r="B1032" t="str">
        <f>"03647830"</f>
        <v>03647830</v>
      </c>
      <c r="C1032" t="s">
        <v>6218</v>
      </c>
      <c r="D1032" t="s">
        <v>6219</v>
      </c>
      <c r="E1032" t="s">
        <v>6220</v>
      </c>
      <c r="G1032" t="s">
        <v>6221</v>
      </c>
      <c r="L1032" t="s">
        <v>142</v>
      </c>
      <c r="M1032" t="s">
        <v>113</v>
      </c>
      <c r="R1032" t="s">
        <v>6221</v>
      </c>
      <c r="W1032" t="s">
        <v>6220</v>
      </c>
      <c r="X1032" t="s">
        <v>6222</v>
      </c>
      <c r="Y1032" t="s">
        <v>541</v>
      </c>
      <c r="Z1032" t="s">
        <v>117</v>
      </c>
      <c r="AA1032" t="str">
        <f>"14048-2237"</f>
        <v>14048-2237</v>
      </c>
      <c r="AB1032" t="s">
        <v>118</v>
      </c>
      <c r="AC1032" t="s">
        <v>119</v>
      </c>
      <c r="AD1032" t="s">
        <v>113</v>
      </c>
      <c r="AE1032" t="s">
        <v>120</v>
      </c>
      <c r="AG1032" t="s">
        <v>121</v>
      </c>
    </row>
    <row r="1033" spans="1:33" x14ac:dyDescent="0.25">
      <c r="A1033" t="str">
        <f>"1538148804"</f>
        <v>1538148804</v>
      </c>
      <c r="B1033" t="str">
        <f>"00758232"</f>
        <v>00758232</v>
      </c>
      <c r="C1033" t="s">
        <v>6223</v>
      </c>
      <c r="D1033" t="s">
        <v>6224</v>
      </c>
      <c r="E1033" t="s">
        <v>6225</v>
      </c>
      <c r="G1033" t="s">
        <v>6223</v>
      </c>
      <c r="H1033" t="s">
        <v>205</v>
      </c>
      <c r="J1033" t="s">
        <v>6226</v>
      </c>
      <c r="L1033" t="s">
        <v>150</v>
      </c>
      <c r="M1033" t="s">
        <v>113</v>
      </c>
      <c r="R1033" t="s">
        <v>6227</v>
      </c>
      <c r="W1033" t="s">
        <v>6225</v>
      </c>
      <c r="X1033" t="s">
        <v>6228</v>
      </c>
      <c r="Y1033" t="s">
        <v>116</v>
      </c>
      <c r="Z1033" t="s">
        <v>117</v>
      </c>
      <c r="AA1033" t="str">
        <f>"14203-1154"</f>
        <v>14203-1154</v>
      </c>
      <c r="AB1033" t="s">
        <v>118</v>
      </c>
      <c r="AC1033" t="s">
        <v>119</v>
      </c>
      <c r="AD1033" t="s">
        <v>113</v>
      </c>
      <c r="AE1033" t="s">
        <v>120</v>
      </c>
      <c r="AG1033" t="s">
        <v>121</v>
      </c>
    </row>
    <row r="1034" spans="1:33" x14ac:dyDescent="0.25">
      <c r="A1034" t="str">
        <f>"1649294430"</f>
        <v>1649294430</v>
      </c>
      <c r="B1034" t="str">
        <f>"01105215"</f>
        <v>01105215</v>
      </c>
      <c r="C1034" t="s">
        <v>6229</v>
      </c>
      <c r="D1034" t="s">
        <v>6230</v>
      </c>
      <c r="E1034" t="s">
        <v>6231</v>
      </c>
      <c r="G1034" t="s">
        <v>6229</v>
      </c>
      <c r="H1034" t="s">
        <v>250</v>
      </c>
      <c r="J1034" t="s">
        <v>6232</v>
      </c>
      <c r="L1034" t="s">
        <v>112</v>
      </c>
      <c r="M1034" t="s">
        <v>113</v>
      </c>
      <c r="R1034" t="s">
        <v>6233</v>
      </c>
      <c r="W1034" t="s">
        <v>6231</v>
      </c>
      <c r="X1034" t="s">
        <v>6234</v>
      </c>
      <c r="Y1034" t="s">
        <v>116</v>
      </c>
      <c r="Z1034" t="s">
        <v>117</v>
      </c>
      <c r="AA1034" t="str">
        <f>"14221-5329"</f>
        <v>14221-5329</v>
      </c>
      <c r="AB1034" t="s">
        <v>118</v>
      </c>
      <c r="AC1034" t="s">
        <v>119</v>
      </c>
      <c r="AD1034" t="s">
        <v>113</v>
      </c>
      <c r="AE1034" t="s">
        <v>120</v>
      </c>
      <c r="AG1034" t="s">
        <v>121</v>
      </c>
    </row>
    <row r="1035" spans="1:33" x14ac:dyDescent="0.25">
      <c r="A1035" t="str">
        <f>"1649295148"</f>
        <v>1649295148</v>
      </c>
      <c r="B1035" t="str">
        <f>"02367628"</f>
        <v>02367628</v>
      </c>
      <c r="C1035" t="s">
        <v>6235</v>
      </c>
      <c r="D1035" t="s">
        <v>6236</v>
      </c>
      <c r="E1035" t="s">
        <v>6237</v>
      </c>
      <c r="G1035" t="s">
        <v>6235</v>
      </c>
      <c r="H1035" t="s">
        <v>1157</v>
      </c>
      <c r="J1035" t="s">
        <v>6238</v>
      </c>
      <c r="L1035" t="s">
        <v>142</v>
      </c>
      <c r="M1035" t="s">
        <v>113</v>
      </c>
      <c r="R1035" t="s">
        <v>6239</v>
      </c>
      <c r="W1035" t="s">
        <v>6237</v>
      </c>
      <c r="X1035" t="s">
        <v>176</v>
      </c>
      <c r="Y1035" t="s">
        <v>116</v>
      </c>
      <c r="Z1035" t="s">
        <v>117</v>
      </c>
      <c r="AA1035" t="str">
        <f>"14203-1154"</f>
        <v>14203-1154</v>
      </c>
      <c r="AB1035" t="s">
        <v>118</v>
      </c>
      <c r="AC1035" t="s">
        <v>119</v>
      </c>
      <c r="AD1035" t="s">
        <v>113</v>
      </c>
      <c r="AE1035" t="s">
        <v>120</v>
      </c>
      <c r="AG1035" t="s">
        <v>121</v>
      </c>
    </row>
    <row r="1036" spans="1:33" x14ac:dyDescent="0.25">
      <c r="A1036" t="str">
        <f>"1649335977"</f>
        <v>1649335977</v>
      </c>
      <c r="B1036" t="str">
        <f>"02776543"</f>
        <v>02776543</v>
      </c>
      <c r="C1036" t="s">
        <v>6240</v>
      </c>
      <c r="D1036" t="s">
        <v>6241</v>
      </c>
      <c r="E1036" t="s">
        <v>6242</v>
      </c>
      <c r="G1036" t="s">
        <v>6243</v>
      </c>
      <c r="H1036" t="s">
        <v>437</v>
      </c>
      <c r="J1036" t="s">
        <v>438</v>
      </c>
      <c r="L1036" t="s">
        <v>112</v>
      </c>
      <c r="M1036" t="s">
        <v>113</v>
      </c>
      <c r="R1036" t="s">
        <v>6242</v>
      </c>
      <c r="W1036" t="s">
        <v>6244</v>
      </c>
      <c r="X1036" t="s">
        <v>1218</v>
      </c>
      <c r="Y1036" t="s">
        <v>318</v>
      </c>
      <c r="Z1036" t="s">
        <v>117</v>
      </c>
      <c r="AA1036" t="str">
        <f>"14225-4985"</f>
        <v>14225-4985</v>
      </c>
      <c r="AB1036" t="s">
        <v>621</v>
      </c>
      <c r="AC1036" t="s">
        <v>119</v>
      </c>
      <c r="AD1036" t="s">
        <v>113</v>
      </c>
      <c r="AE1036" t="s">
        <v>120</v>
      </c>
      <c r="AG1036" t="s">
        <v>121</v>
      </c>
    </row>
    <row r="1037" spans="1:33" x14ac:dyDescent="0.25">
      <c r="A1037" t="str">
        <f>"1649368622"</f>
        <v>1649368622</v>
      </c>
      <c r="C1037" t="s">
        <v>6245</v>
      </c>
      <c r="G1037" t="s">
        <v>6246</v>
      </c>
      <c r="H1037" t="s">
        <v>6247</v>
      </c>
      <c r="J1037" t="s">
        <v>352</v>
      </c>
      <c r="K1037" t="s">
        <v>303</v>
      </c>
      <c r="L1037" t="s">
        <v>229</v>
      </c>
      <c r="M1037" t="s">
        <v>113</v>
      </c>
      <c r="R1037" t="s">
        <v>6248</v>
      </c>
      <c r="S1037" t="s">
        <v>6249</v>
      </c>
      <c r="T1037" t="s">
        <v>116</v>
      </c>
      <c r="U1037" t="s">
        <v>117</v>
      </c>
      <c r="V1037" t="str">
        <f>"142142147"</f>
        <v>142142147</v>
      </c>
      <c r="AC1037" t="s">
        <v>119</v>
      </c>
      <c r="AD1037" t="s">
        <v>113</v>
      </c>
      <c r="AE1037" t="s">
        <v>306</v>
      </c>
      <c r="AG1037" t="s">
        <v>121</v>
      </c>
    </row>
    <row r="1038" spans="1:33" x14ac:dyDescent="0.25">
      <c r="A1038" t="str">
        <f>"1649427733"</f>
        <v>1649427733</v>
      </c>
      <c r="B1038" t="str">
        <f>"03050497"</f>
        <v>03050497</v>
      </c>
      <c r="C1038" t="s">
        <v>6250</v>
      </c>
      <c r="D1038" t="s">
        <v>6251</v>
      </c>
      <c r="E1038" t="s">
        <v>6252</v>
      </c>
      <c r="H1038" t="s">
        <v>6253</v>
      </c>
      <c r="L1038" t="s">
        <v>112</v>
      </c>
      <c r="M1038" t="s">
        <v>113</v>
      </c>
      <c r="R1038" t="s">
        <v>6254</v>
      </c>
      <c r="W1038" t="s">
        <v>6252</v>
      </c>
      <c r="X1038" t="s">
        <v>6255</v>
      </c>
      <c r="Y1038" t="s">
        <v>348</v>
      </c>
      <c r="Z1038" t="s">
        <v>117</v>
      </c>
      <c r="AA1038" t="str">
        <f>"14043"</f>
        <v>14043</v>
      </c>
      <c r="AB1038" t="s">
        <v>223</v>
      </c>
      <c r="AC1038" t="s">
        <v>119</v>
      </c>
      <c r="AD1038" t="s">
        <v>113</v>
      </c>
      <c r="AE1038" t="s">
        <v>120</v>
      </c>
      <c r="AG1038" t="s">
        <v>121</v>
      </c>
    </row>
    <row r="1039" spans="1:33" x14ac:dyDescent="0.25">
      <c r="A1039" t="str">
        <f>"1649444266"</f>
        <v>1649444266</v>
      </c>
      <c r="B1039" t="str">
        <f>"03613150"</f>
        <v>03613150</v>
      </c>
      <c r="C1039" t="s">
        <v>6256</v>
      </c>
      <c r="D1039" t="s">
        <v>6257</v>
      </c>
      <c r="E1039" t="s">
        <v>6258</v>
      </c>
      <c r="G1039" t="s">
        <v>6259</v>
      </c>
      <c r="H1039" t="s">
        <v>6260</v>
      </c>
      <c r="J1039" t="s">
        <v>6261</v>
      </c>
      <c r="L1039" t="s">
        <v>142</v>
      </c>
      <c r="M1039" t="s">
        <v>113</v>
      </c>
      <c r="R1039" t="s">
        <v>6262</v>
      </c>
      <c r="W1039" t="s">
        <v>6258</v>
      </c>
      <c r="X1039" t="s">
        <v>216</v>
      </c>
      <c r="Y1039" t="s">
        <v>116</v>
      </c>
      <c r="Z1039" t="s">
        <v>117</v>
      </c>
      <c r="AA1039" t="str">
        <f>"14222-2006"</f>
        <v>14222-2006</v>
      </c>
      <c r="AB1039" t="s">
        <v>118</v>
      </c>
      <c r="AC1039" t="s">
        <v>119</v>
      </c>
      <c r="AD1039" t="s">
        <v>113</v>
      </c>
      <c r="AE1039" t="s">
        <v>120</v>
      </c>
      <c r="AG1039" t="s">
        <v>121</v>
      </c>
    </row>
    <row r="1040" spans="1:33" x14ac:dyDescent="0.25">
      <c r="A1040" t="str">
        <f>"1649447509"</f>
        <v>1649447509</v>
      </c>
      <c r="B1040" t="str">
        <f>"03857485"</f>
        <v>03857485</v>
      </c>
      <c r="C1040" t="s">
        <v>6263</v>
      </c>
      <c r="D1040" t="s">
        <v>6264</v>
      </c>
      <c r="E1040" t="s">
        <v>6265</v>
      </c>
      <c r="G1040" t="s">
        <v>6266</v>
      </c>
      <c r="H1040" t="s">
        <v>6267</v>
      </c>
      <c r="L1040" t="s">
        <v>142</v>
      </c>
      <c r="M1040" t="s">
        <v>113</v>
      </c>
      <c r="R1040" t="s">
        <v>6266</v>
      </c>
      <c r="W1040" t="s">
        <v>6265</v>
      </c>
      <c r="X1040" t="s">
        <v>152</v>
      </c>
      <c r="Y1040" t="s">
        <v>153</v>
      </c>
      <c r="Z1040" t="s">
        <v>117</v>
      </c>
      <c r="AA1040" t="str">
        <f>"14301-1813"</f>
        <v>14301-1813</v>
      </c>
      <c r="AB1040" t="s">
        <v>118</v>
      </c>
      <c r="AC1040" t="s">
        <v>119</v>
      </c>
      <c r="AD1040" t="s">
        <v>113</v>
      </c>
      <c r="AE1040" t="s">
        <v>120</v>
      </c>
      <c r="AG1040" t="s">
        <v>121</v>
      </c>
    </row>
    <row r="1041" spans="1:33" x14ac:dyDescent="0.25">
      <c r="A1041" t="str">
        <f>"1649452004"</f>
        <v>1649452004</v>
      </c>
      <c r="B1041" t="str">
        <f>"00672037"</f>
        <v>00672037</v>
      </c>
      <c r="C1041" t="s">
        <v>1578</v>
      </c>
      <c r="D1041" t="s">
        <v>6268</v>
      </c>
      <c r="E1041" t="s">
        <v>6269</v>
      </c>
      <c r="F1041">
        <v>160975538</v>
      </c>
      <c r="L1041" t="s">
        <v>229</v>
      </c>
      <c r="M1041" t="s">
        <v>199</v>
      </c>
      <c r="R1041" t="s">
        <v>1578</v>
      </c>
      <c r="W1041" t="s">
        <v>6269</v>
      </c>
      <c r="X1041" t="s">
        <v>6270</v>
      </c>
      <c r="Y1041" t="s">
        <v>116</v>
      </c>
      <c r="Z1041" t="s">
        <v>117</v>
      </c>
      <c r="AA1041" t="str">
        <f>"14214-2237"</f>
        <v>14214-2237</v>
      </c>
      <c r="AB1041" t="s">
        <v>1146</v>
      </c>
      <c r="AC1041" t="s">
        <v>119</v>
      </c>
      <c r="AD1041" t="s">
        <v>113</v>
      </c>
      <c r="AE1041" t="s">
        <v>120</v>
      </c>
      <c r="AG1041" t="s">
        <v>121</v>
      </c>
    </row>
    <row r="1042" spans="1:33" x14ac:dyDescent="0.25">
      <c r="A1042" t="str">
        <f>"1649461401"</f>
        <v>1649461401</v>
      </c>
      <c r="B1042" t="str">
        <f>"02902550"</f>
        <v>02902550</v>
      </c>
      <c r="C1042" t="s">
        <v>6271</v>
      </c>
      <c r="D1042" t="s">
        <v>6272</v>
      </c>
      <c r="E1042" t="s">
        <v>6273</v>
      </c>
      <c r="G1042" t="s">
        <v>6271</v>
      </c>
      <c r="H1042" t="s">
        <v>295</v>
      </c>
      <c r="J1042" t="s">
        <v>6274</v>
      </c>
      <c r="L1042" t="s">
        <v>142</v>
      </c>
      <c r="M1042" t="s">
        <v>113</v>
      </c>
      <c r="R1042" t="s">
        <v>6275</v>
      </c>
      <c r="W1042" t="s">
        <v>6273</v>
      </c>
      <c r="X1042" t="s">
        <v>298</v>
      </c>
      <c r="Y1042" t="s">
        <v>240</v>
      </c>
      <c r="Z1042" t="s">
        <v>117</v>
      </c>
      <c r="AA1042" t="str">
        <f>"14221-8024"</f>
        <v>14221-8024</v>
      </c>
      <c r="AB1042" t="s">
        <v>118</v>
      </c>
      <c r="AC1042" t="s">
        <v>119</v>
      </c>
      <c r="AD1042" t="s">
        <v>113</v>
      </c>
      <c r="AE1042" t="s">
        <v>120</v>
      </c>
      <c r="AG1042" t="s">
        <v>121</v>
      </c>
    </row>
    <row r="1043" spans="1:33" x14ac:dyDescent="0.25">
      <c r="A1043" t="str">
        <f>"1649542101"</f>
        <v>1649542101</v>
      </c>
      <c r="B1043" t="str">
        <f>"03499612"</f>
        <v>03499612</v>
      </c>
      <c r="C1043" t="s">
        <v>6276</v>
      </c>
      <c r="D1043" t="s">
        <v>6277</v>
      </c>
      <c r="E1043" t="s">
        <v>6278</v>
      </c>
      <c r="G1043" t="s">
        <v>6276</v>
      </c>
      <c r="H1043" t="s">
        <v>6279</v>
      </c>
      <c r="J1043" t="s">
        <v>6280</v>
      </c>
      <c r="L1043" t="s">
        <v>112</v>
      </c>
      <c r="M1043" t="s">
        <v>113</v>
      </c>
      <c r="R1043" t="s">
        <v>6281</v>
      </c>
      <c r="W1043" t="s">
        <v>6278</v>
      </c>
      <c r="X1043" t="s">
        <v>6282</v>
      </c>
      <c r="Y1043" t="s">
        <v>240</v>
      </c>
      <c r="Z1043" t="s">
        <v>117</v>
      </c>
      <c r="AA1043" t="str">
        <f>"14221-7099"</f>
        <v>14221-7099</v>
      </c>
      <c r="AB1043" t="s">
        <v>118</v>
      </c>
      <c r="AC1043" t="s">
        <v>119</v>
      </c>
      <c r="AD1043" t="s">
        <v>113</v>
      </c>
      <c r="AE1043" t="s">
        <v>120</v>
      </c>
      <c r="AG1043" t="s">
        <v>121</v>
      </c>
    </row>
    <row r="1044" spans="1:33" x14ac:dyDescent="0.25">
      <c r="A1044" t="str">
        <f>"1649567017"</f>
        <v>1649567017</v>
      </c>
      <c r="B1044" t="str">
        <f>"03425849"</f>
        <v>03425849</v>
      </c>
      <c r="C1044" t="s">
        <v>6283</v>
      </c>
      <c r="D1044" t="s">
        <v>6284</v>
      </c>
      <c r="E1044" t="s">
        <v>6285</v>
      </c>
      <c r="G1044" t="s">
        <v>6286</v>
      </c>
      <c r="H1044" t="s">
        <v>205</v>
      </c>
      <c r="J1044" t="s">
        <v>6287</v>
      </c>
      <c r="L1044" t="s">
        <v>112</v>
      </c>
      <c r="M1044" t="s">
        <v>113</v>
      </c>
      <c r="R1044" t="s">
        <v>6288</v>
      </c>
      <c r="W1044" t="s">
        <v>6285</v>
      </c>
      <c r="X1044" t="s">
        <v>6289</v>
      </c>
      <c r="Y1044" t="s">
        <v>240</v>
      </c>
      <c r="Z1044" t="s">
        <v>117</v>
      </c>
      <c r="AA1044" t="str">
        <f>"14221-8216"</f>
        <v>14221-8216</v>
      </c>
      <c r="AB1044" t="s">
        <v>118</v>
      </c>
      <c r="AC1044" t="s">
        <v>119</v>
      </c>
      <c r="AD1044" t="s">
        <v>113</v>
      </c>
      <c r="AE1044" t="s">
        <v>120</v>
      </c>
      <c r="AG1044" t="s">
        <v>121</v>
      </c>
    </row>
    <row r="1045" spans="1:33" x14ac:dyDescent="0.25">
      <c r="A1045" t="str">
        <f>"1649580762"</f>
        <v>1649580762</v>
      </c>
      <c r="B1045" t="str">
        <f>"03738823"</f>
        <v>03738823</v>
      </c>
      <c r="C1045" t="s">
        <v>6290</v>
      </c>
      <c r="D1045" t="s">
        <v>6291</v>
      </c>
      <c r="E1045" t="s">
        <v>6292</v>
      </c>
      <c r="G1045" t="s">
        <v>6293</v>
      </c>
      <c r="H1045" t="s">
        <v>6294</v>
      </c>
      <c r="J1045" t="s">
        <v>1660</v>
      </c>
      <c r="L1045" t="s">
        <v>142</v>
      </c>
      <c r="M1045" t="s">
        <v>113</v>
      </c>
      <c r="R1045" t="s">
        <v>6295</v>
      </c>
      <c r="W1045" t="s">
        <v>6292</v>
      </c>
      <c r="X1045" t="s">
        <v>6296</v>
      </c>
      <c r="Y1045" t="s">
        <v>3362</v>
      </c>
      <c r="Z1045" t="s">
        <v>117</v>
      </c>
      <c r="AA1045" t="str">
        <f>"14136-1452"</f>
        <v>14136-1452</v>
      </c>
      <c r="AB1045" t="s">
        <v>118</v>
      </c>
      <c r="AC1045" t="s">
        <v>119</v>
      </c>
      <c r="AD1045" t="s">
        <v>113</v>
      </c>
      <c r="AE1045" t="s">
        <v>120</v>
      </c>
      <c r="AG1045" t="s">
        <v>121</v>
      </c>
    </row>
    <row r="1046" spans="1:33" x14ac:dyDescent="0.25">
      <c r="A1046" t="str">
        <f>"1649596495"</f>
        <v>1649596495</v>
      </c>
      <c r="B1046" t="str">
        <f>"03269078"</f>
        <v>03269078</v>
      </c>
      <c r="C1046" t="s">
        <v>6297</v>
      </c>
      <c r="D1046" t="s">
        <v>6298</v>
      </c>
      <c r="E1046" t="s">
        <v>6299</v>
      </c>
      <c r="G1046" t="s">
        <v>6297</v>
      </c>
      <c r="H1046" t="s">
        <v>1227</v>
      </c>
      <c r="J1046" t="s">
        <v>6300</v>
      </c>
      <c r="L1046" t="s">
        <v>142</v>
      </c>
      <c r="M1046" t="s">
        <v>113</v>
      </c>
      <c r="R1046" t="s">
        <v>6301</v>
      </c>
      <c r="W1046" t="s">
        <v>6299</v>
      </c>
      <c r="X1046" t="s">
        <v>6302</v>
      </c>
      <c r="Y1046" t="s">
        <v>958</v>
      </c>
      <c r="Z1046" t="s">
        <v>117</v>
      </c>
      <c r="AA1046" t="str">
        <f>"14226-1727"</f>
        <v>14226-1727</v>
      </c>
      <c r="AB1046" t="s">
        <v>118</v>
      </c>
      <c r="AC1046" t="s">
        <v>119</v>
      </c>
      <c r="AD1046" t="s">
        <v>113</v>
      </c>
      <c r="AE1046" t="s">
        <v>120</v>
      </c>
      <c r="AG1046" t="s">
        <v>121</v>
      </c>
    </row>
    <row r="1047" spans="1:33" x14ac:dyDescent="0.25">
      <c r="A1047" t="str">
        <f>"1659307528"</f>
        <v>1659307528</v>
      </c>
      <c r="B1047" t="str">
        <f>"01456082"</f>
        <v>01456082</v>
      </c>
      <c r="C1047" t="s">
        <v>6303</v>
      </c>
      <c r="D1047" t="s">
        <v>6304</v>
      </c>
      <c r="E1047" t="s">
        <v>6305</v>
      </c>
      <c r="G1047" t="s">
        <v>6303</v>
      </c>
      <c r="H1047" t="s">
        <v>6306</v>
      </c>
      <c r="J1047" t="s">
        <v>6307</v>
      </c>
      <c r="L1047" t="s">
        <v>112</v>
      </c>
      <c r="M1047" t="s">
        <v>113</v>
      </c>
      <c r="R1047" t="s">
        <v>6308</v>
      </c>
      <c r="W1047" t="s">
        <v>6305</v>
      </c>
      <c r="X1047" t="s">
        <v>3803</v>
      </c>
      <c r="Y1047" t="s">
        <v>129</v>
      </c>
      <c r="Z1047" t="s">
        <v>117</v>
      </c>
      <c r="AA1047" t="str">
        <f>"14224-2646"</f>
        <v>14224-2646</v>
      </c>
      <c r="AB1047" t="s">
        <v>118</v>
      </c>
      <c r="AC1047" t="s">
        <v>119</v>
      </c>
      <c r="AD1047" t="s">
        <v>113</v>
      </c>
      <c r="AE1047" t="s">
        <v>120</v>
      </c>
      <c r="AG1047" t="s">
        <v>121</v>
      </c>
    </row>
    <row r="1048" spans="1:33" x14ac:dyDescent="0.25">
      <c r="A1048" t="str">
        <f>"1477785400"</f>
        <v>1477785400</v>
      </c>
      <c r="B1048" t="str">
        <f>"03259547"</f>
        <v>03259547</v>
      </c>
      <c r="C1048" t="s">
        <v>6309</v>
      </c>
      <c r="D1048" t="s">
        <v>6310</v>
      </c>
      <c r="E1048" t="s">
        <v>6311</v>
      </c>
      <c r="G1048" t="s">
        <v>859</v>
      </c>
      <c r="H1048" t="s">
        <v>6312</v>
      </c>
      <c r="J1048" t="s">
        <v>861</v>
      </c>
      <c r="L1048" t="s">
        <v>112</v>
      </c>
      <c r="M1048" t="s">
        <v>113</v>
      </c>
      <c r="R1048" t="s">
        <v>6313</v>
      </c>
      <c r="W1048" t="s">
        <v>6311</v>
      </c>
      <c r="X1048" t="s">
        <v>253</v>
      </c>
      <c r="Y1048" t="s">
        <v>116</v>
      </c>
      <c r="Z1048" t="s">
        <v>117</v>
      </c>
      <c r="AA1048" t="str">
        <f>"14215-3021"</f>
        <v>14215-3021</v>
      </c>
      <c r="AB1048" t="s">
        <v>118</v>
      </c>
      <c r="AC1048" t="s">
        <v>119</v>
      </c>
      <c r="AD1048" t="s">
        <v>113</v>
      </c>
      <c r="AE1048" t="s">
        <v>120</v>
      </c>
      <c r="AG1048" t="s">
        <v>121</v>
      </c>
    </row>
    <row r="1049" spans="1:33" x14ac:dyDescent="0.25">
      <c r="A1049" t="str">
        <f>"1477795334"</f>
        <v>1477795334</v>
      </c>
      <c r="B1049" t="str">
        <f>"03151402"</f>
        <v>03151402</v>
      </c>
      <c r="C1049" t="s">
        <v>6314</v>
      </c>
      <c r="D1049" t="s">
        <v>6315</v>
      </c>
      <c r="E1049" t="s">
        <v>6316</v>
      </c>
      <c r="G1049" t="s">
        <v>6314</v>
      </c>
      <c r="H1049" t="s">
        <v>6317</v>
      </c>
      <c r="J1049" t="s">
        <v>6318</v>
      </c>
      <c r="L1049" t="s">
        <v>229</v>
      </c>
      <c r="M1049" t="s">
        <v>113</v>
      </c>
      <c r="R1049" t="s">
        <v>6319</v>
      </c>
      <c r="W1049" t="s">
        <v>6316</v>
      </c>
      <c r="X1049" t="s">
        <v>838</v>
      </c>
      <c r="Y1049" t="s">
        <v>240</v>
      </c>
      <c r="Z1049" t="s">
        <v>117</v>
      </c>
      <c r="AA1049" t="str">
        <f>"14221-3647"</f>
        <v>14221-3647</v>
      </c>
      <c r="AB1049" t="s">
        <v>118</v>
      </c>
      <c r="AC1049" t="s">
        <v>119</v>
      </c>
      <c r="AD1049" t="s">
        <v>113</v>
      </c>
      <c r="AE1049" t="s">
        <v>120</v>
      </c>
      <c r="AG1049" t="s">
        <v>121</v>
      </c>
    </row>
    <row r="1050" spans="1:33" x14ac:dyDescent="0.25">
      <c r="A1050" t="str">
        <f>"1477796092"</f>
        <v>1477796092</v>
      </c>
      <c r="B1050" t="str">
        <f>"03184287"</f>
        <v>03184287</v>
      </c>
      <c r="C1050" t="s">
        <v>6320</v>
      </c>
      <c r="D1050" t="s">
        <v>6321</v>
      </c>
      <c r="E1050" t="s">
        <v>6322</v>
      </c>
      <c r="G1050" t="s">
        <v>330</v>
      </c>
      <c r="H1050" t="s">
        <v>272</v>
      </c>
      <c r="J1050" t="s">
        <v>332</v>
      </c>
      <c r="L1050" t="s">
        <v>150</v>
      </c>
      <c r="M1050" t="s">
        <v>199</v>
      </c>
      <c r="R1050" t="s">
        <v>6323</v>
      </c>
      <c r="W1050" t="s">
        <v>6323</v>
      </c>
      <c r="X1050" t="s">
        <v>1648</v>
      </c>
      <c r="Y1050" t="s">
        <v>116</v>
      </c>
      <c r="Z1050" t="s">
        <v>117</v>
      </c>
      <c r="AA1050" t="str">
        <f>"14214-2648"</f>
        <v>14214-2648</v>
      </c>
      <c r="AB1050" t="s">
        <v>118</v>
      </c>
      <c r="AC1050" t="s">
        <v>119</v>
      </c>
      <c r="AD1050" t="s">
        <v>113</v>
      </c>
      <c r="AE1050" t="s">
        <v>120</v>
      </c>
      <c r="AG1050" t="s">
        <v>121</v>
      </c>
    </row>
    <row r="1051" spans="1:33" x14ac:dyDescent="0.25">
      <c r="A1051" t="str">
        <f>"1669536561"</f>
        <v>1669536561</v>
      </c>
      <c r="B1051" t="str">
        <f>"01402235"</f>
        <v>01402235</v>
      </c>
      <c r="C1051" t="s">
        <v>3842</v>
      </c>
      <c r="D1051" t="s">
        <v>7507</v>
      </c>
      <c r="E1051" t="s">
        <v>7508</v>
      </c>
      <c r="H1051" t="s">
        <v>7509</v>
      </c>
      <c r="L1051" t="s">
        <v>14</v>
      </c>
      <c r="M1051" t="s">
        <v>113</v>
      </c>
      <c r="R1051" t="s">
        <v>3842</v>
      </c>
      <c r="W1051" t="s">
        <v>7508</v>
      </c>
      <c r="X1051" t="s">
        <v>7510</v>
      </c>
      <c r="Y1051" t="s">
        <v>7511</v>
      </c>
      <c r="Z1051" t="s">
        <v>117</v>
      </c>
      <c r="AA1051" t="str">
        <f>"14720-0608"</f>
        <v>14720-0608</v>
      </c>
      <c r="AB1051" t="s">
        <v>291</v>
      </c>
      <c r="AC1051" t="s">
        <v>119</v>
      </c>
      <c r="AD1051" t="s">
        <v>113</v>
      </c>
      <c r="AE1051" t="s">
        <v>120</v>
      </c>
      <c r="AG1051" t="s">
        <v>121</v>
      </c>
    </row>
    <row r="1052" spans="1:33" x14ac:dyDescent="0.25">
      <c r="A1052" t="str">
        <f>"1467451658"</f>
        <v>1467451658</v>
      </c>
      <c r="B1052" t="str">
        <f>"01753084"</f>
        <v>01753084</v>
      </c>
      <c r="C1052" t="s">
        <v>6331</v>
      </c>
      <c r="D1052" t="s">
        <v>6332</v>
      </c>
      <c r="E1052" t="s">
        <v>6333</v>
      </c>
      <c r="G1052" t="s">
        <v>4593</v>
      </c>
      <c r="H1052" t="s">
        <v>4594</v>
      </c>
      <c r="J1052" t="s">
        <v>4595</v>
      </c>
      <c r="L1052" t="s">
        <v>150</v>
      </c>
      <c r="M1052" t="s">
        <v>199</v>
      </c>
      <c r="R1052" t="s">
        <v>6334</v>
      </c>
      <c r="W1052" t="s">
        <v>6335</v>
      </c>
      <c r="X1052" t="s">
        <v>1368</v>
      </c>
      <c r="Y1052" t="s">
        <v>305</v>
      </c>
      <c r="Z1052" t="s">
        <v>117</v>
      </c>
      <c r="AA1052" t="str">
        <f>"14760-1500"</f>
        <v>14760-1500</v>
      </c>
      <c r="AB1052" t="s">
        <v>118</v>
      </c>
      <c r="AC1052" t="s">
        <v>119</v>
      </c>
      <c r="AD1052" t="s">
        <v>113</v>
      </c>
      <c r="AE1052" t="s">
        <v>120</v>
      </c>
      <c r="AG1052" t="s">
        <v>121</v>
      </c>
    </row>
    <row r="1053" spans="1:33" x14ac:dyDescent="0.25">
      <c r="A1053" t="str">
        <f>"1467455204"</f>
        <v>1467455204</v>
      </c>
      <c r="B1053" t="str">
        <f>"01843049"</f>
        <v>01843049</v>
      </c>
      <c r="C1053" t="s">
        <v>6336</v>
      </c>
      <c r="D1053" t="s">
        <v>6337</v>
      </c>
      <c r="E1053" t="s">
        <v>6338</v>
      </c>
      <c r="G1053" t="s">
        <v>6336</v>
      </c>
      <c r="H1053" t="s">
        <v>3780</v>
      </c>
      <c r="J1053" t="s">
        <v>6339</v>
      </c>
      <c r="L1053" t="s">
        <v>1033</v>
      </c>
      <c r="M1053" t="s">
        <v>113</v>
      </c>
      <c r="R1053" t="s">
        <v>6340</v>
      </c>
      <c r="W1053" t="s">
        <v>6341</v>
      </c>
      <c r="X1053" t="s">
        <v>3784</v>
      </c>
      <c r="Y1053" t="s">
        <v>958</v>
      </c>
      <c r="Z1053" t="s">
        <v>117</v>
      </c>
      <c r="AA1053" t="str">
        <f>"14228-3604"</f>
        <v>14228-3604</v>
      </c>
      <c r="AB1053" t="s">
        <v>118</v>
      </c>
      <c r="AC1053" t="s">
        <v>119</v>
      </c>
      <c r="AD1053" t="s">
        <v>113</v>
      </c>
      <c r="AE1053" t="s">
        <v>120</v>
      </c>
      <c r="AG1053" t="s">
        <v>121</v>
      </c>
    </row>
    <row r="1054" spans="1:33" x14ac:dyDescent="0.25">
      <c r="A1054" t="str">
        <f>"1467470211"</f>
        <v>1467470211</v>
      </c>
      <c r="B1054" t="str">
        <f>"02273081"</f>
        <v>02273081</v>
      </c>
      <c r="C1054" t="s">
        <v>6342</v>
      </c>
      <c r="D1054" t="s">
        <v>6343</v>
      </c>
      <c r="E1054" t="s">
        <v>6344</v>
      </c>
      <c r="G1054" t="s">
        <v>6342</v>
      </c>
      <c r="H1054" t="s">
        <v>6345</v>
      </c>
      <c r="J1054" t="s">
        <v>6346</v>
      </c>
      <c r="L1054" t="s">
        <v>112</v>
      </c>
      <c r="M1054" t="s">
        <v>113</v>
      </c>
      <c r="R1054" t="s">
        <v>6347</v>
      </c>
      <c r="W1054" t="s">
        <v>6344</v>
      </c>
      <c r="X1054" t="s">
        <v>1304</v>
      </c>
      <c r="Y1054" t="s">
        <v>116</v>
      </c>
      <c r="Z1054" t="s">
        <v>117</v>
      </c>
      <c r="AA1054" t="str">
        <f>"14220-2039"</f>
        <v>14220-2039</v>
      </c>
      <c r="AB1054" t="s">
        <v>118</v>
      </c>
      <c r="AC1054" t="s">
        <v>119</v>
      </c>
      <c r="AD1054" t="s">
        <v>113</v>
      </c>
      <c r="AE1054" t="s">
        <v>120</v>
      </c>
      <c r="AG1054" t="s">
        <v>121</v>
      </c>
    </row>
    <row r="1055" spans="1:33" x14ac:dyDescent="0.25">
      <c r="A1055" t="str">
        <f>"1467476291"</f>
        <v>1467476291</v>
      </c>
      <c r="B1055" t="str">
        <f>"01729473"</f>
        <v>01729473</v>
      </c>
      <c r="C1055" t="s">
        <v>6348</v>
      </c>
      <c r="D1055" t="s">
        <v>6349</v>
      </c>
      <c r="E1055" t="s">
        <v>6350</v>
      </c>
      <c r="G1055" t="s">
        <v>6351</v>
      </c>
      <c r="H1055" t="s">
        <v>6352</v>
      </c>
      <c r="J1055" t="s">
        <v>6353</v>
      </c>
      <c r="L1055" t="s">
        <v>142</v>
      </c>
      <c r="M1055" t="s">
        <v>113</v>
      </c>
      <c r="R1055" t="s">
        <v>6354</v>
      </c>
      <c r="W1055" t="s">
        <v>6350</v>
      </c>
      <c r="X1055" t="s">
        <v>6355</v>
      </c>
      <c r="Y1055" t="s">
        <v>116</v>
      </c>
      <c r="Z1055" t="s">
        <v>117</v>
      </c>
      <c r="AA1055" t="str">
        <f>"14203-1154"</f>
        <v>14203-1154</v>
      </c>
      <c r="AB1055" t="s">
        <v>118</v>
      </c>
      <c r="AC1055" t="s">
        <v>119</v>
      </c>
      <c r="AD1055" t="s">
        <v>113</v>
      </c>
      <c r="AE1055" t="s">
        <v>120</v>
      </c>
      <c r="AG1055" t="s">
        <v>121</v>
      </c>
    </row>
    <row r="1056" spans="1:33" x14ac:dyDescent="0.25">
      <c r="A1056" t="str">
        <f>"1467507111"</f>
        <v>1467507111</v>
      </c>
      <c r="B1056" t="str">
        <f>"02626800"</f>
        <v>02626800</v>
      </c>
      <c r="C1056" t="s">
        <v>6356</v>
      </c>
      <c r="D1056" t="s">
        <v>6357</v>
      </c>
      <c r="E1056" t="s">
        <v>6358</v>
      </c>
      <c r="G1056" t="s">
        <v>6359</v>
      </c>
      <c r="H1056" t="s">
        <v>6157</v>
      </c>
      <c r="J1056" t="s">
        <v>6360</v>
      </c>
      <c r="L1056" t="s">
        <v>112</v>
      </c>
      <c r="M1056" t="s">
        <v>113</v>
      </c>
      <c r="R1056" t="s">
        <v>6361</v>
      </c>
      <c r="W1056" t="s">
        <v>6358</v>
      </c>
      <c r="X1056" t="s">
        <v>474</v>
      </c>
      <c r="Y1056" t="s">
        <v>116</v>
      </c>
      <c r="Z1056" t="s">
        <v>117</v>
      </c>
      <c r="AA1056" t="str">
        <f>"14214-1316"</f>
        <v>14214-1316</v>
      </c>
      <c r="AB1056" t="s">
        <v>621</v>
      </c>
      <c r="AC1056" t="s">
        <v>119</v>
      </c>
      <c r="AD1056" t="s">
        <v>113</v>
      </c>
      <c r="AE1056" t="s">
        <v>120</v>
      </c>
      <c r="AG1056" t="s">
        <v>121</v>
      </c>
    </row>
    <row r="1057" spans="1:33" x14ac:dyDescent="0.25">
      <c r="A1057" t="str">
        <f>"1467509240"</f>
        <v>1467509240</v>
      </c>
      <c r="B1057" t="str">
        <f>"02847652"</f>
        <v>02847652</v>
      </c>
      <c r="C1057" t="s">
        <v>6362</v>
      </c>
      <c r="D1057" t="s">
        <v>6363</v>
      </c>
      <c r="E1057" t="s">
        <v>6364</v>
      </c>
      <c r="G1057" t="s">
        <v>6362</v>
      </c>
      <c r="H1057" t="s">
        <v>6365</v>
      </c>
      <c r="J1057" t="s">
        <v>6366</v>
      </c>
      <c r="L1057" t="s">
        <v>112</v>
      </c>
      <c r="M1057" t="s">
        <v>113</v>
      </c>
      <c r="R1057" t="s">
        <v>6367</v>
      </c>
      <c r="W1057" t="s">
        <v>6364</v>
      </c>
      <c r="X1057" t="s">
        <v>6368</v>
      </c>
      <c r="Y1057" t="s">
        <v>145</v>
      </c>
      <c r="Z1057" t="s">
        <v>117</v>
      </c>
      <c r="AA1057" t="str">
        <f>"14051-1427"</f>
        <v>14051-1427</v>
      </c>
      <c r="AB1057" t="s">
        <v>634</v>
      </c>
      <c r="AC1057" t="s">
        <v>119</v>
      </c>
      <c r="AD1057" t="s">
        <v>113</v>
      </c>
      <c r="AE1057" t="s">
        <v>120</v>
      </c>
      <c r="AG1057" t="s">
        <v>121</v>
      </c>
    </row>
    <row r="1058" spans="1:33" x14ac:dyDescent="0.25">
      <c r="A1058" t="str">
        <f>"1467568261"</f>
        <v>1467568261</v>
      </c>
      <c r="B1058" t="str">
        <f>"03716814"</f>
        <v>03716814</v>
      </c>
      <c r="C1058" t="s">
        <v>6369</v>
      </c>
      <c r="D1058" t="s">
        <v>6370</v>
      </c>
      <c r="E1058" t="s">
        <v>6371</v>
      </c>
      <c r="G1058" t="s">
        <v>6369</v>
      </c>
      <c r="H1058" t="s">
        <v>227</v>
      </c>
      <c r="J1058" t="s">
        <v>6372</v>
      </c>
      <c r="L1058" t="s">
        <v>142</v>
      </c>
      <c r="M1058" t="s">
        <v>113</v>
      </c>
      <c r="R1058" t="s">
        <v>6371</v>
      </c>
      <c r="W1058" t="s">
        <v>6371</v>
      </c>
      <c r="X1058" t="s">
        <v>6373</v>
      </c>
      <c r="Y1058" t="s">
        <v>6374</v>
      </c>
      <c r="Z1058" t="s">
        <v>117</v>
      </c>
      <c r="AA1058" t="str">
        <f>"11772-4870"</f>
        <v>11772-4870</v>
      </c>
      <c r="AB1058" t="s">
        <v>118</v>
      </c>
      <c r="AC1058" t="s">
        <v>119</v>
      </c>
      <c r="AD1058" t="s">
        <v>113</v>
      </c>
      <c r="AE1058" t="s">
        <v>120</v>
      </c>
      <c r="AG1058" t="s">
        <v>121</v>
      </c>
    </row>
    <row r="1059" spans="1:33" x14ac:dyDescent="0.25">
      <c r="A1059" t="str">
        <f>"1467572537"</f>
        <v>1467572537</v>
      </c>
      <c r="B1059" t="str">
        <f>"01778147"</f>
        <v>01778147</v>
      </c>
      <c r="C1059" t="s">
        <v>6375</v>
      </c>
      <c r="D1059" t="s">
        <v>6376</v>
      </c>
      <c r="E1059" t="s">
        <v>6377</v>
      </c>
      <c r="G1059" t="s">
        <v>6375</v>
      </c>
      <c r="H1059" t="s">
        <v>579</v>
      </c>
      <c r="J1059" t="s">
        <v>6378</v>
      </c>
      <c r="L1059" t="s">
        <v>112</v>
      </c>
      <c r="M1059" t="s">
        <v>113</v>
      </c>
      <c r="R1059" t="s">
        <v>6379</v>
      </c>
      <c r="W1059" t="s">
        <v>6377</v>
      </c>
      <c r="X1059" t="s">
        <v>4127</v>
      </c>
      <c r="Y1059" t="s">
        <v>958</v>
      </c>
      <c r="Z1059" t="s">
        <v>117</v>
      </c>
      <c r="AA1059" t="str">
        <f>"14226-1039"</f>
        <v>14226-1039</v>
      </c>
      <c r="AB1059" t="s">
        <v>118</v>
      </c>
      <c r="AC1059" t="s">
        <v>119</v>
      </c>
      <c r="AD1059" t="s">
        <v>113</v>
      </c>
      <c r="AE1059" t="s">
        <v>120</v>
      </c>
      <c r="AG1059" t="s">
        <v>121</v>
      </c>
    </row>
    <row r="1060" spans="1:33" x14ac:dyDescent="0.25">
      <c r="A1060" t="str">
        <f>"1376748640"</f>
        <v>1376748640</v>
      </c>
      <c r="B1060" t="str">
        <f>"02883232"</f>
        <v>02883232</v>
      </c>
      <c r="C1060" t="s">
        <v>6380</v>
      </c>
      <c r="D1060" t="s">
        <v>6381</v>
      </c>
      <c r="E1060" t="s">
        <v>6382</v>
      </c>
      <c r="G1060" t="s">
        <v>6383</v>
      </c>
      <c r="H1060" t="s">
        <v>1006</v>
      </c>
      <c r="J1060" t="s">
        <v>6384</v>
      </c>
      <c r="L1060" t="s">
        <v>142</v>
      </c>
      <c r="M1060" t="s">
        <v>113</v>
      </c>
      <c r="R1060" t="s">
        <v>6385</v>
      </c>
      <c r="W1060" t="s">
        <v>6382</v>
      </c>
      <c r="X1060" t="s">
        <v>6386</v>
      </c>
      <c r="Y1060" t="s">
        <v>958</v>
      </c>
      <c r="Z1060" t="s">
        <v>117</v>
      </c>
      <c r="AA1060" t="str">
        <f>"14226-5102"</f>
        <v>14226-5102</v>
      </c>
      <c r="AB1060" t="s">
        <v>118</v>
      </c>
      <c r="AC1060" t="s">
        <v>119</v>
      </c>
      <c r="AD1060" t="s">
        <v>113</v>
      </c>
      <c r="AE1060" t="s">
        <v>120</v>
      </c>
      <c r="AG1060" t="s">
        <v>121</v>
      </c>
    </row>
    <row r="1061" spans="1:33" x14ac:dyDescent="0.25">
      <c r="A1061" t="str">
        <f>"1376812347"</f>
        <v>1376812347</v>
      </c>
      <c r="C1061" t="s">
        <v>6387</v>
      </c>
      <c r="G1061" t="s">
        <v>6388</v>
      </c>
      <c r="H1061" t="s">
        <v>437</v>
      </c>
      <c r="J1061" t="s">
        <v>438</v>
      </c>
      <c r="K1061" t="s">
        <v>303</v>
      </c>
      <c r="L1061" t="s">
        <v>229</v>
      </c>
      <c r="M1061" t="s">
        <v>113</v>
      </c>
      <c r="R1061" t="s">
        <v>6389</v>
      </c>
      <c r="S1061" t="s">
        <v>1117</v>
      </c>
      <c r="T1061" t="s">
        <v>318</v>
      </c>
      <c r="U1061" t="s">
        <v>117</v>
      </c>
      <c r="V1061" t="str">
        <f>"142254985"</f>
        <v>142254985</v>
      </c>
      <c r="AC1061" t="s">
        <v>119</v>
      </c>
      <c r="AD1061" t="s">
        <v>113</v>
      </c>
      <c r="AE1061" t="s">
        <v>306</v>
      </c>
      <c r="AG1061" t="s">
        <v>121</v>
      </c>
    </row>
    <row r="1062" spans="1:33" x14ac:dyDescent="0.25">
      <c r="A1062" t="str">
        <f>"1376817502"</f>
        <v>1376817502</v>
      </c>
      <c r="C1062" t="s">
        <v>6390</v>
      </c>
      <c r="G1062" t="s">
        <v>6391</v>
      </c>
      <c r="H1062" t="s">
        <v>351</v>
      </c>
      <c r="J1062" t="s">
        <v>352</v>
      </c>
      <c r="K1062" t="s">
        <v>303</v>
      </c>
      <c r="L1062" t="s">
        <v>229</v>
      </c>
      <c r="M1062" t="s">
        <v>113</v>
      </c>
      <c r="R1062" t="s">
        <v>6392</v>
      </c>
      <c r="S1062" t="s">
        <v>354</v>
      </c>
      <c r="T1062" t="s">
        <v>116</v>
      </c>
      <c r="U1062" t="s">
        <v>117</v>
      </c>
      <c r="V1062" t="str">
        <f>"142152814"</f>
        <v>142152814</v>
      </c>
      <c r="AC1062" t="s">
        <v>119</v>
      </c>
      <c r="AD1062" t="s">
        <v>113</v>
      </c>
      <c r="AE1062" t="s">
        <v>306</v>
      </c>
      <c r="AG1062" t="s">
        <v>121</v>
      </c>
    </row>
    <row r="1063" spans="1:33" x14ac:dyDescent="0.25">
      <c r="A1063" t="str">
        <f>"1376819961"</f>
        <v>1376819961</v>
      </c>
      <c r="B1063" t="str">
        <f>"03876217"</f>
        <v>03876217</v>
      </c>
      <c r="C1063" t="s">
        <v>6393</v>
      </c>
      <c r="D1063" t="s">
        <v>6394</v>
      </c>
      <c r="E1063" t="s">
        <v>6395</v>
      </c>
      <c r="G1063" t="s">
        <v>6396</v>
      </c>
      <c r="J1063" t="s">
        <v>6397</v>
      </c>
      <c r="L1063" t="s">
        <v>142</v>
      </c>
      <c r="M1063" t="s">
        <v>113</v>
      </c>
      <c r="R1063" t="s">
        <v>6398</v>
      </c>
      <c r="W1063" t="s">
        <v>6395</v>
      </c>
      <c r="X1063" t="s">
        <v>216</v>
      </c>
      <c r="Y1063" t="s">
        <v>116</v>
      </c>
      <c r="Z1063" t="s">
        <v>117</v>
      </c>
      <c r="AA1063" t="str">
        <f>"14222-2006"</f>
        <v>14222-2006</v>
      </c>
      <c r="AB1063" t="s">
        <v>118</v>
      </c>
      <c r="AC1063" t="s">
        <v>119</v>
      </c>
      <c r="AD1063" t="s">
        <v>113</v>
      </c>
      <c r="AE1063" t="s">
        <v>120</v>
      </c>
      <c r="AG1063" t="s">
        <v>121</v>
      </c>
    </row>
    <row r="1064" spans="1:33" x14ac:dyDescent="0.25">
      <c r="A1064" t="str">
        <f>"1376852715"</f>
        <v>1376852715</v>
      </c>
      <c r="B1064" t="str">
        <f>"03443776"</f>
        <v>03443776</v>
      </c>
      <c r="C1064" t="s">
        <v>6399</v>
      </c>
      <c r="D1064" t="s">
        <v>6400</v>
      </c>
      <c r="E1064" t="s">
        <v>6401</v>
      </c>
      <c r="G1064" t="s">
        <v>6399</v>
      </c>
      <c r="H1064" t="s">
        <v>6402</v>
      </c>
      <c r="J1064" t="s">
        <v>6403</v>
      </c>
      <c r="L1064" t="s">
        <v>1033</v>
      </c>
      <c r="M1064" t="s">
        <v>113</v>
      </c>
      <c r="R1064" t="s">
        <v>6404</v>
      </c>
      <c r="W1064" t="s">
        <v>6401</v>
      </c>
      <c r="X1064" t="s">
        <v>1845</v>
      </c>
      <c r="Y1064" t="s">
        <v>889</v>
      </c>
      <c r="Z1064" t="s">
        <v>117</v>
      </c>
      <c r="AA1064" t="str">
        <f>"14120-6150"</f>
        <v>14120-6150</v>
      </c>
      <c r="AB1064" t="s">
        <v>2359</v>
      </c>
      <c r="AC1064" t="s">
        <v>119</v>
      </c>
      <c r="AD1064" t="s">
        <v>113</v>
      </c>
      <c r="AE1064" t="s">
        <v>120</v>
      </c>
      <c r="AG1064" t="s">
        <v>121</v>
      </c>
    </row>
    <row r="1065" spans="1:33" x14ac:dyDescent="0.25">
      <c r="A1065" t="str">
        <f>"1376862268"</f>
        <v>1376862268</v>
      </c>
      <c r="C1065" t="s">
        <v>6405</v>
      </c>
      <c r="G1065" t="s">
        <v>6406</v>
      </c>
      <c r="H1065" t="s">
        <v>937</v>
      </c>
      <c r="J1065" t="s">
        <v>6407</v>
      </c>
      <c r="K1065" t="s">
        <v>303</v>
      </c>
      <c r="L1065" t="s">
        <v>229</v>
      </c>
      <c r="M1065" t="s">
        <v>113</v>
      </c>
      <c r="R1065" t="s">
        <v>6408</v>
      </c>
      <c r="S1065" t="s">
        <v>3739</v>
      </c>
      <c r="T1065" t="s">
        <v>240</v>
      </c>
      <c r="U1065" t="s">
        <v>117</v>
      </c>
      <c r="V1065" t="str">
        <f>"142216728"</f>
        <v>142216728</v>
      </c>
      <c r="AC1065" t="s">
        <v>119</v>
      </c>
      <c r="AD1065" t="s">
        <v>113</v>
      </c>
      <c r="AE1065" t="s">
        <v>306</v>
      </c>
      <c r="AG1065" t="s">
        <v>121</v>
      </c>
    </row>
    <row r="1066" spans="1:33" x14ac:dyDescent="0.25">
      <c r="A1066" t="str">
        <f>"1376862383"</f>
        <v>1376862383</v>
      </c>
      <c r="B1066" t="str">
        <f>"03944781"</f>
        <v>03944781</v>
      </c>
      <c r="C1066" t="s">
        <v>6409</v>
      </c>
      <c r="D1066" t="s">
        <v>6410</v>
      </c>
      <c r="E1066" t="s">
        <v>6411</v>
      </c>
      <c r="G1066" t="s">
        <v>6409</v>
      </c>
      <c r="H1066" t="s">
        <v>579</v>
      </c>
      <c r="J1066" t="s">
        <v>6412</v>
      </c>
      <c r="L1066" t="s">
        <v>142</v>
      </c>
      <c r="M1066" t="s">
        <v>113</v>
      </c>
      <c r="R1066" t="s">
        <v>6413</v>
      </c>
      <c r="W1066" t="s">
        <v>6411</v>
      </c>
      <c r="X1066" t="s">
        <v>333</v>
      </c>
      <c r="Y1066" t="s">
        <v>116</v>
      </c>
      <c r="Z1066" t="s">
        <v>117</v>
      </c>
      <c r="AA1066" t="str">
        <f>"14203-1109"</f>
        <v>14203-1109</v>
      </c>
      <c r="AB1066" t="s">
        <v>118</v>
      </c>
      <c r="AC1066" t="s">
        <v>119</v>
      </c>
      <c r="AD1066" t="s">
        <v>113</v>
      </c>
      <c r="AE1066" t="s">
        <v>120</v>
      </c>
      <c r="AG1066" t="s">
        <v>121</v>
      </c>
    </row>
    <row r="1067" spans="1:33" x14ac:dyDescent="0.25">
      <c r="A1067" t="str">
        <f>"1851398358"</f>
        <v>1851398358</v>
      </c>
      <c r="B1067" t="str">
        <f>"00614604"</f>
        <v>00614604</v>
      </c>
      <c r="C1067" t="s">
        <v>6414</v>
      </c>
      <c r="D1067" t="s">
        <v>6415</v>
      </c>
      <c r="E1067" t="s">
        <v>6416</v>
      </c>
      <c r="G1067" t="s">
        <v>6417</v>
      </c>
      <c r="H1067" t="s">
        <v>6418</v>
      </c>
      <c r="J1067" t="s">
        <v>6419</v>
      </c>
      <c r="L1067" t="s">
        <v>150</v>
      </c>
      <c r="M1067" t="s">
        <v>113</v>
      </c>
      <c r="R1067" t="s">
        <v>6420</v>
      </c>
      <c r="W1067" t="s">
        <v>6416</v>
      </c>
      <c r="X1067" t="s">
        <v>6421</v>
      </c>
      <c r="Y1067" t="s">
        <v>153</v>
      </c>
      <c r="Z1067" t="s">
        <v>117</v>
      </c>
      <c r="AA1067" t="str">
        <f>"14301-1841"</f>
        <v>14301-1841</v>
      </c>
      <c r="AB1067" t="s">
        <v>118</v>
      </c>
      <c r="AC1067" t="s">
        <v>119</v>
      </c>
      <c r="AD1067" t="s">
        <v>113</v>
      </c>
      <c r="AE1067" t="s">
        <v>120</v>
      </c>
      <c r="AG1067" t="s">
        <v>121</v>
      </c>
    </row>
    <row r="1068" spans="1:33" x14ac:dyDescent="0.25">
      <c r="A1068" t="str">
        <f>"1851451397"</f>
        <v>1851451397</v>
      </c>
      <c r="B1068" t="str">
        <f>"00833981"</f>
        <v>00833981</v>
      </c>
      <c r="C1068" t="s">
        <v>6422</v>
      </c>
      <c r="D1068" t="s">
        <v>6423</v>
      </c>
      <c r="E1068" t="s">
        <v>6424</v>
      </c>
      <c r="G1068" t="s">
        <v>6422</v>
      </c>
      <c r="H1068" t="s">
        <v>6425</v>
      </c>
      <c r="J1068" t="s">
        <v>6426</v>
      </c>
      <c r="L1068" t="s">
        <v>142</v>
      </c>
      <c r="M1068" t="s">
        <v>113</v>
      </c>
      <c r="R1068" t="s">
        <v>6427</v>
      </c>
      <c r="W1068" t="s">
        <v>6428</v>
      </c>
      <c r="X1068" t="s">
        <v>6429</v>
      </c>
      <c r="Y1068" t="s">
        <v>116</v>
      </c>
      <c r="Z1068" t="s">
        <v>117</v>
      </c>
      <c r="AA1068" t="str">
        <f>"14223-1435"</f>
        <v>14223-1435</v>
      </c>
      <c r="AB1068" t="s">
        <v>1755</v>
      </c>
      <c r="AC1068" t="s">
        <v>119</v>
      </c>
      <c r="AD1068" t="s">
        <v>113</v>
      </c>
      <c r="AE1068" t="s">
        <v>120</v>
      </c>
      <c r="AG1068" t="s">
        <v>121</v>
      </c>
    </row>
    <row r="1069" spans="1:33" x14ac:dyDescent="0.25">
      <c r="A1069" t="str">
        <f>"1851469191"</f>
        <v>1851469191</v>
      </c>
      <c r="B1069" t="str">
        <f>"02845792"</f>
        <v>02845792</v>
      </c>
      <c r="C1069" t="s">
        <v>6430</v>
      </c>
      <c r="D1069" t="s">
        <v>6431</v>
      </c>
      <c r="E1069" t="s">
        <v>6432</v>
      </c>
      <c r="G1069" t="s">
        <v>6433</v>
      </c>
      <c r="H1069" t="s">
        <v>6434</v>
      </c>
      <c r="J1069" t="s">
        <v>6435</v>
      </c>
      <c r="L1069" t="s">
        <v>150</v>
      </c>
      <c r="M1069" t="s">
        <v>113</v>
      </c>
      <c r="R1069" t="s">
        <v>6432</v>
      </c>
      <c r="W1069" t="s">
        <v>6436</v>
      </c>
      <c r="X1069" t="s">
        <v>1845</v>
      </c>
      <c r="Y1069" t="s">
        <v>816</v>
      </c>
      <c r="Z1069" t="s">
        <v>117</v>
      </c>
      <c r="AA1069" t="str">
        <f>"14120-6150"</f>
        <v>14120-6150</v>
      </c>
      <c r="AB1069" t="s">
        <v>118</v>
      </c>
      <c r="AC1069" t="s">
        <v>119</v>
      </c>
      <c r="AD1069" t="s">
        <v>113</v>
      </c>
      <c r="AE1069" t="s">
        <v>120</v>
      </c>
      <c r="AG1069" t="s">
        <v>121</v>
      </c>
    </row>
    <row r="1070" spans="1:33" x14ac:dyDescent="0.25">
      <c r="A1070" t="str">
        <f>"1750348082"</f>
        <v>1750348082</v>
      </c>
      <c r="B1070" t="str">
        <f>"01538949"</f>
        <v>01538949</v>
      </c>
      <c r="C1070" t="s">
        <v>6437</v>
      </c>
      <c r="D1070" t="s">
        <v>6438</v>
      </c>
      <c r="E1070" t="s">
        <v>6439</v>
      </c>
      <c r="G1070" t="s">
        <v>6440</v>
      </c>
      <c r="H1070" t="s">
        <v>6441</v>
      </c>
      <c r="L1070" t="s">
        <v>150</v>
      </c>
      <c r="M1070" t="s">
        <v>113</v>
      </c>
      <c r="R1070" t="s">
        <v>6440</v>
      </c>
      <c r="W1070" t="s">
        <v>6442</v>
      </c>
      <c r="X1070" t="s">
        <v>6443</v>
      </c>
      <c r="Y1070" t="s">
        <v>1562</v>
      </c>
      <c r="Z1070" t="s">
        <v>117</v>
      </c>
      <c r="AA1070" t="str">
        <f>"14047-9591"</f>
        <v>14047-9591</v>
      </c>
      <c r="AB1070" t="s">
        <v>118</v>
      </c>
      <c r="AC1070" t="s">
        <v>119</v>
      </c>
      <c r="AD1070" t="s">
        <v>113</v>
      </c>
      <c r="AE1070" t="s">
        <v>120</v>
      </c>
      <c r="AG1070" t="s">
        <v>121</v>
      </c>
    </row>
    <row r="1071" spans="1:33" x14ac:dyDescent="0.25">
      <c r="A1071" t="str">
        <f>"1750348454"</f>
        <v>1750348454</v>
      </c>
      <c r="B1071" t="str">
        <f>"01098764"</f>
        <v>01098764</v>
      </c>
      <c r="C1071" t="s">
        <v>6444</v>
      </c>
      <c r="D1071" t="s">
        <v>6445</v>
      </c>
      <c r="E1071" t="s">
        <v>6446</v>
      </c>
      <c r="G1071" t="s">
        <v>6444</v>
      </c>
      <c r="H1071" t="s">
        <v>205</v>
      </c>
      <c r="J1071" t="s">
        <v>6447</v>
      </c>
      <c r="L1071" t="s">
        <v>142</v>
      </c>
      <c r="M1071" t="s">
        <v>113</v>
      </c>
      <c r="R1071" t="s">
        <v>6448</v>
      </c>
      <c r="W1071" t="s">
        <v>6446</v>
      </c>
      <c r="X1071" t="s">
        <v>4431</v>
      </c>
      <c r="Y1071" t="s">
        <v>116</v>
      </c>
      <c r="Z1071" t="s">
        <v>117</v>
      </c>
      <c r="AA1071" t="str">
        <f>"14221-6837"</f>
        <v>14221-6837</v>
      </c>
      <c r="AB1071" t="s">
        <v>118</v>
      </c>
      <c r="AC1071" t="s">
        <v>119</v>
      </c>
      <c r="AD1071" t="s">
        <v>113</v>
      </c>
      <c r="AE1071" t="s">
        <v>120</v>
      </c>
      <c r="AG1071" t="s">
        <v>121</v>
      </c>
    </row>
    <row r="1072" spans="1:33" x14ac:dyDescent="0.25">
      <c r="A1072" t="str">
        <f>"1750353546"</f>
        <v>1750353546</v>
      </c>
      <c r="B1072" t="str">
        <f>"01830675"</f>
        <v>01830675</v>
      </c>
      <c r="C1072" t="s">
        <v>6449</v>
      </c>
      <c r="D1072" t="s">
        <v>6450</v>
      </c>
      <c r="E1072" t="s">
        <v>6451</v>
      </c>
      <c r="G1072" t="s">
        <v>6449</v>
      </c>
      <c r="H1072" t="s">
        <v>1964</v>
      </c>
      <c r="J1072" t="s">
        <v>6452</v>
      </c>
      <c r="L1072" t="s">
        <v>142</v>
      </c>
      <c r="M1072" t="s">
        <v>113</v>
      </c>
      <c r="R1072" t="s">
        <v>6453</v>
      </c>
      <c r="W1072" t="s">
        <v>6451</v>
      </c>
      <c r="X1072" t="s">
        <v>6451</v>
      </c>
      <c r="Y1072" t="s">
        <v>116</v>
      </c>
      <c r="Z1072" t="s">
        <v>117</v>
      </c>
      <c r="AA1072" t="str">
        <f>"14203-1126"</f>
        <v>14203-1126</v>
      </c>
      <c r="AB1072" t="s">
        <v>118</v>
      </c>
      <c r="AC1072" t="s">
        <v>119</v>
      </c>
      <c r="AD1072" t="s">
        <v>113</v>
      </c>
      <c r="AE1072" t="s">
        <v>120</v>
      </c>
      <c r="AG1072" t="s">
        <v>121</v>
      </c>
    </row>
    <row r="1073" spans="1:33" x14ac:dyDescent="0.25">
      <c r="A1073" t="str">
        <f>"1750357810"</f>
        <v>1750357810</v>
      </c>
      <c r="B1073" t="str">
        <f>"02212504"</f>
        <v>02212504</v>
      </c>
      <c r="C1073" t="s">
        <v>6454</v>
      </c>
      <c r="D1073" t="s">
        <v>6455</v>
      </c>
      <c r="E1073" t="s">
        <v>6456</v>
      </c>
      <c r="G1073" t="s">
        <v>6457</v>
      </c>
      <c r="H1073" t="s">
        <v>6458</v>
      </c>
      <c r="J1073" t="s">
        <v>1660</v>
      </c>
      <c r="L1073" t="s">
        <v>150</v>
      </c>
      <c r="M1073" t="s">
        <v>113</v>
      </c>
      <c r="R1073" t="s">
        <v>6459</v>
      </c>
      <c r="W1073" t="s">
        <v>6459</v>
      </c>
      <c r="X1073" t="s">
        <v>6460</v>
      </c>
      <c r="Y1073" t="s">
        <v>541</v>
      </c>
      <c r="Z1073" t="s">
        <v>117</v>
      </c>
      <c r="AA1073" t="str">
        <f>"14048-2514"</f>
        <v>14048-2514</v>
      </c>
      <c r="AB1073" t="s">
        <v>118</v>
      </c>
      <c r="AC1073" t="s">
        <v>119</v>
      </c>
      <c r="AD1073" t="s">
        <v>113</v>
      </c>
      <c r="AE1073" t="s">
        <v>120</v>
      </c>
      <c r="AG1073" t="s">
        <v>121</v>
      </c>
    </row>
    <row r="1074" spans="1:33" x14ac:dyDescent="0.25">
      <c r="A1074" t="str">
        <f>"1750364840"</f>
        <v>1750364840</v>
      </c>
      <c r="B1074" t="str">
        <f>"02688599"</f>
        <v>02688599</v>
      </c>
      <c r="C1074" t="s">
        <v>6461</v>
      </c>
      <c r="D1074" t="s">
        <v>6462</v>
      </c>
      <c r="E1074" t="s">
        <v>6463</v>
      </c>
      <c r="G1074" t="s">
        <v>6464</v>
      </c>
      <c r="H1074" t="s">
        <v>366</v>
      </c>
      <c r="J1074" t="s">
        <v>6465</v>
      </c>
      <c r="L1074" t="s">
        <v>142</v>
      </c>
      <c r="M1074" t="s">
        <v>113</v>
      </c>
      <c r="R1074" t="s">
        <v>6466</v>
      </c>
      <c r="W1074" t="s">
        <v>6463</v>
      </c>
      <c r="X1074" t="s">
        <v>2892</v>
      </c>
      <c r="Y1074" t="s">
        <v>240</v>
      </c>
      <c r="Z1074" t="s">
        <v>117</v>
      </c>
      <c r="AA1074" t="str">
        <f>"14221-5838"</f>
        <v>14221-5838</v>
      </c>
      <c r="AB1074" t="s">
        <v>118</v>
      </c>
      <c r="AC1074" t="s">
        <v>119</v>
      </c>
      <c r="AD1074" t="s">
        <v>113</v>
      </c>
      <c r="AE1074" t="s">
        <v>120</v>
      </c>
      <c r="AG1074" t="s">
        <v>121</v>
      </c>
    </row>
    <row r="1075" spans="1:33" x14ac:dyDescent="0.25">
      <c r="A1075" t="str">
        <f>"1750366498"</f>
        <v>1750366498</v>
      </c>
      <c r="B1075" t="str">
        <f>"04273474"</f>
        <v>04273474</v>
      </c>
      <c r="C1075" t="s">
        <v>6467</v>
      </c>
      <c r="D1075" t="s">
        <v>6468</v>
      </c>
      <c r="E1075" t="s">
        <v>6469</v>
      </c>
      <c r="G1075" t="s">
        <v>6467</v>
      </c>
      <c r="H1075" t="s">
        <v>227</v>
      </c>
      <c r="J1075" t="s">
        <v>6470</v>
      </c>
      <c r="L1075" t="s">
        <v>112</v>
      </c>
      <c r="M1075" t="s">
        <v>113</v>
      </c>
      <c r="R1075" t="s">
        <v>6471</v>
      </c>
      <c r="W1075" t="s">
        <v>6469</v>
      </c>
      <c r="X1075" t="s">
        <v>879</v>
      </c>
      <c r="Y1075" t="s">
        <v>880</v>
      </c>
      <c r="Z1075" t="s">
        <v>117</v>
      </c>
      <c r="AA1075" t="str">
        <f>"13210-2306"</f>
        <v>13210-2306</v>
      </c>
      <c r="AB1075" t="s">
        <v>118</v>
      </c>
      <c r="AC1075" t="s">
        <v>119</v>
      </c>
      <c r="AD1075" t="s">
        <v>113</v>
      </c>
      <c r="AE1075" t="s">
        <v>120</v>
      </c>
      <c r="AG1075" t="s">
        <v>121</v>
      </c>
    </row>
    <row r="1076" spans="1:33" x14ac:dyDescent="0.25">
      <c r="A1076" t="str">
        <f>"1750371746"</f>
        <v>1750371746</v>
      </c>
      <c r="B1076" t="str">
        <f>"01669992"</f>
        <v>01669992</v>
      </c>
      <c r="C1076" t="s">
        <v>6472</v>
      </c>
      <c r="D1076" t="s">
        <v>6473</v>
      </c>
      <c r="E1076" t="s">
        <v>6474</v>
      </c>
      <c r="G1076" t="s">
        <v>6472</v>
      </c>
      <c r="H1076" t="s">
        <v>6475</v>
      </c>
      <c r="J1076" t="s">
        <v>6476</v>
      </c>
      <c r="L1076" t="s">
        <v>142</v>
      </c>
      <c r="M1076" t="s">
        <v>113</v>
      </c>
      <c r="R1076" t="s">
        <v>6477</v>
      </c>
      <c r="W1076" t="s">
        <v>6474</v>
      </c>
      <c r="X1076" t="s">
        <v>176</v>
      </c>
      <c r="Y1076" t="s">
        <v>116</v>
      </c>
      <c r="Z1076" t="s">
        <v>117</v>
      </c>
      <c r="AA1076" t="str">
        <f>"14203-1126"</f>
        <v>14203-1126</v>
      </c>
      <c r="AB1076" t="s">
        <v>118</v>
      </c>
      <c r="AC1076" t="s">
        <v>119</v>
      </c>
      <c r="AD1076" t="s">
        <v>113</v>
      </c>
      <c r="AE1076" t="s">
        <v>120</v>
      </c>
      <c r="AG1076" t="s">
        <v>121</v>
      </c>
    </row>
    <row r="1077" spans="1:33" x14ac:dyDescent="0.25">
      <c r="A1077" t="str">
        <f>"1750379269"</f>
        <v>1750379269</v>
      </c>
      <c r="B1077" t="str">
        <f>"00612684"</f>
        <v>00612684</v>
      </c>
      <c r="C1077" t="s">
        <v>6478</v>
      </c>
      <c r="D1077" t="s">
        <v>6479</v>
      </c>
      <c r="E1077" t="s">
        <v>6480</v>
      </c>
      <c r="G1077" t="s">
        <v>6478</v>
      </c>
      <c r="H1077" t="s">
        <v>205</v>
      </c>
      <c r="J1077" t="s">
        <v>6481</v>
      </c>
      <c r="L1077" t="s">
        <v>142</v>
      </c>
      <c r="M1077" t="s">
        <v>113</v>
      </c>
      <c r="R1077" t="s">
        <v>6482</v>
      </c>
      <c r="W1077" t="s">
        <v>6480</v>
      </c>
      <c r="X1077" t="s">
        <v>6483</v>
      </c>
      <c r="Y1077" t="s">
        <v>116</v>
      </c>
      <c r="Z1077" t="s">
        <v>117</v>
      </c>
      <c r="AA1077" t="str">
        <f>"14214"</f>
        <v>14214</v>
      </c>
      <c r="AB1077" t="s">
        <v>118</v>
      </c>
      <c r="AC1077" t="s">
        <v>119</v>
      </c>
      <c r="AD1077" t="s">
        <v>113</v>
      </c>
      <c r="AE1077" t="s">
        <v>120</v>
      </c>
      <c r="AG1077" t="s">
        <v>121</v>
      </c>
    </row>
    <row r="1078" spans="1:33" x14ac:dyDescent="0.25">
      <c r="A1078" t="str">
        <f>"1750380242"</f>
        <v>1750380242</v>
      </c>
      <c r="B1078" t="str">
        <f>"01385900"</f>
        <v>01385900</v>
      </c>
      <c r="C1078" t="s">
        <v>6484</v>
      </c>
      <c r="D1078" t="s">
        <v>6485</v>
      </c>
      <c r="E1078" t="s">
        <v>6486</v>
      </c>
      <c r="L1078" t="s">
        <v>142</v>
      </c>
      <c r="M1078" t="s">
        <v>113</v>
      </c>
      <c r="R1078" t="s">
        <v>6487</v>
      </c>
      <c r="W1078" t="s">
        <v>6488</v>
      </c>
      <c r="Y1078" t="s">
        <v>305</v>
      </c>
      <c r="Z1078" t="s">
        <v>117</v>
      </c>
      <c r="AA1078" t="str">
        <f>"14760-1513"</f>
        <v>14760-1513</v>
      </c>
      <c r="AB1078" t="s">
        <v>118</v>
      </c>
      <c r="AC1078" t="s">
        <v>119</v>
      </c>
      <c r="AD1078" t="s">
        <v>113</v>
      </c>
      <c r="AE1078" t="s">
        <v>120</v>
      </c>
      <c r="AG1078" t="s">
        <v>121</v>
      </c>
    </row>
    <row r="1079" spans="1:33" x14ac:dyDescent="0.25">
      <c r="A1079" t="str">
        <f>"1750389797"</f>
        <v>1750389797</v>
      </c>
      <c r="B1079" t="str">
        <f>"01861238"</f>
        <v>01861238</v>
      </c>
      <c r="C1079" t="s">
        <v>6489</v>
      </c>
      <c r="D1079" t="s">
        <v>6490</v>
      </c>
      <c r="E1079" t="s">
        <v>6491</v>
      </c>
      <c r="G1079" t="s">
        <v>1393</v>
      </c>
      <c r="H1079" t="s">
        <v>6492</v>
      </c>
      <c r="J1079" t="s">
        <v>1395</v>
      </c>
      <c r="L1079" t="s">
        <v>150</v>
      </c>
      <c r="M1079" t="s">
        <v>113</v>
      </c>
      <c r="R1079" t="s">
        <v>6493</v>
      </c>
      <c r="W1079" t="s">
        <v>6491</v>
      </c>
      <c r="X1079" t="s">
        <v>6494</v>
      </c>
      <c r="Y1079" t="s">
        <v>847</v>
      </c>
      <c r="Z1079" t="s">
        <v>117</v>
      </c>
      <c r="AA1079" t="str">
        <f>"14569-1015"</f>
        <v>14569-1015</v>
      </c>
      <c r="AB1079" t="s">
        <v>118</v>
      </c>
      <c r="AC1079" t="s">
        <v>119</v>
      </c>
      <c r="AD1079" t="s">
        <v>113</v>
      </c>
      <c r="AE1079" t="s">
        <v>120</v>
      </c>
      <c r="AG1079" t="s">
        <v>121</v>
      </c>
    </row>
    <row r="1080" spans="1:33" x14ac:dyDescent="0.25">
      <c r="A1080" t="str">
        <f>"1750395745"</f>
        <v>1750395745</v>
      </c>
      <c r="B1080" t="str">
        <f>"02911860"</f>
        <v>02911860</v>
      </c>
      <c r="C1080" t="s">
        <v>6495</v>
      </c>
      <c r="D1080" t="s">
        <v>6496</v>
      </c>
      <c r="E1080" t="s">
        <v>6497</v>
      </c>
      <c r="G1080" t="s">
        <v>6498</v>
      </c>
      <c r="H1080" t="s">
        <v>6499</v>
      </c>
      <c r="J1080" t="s">
        <v>1387</v>
      </c>
      <c r="L1080" t="s">
        <v>142</v>
      </c>
      <c r="M1080" t="s">
        <v>113</v>
      </c>
      <c r="R1080" t="s">
        <v>6500</v>
      </c>
      <c r="W1080" t="s">
        <v>6497</v>
      </c>
      <c r="X1080" t="s">
        <v>709</v>
      </c>
      <c r="Y1080" t="s">
        <v>116</v>
      </c>
      <c r="Z1080" t="s">
        <v>117</v>
      </c>
      <c r="AA1080" t="str">
        <f>"14263-0001"</f>
        <v>14263-0001</v>
      </c>
      <c r="AB1080" t="s">
        <v>118</v>
      </c>
      <c r="AC1080" t="s">
        <v>119</v>
      </c>
      <c r="AD1080" t="s">
        <v>113</v>
      </c>
      <c r="AE1080" t="s">
        <v>120</v>
      </c>
      <c r="AG1080" t="s">
        <v>121</v>
      </c>
    </row>
    <row r="1081" spans="1:33" x14ac:dyDescent="0.25">
      <c r="A1081" t="str">
        <f>"1497828461"</f>
        <v>1497828461</v>
      </c>
      <c r="B1081" t="str">
        <f>"00671807"</f>
        <v>00671807</v>
      </c>
      <c r="C1081" t="s">
        <v>6501</v>
      </c>
      <c r="D1081" t="s">
        <v>6502</v>
      </c>
      <c r="E1081" t="s">
        <v>6501</v>
      </c>
      <c r="G1081" t="s">
        <v>6503</v>
      </c>
      <c r="H1081" t="s">
        <v>6504</v>
      </c>
      <c r="J1081" t="s">
        <v>6505</v>
      </c>
      <c r="L1081" t="s">
        <v>1714</v>
      </c>
      <c r="M1081" t="s">
        <v>199</v>
      </c>
      <c r="R1081" t="s">
        <v>6501</v>
      </c>
      <c r="W1081" t="s">
        <v>6501</v>
      </c>
      <c r="X1081" t="s">
        <v>6506</v>
      </c>
      <c r="Y1081" t="s">
        <v>1562</v>
      </c>
      <c r="Z1081" t="s">
        <v>117</v>
      </c>
      <c r="AA1081" t="str">
        <f>"14047-9670"</f>
        <v>14047-9670</v>
      </c>
      <c r="AB1081" t="s">
        <v>1146</v>
      </c>
      <c r="AC1081" t="s">
        <v>119</v>
      </c>
      <c r="AD1081" t="s">
        <v>113</v>
      </c>
      <c r="AE1081" t="s">
        <v>120</v>
      </c>
      <c r="AG1081" t="s">
        <v>121</v>
      </c>
    </row>
    <row r="1082" spans="1:33" x14ac:dyDescent="0.25">
      <c r="A1082" t="str">
        <f>"1619098589"</f>
        <v>1619098589</v>
      </c>
      <c r="C1082" t="s">
        <v>6507</v>
      </c>
      <c r="G1082" t="s">
        <v>6508</v>
      </c>
      <c r="H1082" t="s">
        <v>590</v>
      </c>
      <c r="J1082" t="s">
        <v>6509</v>
      </c>
      <c r="K1082" t="s">
        <v>303</v>
      </c>
      <c r="L1082" t="s">
        <v>112</v>
      </c>
      <c r="M1082" t="s">
        <v>113</v>
      </c>
      <c r="R1082" t="s">
        <v>6510</v>
      </c>
      <c r="S1082" t="s">
        <v>626</v>
      </c>
      <c r="T1082" t="s">
        <v>116</v>
      </c>
      <c r="U1082" t="s">
        <v>117</v>
      </c>
      <c r="V1082" t="str">
        <f>"142102324"</f>
        <v>142102324</v>
      </c>
      <c r="AC1082" t="s">
        <v>119</v>
      </c>
      <c r="AD1082" t="s">
        <v>113</v>
      </c>
      <c r="AE1082" t="s">
        <v>306</v>
      </c>
      <c r="AG1082" t="s">
        <v>121</v>
      </c>
    </row>
    <row r="1083" spans="1:33" x14ac:dyDescent="0.25">
      <c r="A1083" t="str">
        <f>"1619103710"</f>
        <v>1619103710</v>
      </c>
      <c r="C1083" t="s">
        <v>6511</v>
      </c>
      <c r="G1083" t="s">
        <v>6512</v>
      </c>
      <c r="H1083" t="s">
        <v>6513</v>
      </c>
      <c r="J1083" t="s">
        <v>6514</v>
      </c>
      <c r="K1083" t="s">
        <v>303</v>
      </c>
      <c r="L1083" t="s">
        <v>229</v>
      </c>
      <c r="M1083" t="s">
        <v>113</v>
      </c>
      <c r="R1083" t="s">
        <v>6515</v>
      </c>
      <c r="S1083" t="s">
        <v>6516</v>
      </c>
      <c r="T1083" t="s">
        <v>847</v>
      </c>
      <c r="U1083" t="s">
        <v>117</v>
      </c>
      <c r="V1083" t="str">
        <f>"145691017"</f>
        <v>145691017</v>
      </c>
      <c r="AC1083" t="s">
        <v>119</v>
      </c>
      <c r="AD1083" t="s">
        <v>113</v>
      </c>
      <c r="AE1083" t="s">
        <v>306</v>
      </c>
      <c r="AG1083" t="s">
        <v>121</v>
      </c>
    </row>
    <row r="1084" spans="1:33" x14ac:dyDescent="0.25">
      <c r="A1084" t="str">
        <f>"1619110210"</f>
        <v>1619110210</v>
      </c>
      <c r="B1084" t="str">
        <f>"03494373"</f>
        <v>03494373</v>
      </c>
      <c r="C1084" t="s">
        <v>6517</v>
      </c>
      <c r="D1084" t="s">
        <v>6518</v>
      </c>
      <c r="E1084" t="s">
        <v>6519</v>
      </c>
      <c r="G1084" t="s">
        <v>6517</v>
      </c>
      <c r="H1084" t="s">
        <v>6520</v>
      </c>
      <c r="J1084" t="s">
        <v>6521</v>
      </c>
      <c r="L1084" t="s">
        <v>150</v>
      </c>
      <c r="M1084" t="s">
        <v>113</v>
      </c>
      <c r="R1084" t="s">
        <v>6522</v>
      </c>
      <c r="W1084" t="s">
        <v>6519</v>
      </c>
      <c r="X1084" t="s">
        <v>176</v>
      </c>
      <c r="Y1084" t="s">
        <v>116</v>
      </c>
      <c r="Z1084" t="s">
        <v>117</v>
      </c>
      <c r="AA1084" t="str">
        <f>"14203-1126"</f>
        <v>14203-1126</v>
      </c>
      <c r="AB1084" t="s">
        <v>118</v>
      </c>
      <c r="AC1084" t="s">
        <v>119</v>
      </c>
      <c r="AD1084" t="s">
        <v>113</v>
      </c>
      <c r="AE1084" t="s">
        <v>120</v>
      </c>
      <c r="AG1084" t="s">
        <v>121</v>
      </c>
    </row>
    <row r="1085" spans="1:33" x14ac:dyDescent="0.25">
      <c r="A1085" t="str">
        <f>"1619132651"</f>
        <v>1619132651</v>
      </c>
      <c r="B1085" t="str">
        <f>"03572983"</f>
        <v>03572983</v>
      </c>
      <c r="C1085" t="s">
        <v>6523</v>
      </c>
      <c r="D1085" t="s">
        <v>6524</v>
      </c>
      <c r="E1085" t="s">
        <v>6525</v>
      </c>
      <c r="G1085" t="s">
        <v>6523</v>
      </c>
      <c r="J1085" t="s">
        <v>6526</v>
      </c>
      <c r="L1085" t="s">
        <v>112</v>
      </c>
      <c r="M1085" t="s">
        <v>113</v>
      </c>
      <c r="R1085" t="s">
        <v>6527</v>
      </c>
      <c r="W1085" t="s">
        <v>6527</v>
      </c>
      <c r="X1085" t="s">
        <v>176</v>
      </c>
      <c r="Y1085" t="s">
        <v>116</v>
      </c>
      <c r="Z1085" t="s">
        <v>117</v>
      </c>
      <c r="AA1085" t="str">
        <f>"14203-1126"</f>
        <v>14203-1126</v>
      </c>
      <c r="AB1085" t="s">
        <v>118</v>
      </c>
      <c r="AC1085" t="s">
        <v>119</v>
      </c>
      <c r="AD1085" t="s">
        <v>113</v>
      </c>
      <c r="AE1085" t="s">
        <v>120</v>
      </c>
      <c r="AG1085" t="s">
        <v>121</v>
      </c>
    </row>
    <row r="1086" spans="1:33" x14ac:dyDescent="0.25">
      <c r="A1086" t="str">
        <f>"1619133436"</f>
        <v>1619133436</v>
      </c>
      <c r="B1086" t="str">
        <f>"03512925"</f>
        <v>03512925</v>
      </c>
      <c r="C1086" t="s">
        <v>6528</v>
      </c>
      <c r="D1086" t="s">
        <v>6529</v>
      </c>
      <c r="E1086" t="s">
        <v>6530</v>
      </c>
      <c r="G1086" t="s">
        <v>6528</v>
      </c>
      <c r="H1086" t="s">
        <v>6531</v>
      </c>
      <c r="J1086" t="s">
        <v>6532</v>
      </c>
      <c r="L1086" t="s">
        <v>112</v>
      </c>
      <c r="M1086" t="s">
        <v>113</v>
      </c>
      <c r="R1086" t="s">
        <v>6533</v>
      </c>
      <c r="W1086" t="s">
        <v>6530</v>
      </c>
      <c r="X1086" t="s">
        <v>253</v>
      </c>
      <c r="Y1086" t="s">
        <v>116</v>
      </c>
      <c r="Z1086" t="s">
        <v>117</v>
      </c>
      <c r="AA1086" t="str">
        <f>"14215-3021"</f>
        <v>14215-3021</v>
      </c>
      <c r="AB1086" t="s">
        <v>118</v>
      </c>
      <c r="AC1086" t="s">
        <v>119</v>
      </c>
      <c r="AD1086" t="s">
        <v>113</v>
      </c>
      <c r="AE1086" t="s">
        <v>120</v>
      </c>
      <c r="AG1086" t="s">
        <v>121</v>
      </c>
    </row>
    <row r="1087" spans="1:33" x14ac:dyDescent="0.25">
      <c r="A1087" t="str">
        <f>"1619157609"</f>
        <v>1619157609</v>
      </c>
      <c r="B1087" t="str">
        <f>"04272524"</f>
        <v>04272524</v>
      </c>
      <c r="C1087" t="s">
        <v>6534</v>
      </c>
      <c r="D1087" t="s">
        <v>6535</v>
      </c>
      <c r="E1087" t="s">
        <v>6536</v>
      </c>
      <c r="G1087" t="s">
        <v>6534</v>
      </c>
      <c r="H1087" t="s">
        <v>227</v>
      </c>
      <c r="J1087" t="s">
        <v>6537</v>
      </c>
      <c r="L1087" t="s">
        <v>112</v>
      </c>
      <c r="M1087" t="s">
        <v>113</v>
      </c>
      <c r="R1087" t="s">
        <v>6538</v>
      </c>
      <c r="W1087" t="s">
        <v>6536</v>
      </c>
      <c r="X1087" t="s">
        <v>6539</v>
      </c>
      <c r="Y1087" t="s">
        <v>6540</v>
      </c>
      <c r="Z1087" t="s">
        <v>117</v>
      </c>
      <c r="AA1087" t="str">
        <f>"12208"</f>
        <v>12208</v>
      </c>
      <c r="AB1087" t="s">
        <v>118</v>
      </c>
      <c r="AC1087" t="s">
        <v>119</v>
      </c>
      <c r="AD1087" t="s">
        <v>113</v>
      </c>
      <c r="AE1087" t="s">
        <v>120</v>
      </c>
      <c r="AG1087" t="s">
        <v>121</v>
      </c>
    </row>
    <row r="1088" spans="1:33" x14ac:dyDescent="0.25">
      <c r="A1088" t="str">
        <f>"1619170354"</f>
        <v>1619170354</v>
      </c>
      <c r="B1088" t="str">
        <f>"02893378"</f>
        <v>02893378</v>
      </c>
      <c r="C1088" t="s">
        <v>6541</v>
      </c>
      <c r="D1088" t="s">
        <v>6542</v>
      </c>
      <c r="E1088" t="s">
        <v>6543</v>
      </c>
      <c r="G1088" t="s">
        <v>6541</v>
      </c>
      <c r="H1088" t="s">
        <v>667</v>
      </c>
      <c r="J1088" t="s">
        <v>6544</v>
      </c>
      <c r="L1088" t="s">
        <v>142</v>
      </c>
      <c r="M1088" t="s">
        <v>113</v>
      </c>
      <c r="R1088" t="s">
        <v>6545</v>
      </c>
      <c r="W1088" t="s">
        <v>6546</v>
      </c>
      <c r="X1088" t="s">
        <v>670</v>
      </c>
      <c r="Y1088" t="s">
        <v>326</v>
      </c>
      <c r="Z1088" t="s">
        <v>117</v>
      </c>
      <c r="AA1088" t="str">
        <f>"14127-1231"</f>
        <v>14127-1231</v>
      </c>
      <c r="AB1088" t="s">
        <v>118</v>
      </c>
      <c r="AC1088" t="s">
        <v>119</v>
      </c>
      <c r="AD1088" t="s">
        <v>113</v>
      </c>
      <c r="AE1088" t="s">
        <v>120</v>
      </c>
      <c r="AG1088" t="s">
        <v>121</v>
      </c>
    </row>
    <row r="1089" spans="1:33" x14ac:dyDescent="0.25">
      <c r="A1089" t="str">
        <f>"1619191855"</f>
        <v>1619191855</v>
      </c>
      <c r="B1089" t="str">
        <f>"03009863"</f>
        <v>03009863</v>
      </c>
      <c r="C1089" t="s">
        <v>6547</v>
      </c>
      <c r="D1089" t="s">
        <v>6548</v>
      </c>
      <c r="E1089" t="s">
        <v>6549</v>
      </c>
      <c r="H1089" t="s">
        <v>1456</v>
      </c>
      <c r="J1089" t="s">
        <v>1457</v>
      </c>
      <c r="L1089" t="s">
        <v>13</v>
      </c>
      <c r="M1089" t="s">
        <v>199</v>
      </c>
      <c r="R1089" t="s">
        <v>6550</v>
      </c>
      <c r="W1089" t="s">
        <v>6549</v>
      </c>
      <c r="X1089" t="s">
        <v>6551</v>
      </c>
      <c r="Y1089" t="s">
        <v>1545</v>
      </c>
      <c r="Z1089" t="s">
        <v>117</v>
      </c>
      <c r="AA1089" t="str">
        <f>"14218-1629"</f>
        <v>14218-1629</v>
      </c>
      <c r="AB1089" t="s">
        <v>1146</v>
      </c>
      <c r="AC1089" t="s">
        <v>119</v>
      </c>
      <c r="AD1089" t="s">
        <v>113</v>
      </c>
      <c r="AE1089" t="s">
        <v>120</v>
      </c>
      <c r="AG1089" t="s">
        <v>121</v>
      </c>
    </row>
    <row r="1090" spans="1:33" x14ac:dyDescent="0.25">
      <c r="A1090" t="str">
        <f>"1619253630"</f>
        <v>1619253630</v>
      </c>
      <c r="B1090" t="str">
        <f>"03449007"</f>
        <v>03449007</v>
      </c>
      <c r="C1090" t="s">
        <v>6552</v>
      </c>
      <c r="D1090" t="s">
        <v>6553</v>
      </c>
      <c r="E1090" t="s">
        <v>6554</v>
      </c>
      <c r="G1090" t="s">
        <v>6552</v>
      </c>
      <c r="H1090" t="s">
        <v>1006</v>
      </c>
      <c r="J1090" t="s">
        <v>6555</v>
      </c>
      <c r="L1090" t="s">
        <v>112</v>
      </c>
      <c r="M1090" t="s">
        <v>113</v>
      </c>
      <c r="R1090" t="s">
        <v>6556</v>
      </c>
      <c r="W1090" t="s">
        <v>6557</v>
      </c>
      <c r="X1090" t="s">
        <v>6558</v>
      </c>
      <c r="Y1090" t="s">
        <v>153</v>
      </c>
      <c r="Z1090" t="s">
        <v>117</v>
      </c>
      <c r="AA1090" t="str">
        <f>"14304-2875"</f>
        <v>14304-2875</v>
      </c>
      <c r="AB1090" t="s">
        <v>118</v>
      </c>
      <c r="AC1090" t="s">
        <v>119</v>
      </c>
      <c r="AD1090" t="s">
        <v>113</v>
      </c>
      <c r="AE1090" t="s">
        <v>120</v>
      </c>
      <c r="AG1090" t="s">
        <v>121</v>
      </c>
    </row>
    <row r="1091" spans="1:33" x14ac:dyDescent="0.25">
      <c r="A1091" t="str">
        <f>"1417261850"</f>
        <v>1417261850</v>
      </c>
      <c r="C1091" t="s">
        <v>6559</v>
      </c>
      <c r="G1091" t="s">
        <v>6560</v>
      </c>
      <c r="J1091" t="s">
        <v>352</v>
      </c>
      <c r="K1091" t="s">
        <v>303</v>
      </c>
      <c r="L1091" t="s">
        <v>229</v>
      </c>
      <c r="M1091" t="s">
        <v>113</v>
      </c>
      <c r="R1091" t="s">
        <v>6561</v>
      </c>
      <c r="S1091" t="s">
        <v>6562</v>
      </c>
      <c r="T1091" t="s">
        <v>116</v>
      </c>
      <c r="U1091" t="s">
        <v>117</v>
      </c>
      <c r="V1091" t="str">
        <f>"142141804"</f>
        <v>142141804</v>
      </c>
      <c r="AC1091" t="s">
        <v>119</v>
      </c>
      <c r="AD1091" t="s">
        <v>113</v>
      </c>
      <c r="AE1091" t="s">
        <v>306</v>
      </c>
      <c r="AG1091" t="s">
        <v>121</v>
      </c>
    </row>
    <row r="1092" spans="1:33" x14ac:dyDescent="0.25">
      <c r="A1092" t="str">
        <f>"1417292020"</f>
        <v>1417292020</v>
      </c>
      <c r="B1092" t="str">
        <f>"03575940"</f>
        <v>03575940</v>
      </c>
      <c r="C1092" t="s">
        <v>6563</v>
      </c>
      <c r="D1092" t="s">
        <v>6564</v>
      </c>
      <c r="E1092" t="s">
        <v>6565</v>
      </c>
      <c r="G1092" t="s">
        <v>6566</v>
      </c>
      <c r="H1092" t="s">
        <v>6567</v>
      </c>
      <c r="J1092" t="s">
        <v>6568</v>
      </c>
      <c r="L1092" t="s">
        <v>69</v>
      </c>
      <c r="M1092" t="s">
        <v>113</v>
      </c>
      <c r="R1092" t="s">
        <v>6563</v>
      </c>
      <c r="W1092" t="s">
        <v>6565</v>
      </c>
      <c r="X1092" t="s">
        <v>6569</v>
      </c>
      <c r="Y1092" t="s">
        <v>663</v>
      </c>
      <c r="Z1092" t="s">
        <v>117</v>
      </c>
      <c r="AA1092" t="str">
        <f>"14094-1854"</f>
        <v>14094-1854</v>
      </c>
      <c r="AB1092" t="s">
        <v>1146</v>
      </c>
      <c r="AC1092" t="s">
        <v>119</v>
      </c>
      <c r="AD1092" t="s">
        <v>113</v>
      </c>
      <c r="AE1092" t="s">
        <v>120</v>
      </c>
      <c r="AG1092" t="s">
        <v>121</v>
      </c>
    </row>
    <row r="1093" spans="1:33" x14ac:dyDescent="0.25">
      <c r="A1093" t="str">
        <f>"1417358698"</f>
        <v>1417358698</v>
      </c>
      <c r="C1093" t="s">
        <v>6570</v>
      </c>
      <c r="G1093" t="s">
        <v>6571</v>
      </c>
      <c r="H1093" t="s">
        <v>590</v>
      </c>
      <c r="J1093" t="s">
        <v>6572</v>
      </c>
      <c r="K1093" t="s">
        <v>303</v>
      </c>
      <c r="L1093" t="s">
        <v>229</v>
      </c>
      <c r="M1093" t="s">
        <v>113</v>
      </c>
      <c r="R1093" t="s">
        <v>6573</v>
      </c>
      <c r="S1093" t="s">
        <v>651</v>
      </c>
      <c r="T1093" t="s">
        <v>116</v>
      </c>
      <c r="U1093" t="s">
        <v>117</v>
      </c>
      <c r="V1093" t="str">
        <f>"142091912"</f>
        <v>142091912</v>
      </c>
      <c r="AC1093" t="s">
        <v>119</v>
      </c>
      <c r="AD1093" t="s">
        <v>113</v>
      </c>
      <c r="AE1093" t="s">
        <v>306</v>
      </c>
      <c r="AG1093" t="s">
        <v>121</v>
      </c>
    </row>
    <row r="1094" spans="1:33" x14ac:dyDescent="0.25">
      <c r="A1094" t="str">
        <f>"1417359316"</f>
        <v>1417359316</v>
      </c>
      <c r="C1094" t="s">
        <v>6574</v>
      </c>
      <c r="G1094" t="s">
        <v>6574</v>
      </c>
      <c r="H1094" t="s">
        <v>6575</v>
      </c>
      <c r="J1094" t="s">
        <v>438</v>
      </c>
      <c r="K1094" t="s">
        <v>303</v>
      </c>
      <c r="L1094" t="s">
        <v>229</v>
      </c>
      <c r="M1094" t="s">
        <v>113</v>
      </c>
      <c r="R1094" t="s">
        <v>6576</v>
      </c>
      <c r="S1094" t="s">
        <v>6577</v>
      </c>
      <c r="T1094" t="s">
        <v>116</v>
      </c>
      <c r="U1094" t="s">
        <v>117</v>
      </c>
      <c r="V1094" t="str">
        <f>"142121845"</f>
        <v>142121845</v>
      </c>
      <c r="AC1094" t="s">
        <v>119</v>
      </c>
      <c r="AD1094" t="s">
        <v>113</v>
      </c>
      <c r="AE1094" t="s">
        <v>306</v>
      </c>
      <c r="AG1094" t="s">
        <v>121</v>
      </c>
    </row>
    <row r="1095" spans="1:33" x14ac:dyDescent="0.25">
      <c r="A1095" t="str">
        <f>"1417381443"</f>
        <v>1417381443</v>
      </c>
      <c r="C1095" t="s">
        <v>6578</v>
      </c>
      <c r="G1095" t="s">
        <v>6579</v>
      </c>
      <c r="H1095" t="s">
        <v>351</v>
      </c>
      <c r="J1095" t="s">
        <v>352</v>
      </c>
      <c r="K1095" t="s">
        <v>303</v>
      </c>
      <c r="L1095" t="s">
        <v>112</v>
      </c>
      <c r="M1095" t="s">
        <v>113</v>
      </c>
      <c r="R1095" t="s">
        <v>6580</v>
      </c>
      <c r="S1095" t="s">
        <v>354</v>
      </c>
      <c r="T1095" t="s">
        <v>116</v>
      </c>
      <c r="U1095" t="s">
        <v>117</v>
      </c>
      <c r="V1095" t="str">
        <f>"142152814"</f>
        <v>142152814</v>
      </c>
      <c r="AC1095" t="s">
        <v>119</v>
      </c>
      <c r="AD1095" t="s">
        <v>113</v>
      </c>
      <c r="AE1095" t="s">
        <v>306</v>
      </c>
      <c r="AG1095" t="s">
        <v>121</v>
      </c>
    </row>
    <row r="1096" spans="1:33" x14ac:dyDescent="0.25">
      <c r="A1096" t="str">
        <f>"1417391376"</f>
        <v>1417391376</v>
      </c>
      <c r="C1096" t="s">
        <v>6581</v>
      </c>
      <c r="G1096" t="s">
        <v>6582</v>
      </c>
      <c r="H1096" t="s">
        <v>1115</v>
      </c>
      <c r="J1096" t="s">
        <v>438</v>
      </c>
      <c r="K1096" t="s">
        <v>303</v>
      </c>
      <c r="L1096" t="s">
        <v>112</v>
      </c>
      <c r="M1096" t="s">
        <v>113</v>
      </c>
      <c r="R1096" t="s">
        <v>6583</v>
      </c>
      <c r="S1096" t="s">
        <v>1994</v>
      </c>
      <c r="T1096" t="s">
        <v>116</v>
      </c>
      <c r="U1096" t="s">
        <v>117</v>
      </c>
      <c r="V1096" t="str">
        <f>"142041811"</f>
        <v>142041811</v>
      </c>
      <c r="AC1096" t="s">
        <v>119</v>
      </c>
      <c r="AD1096" t="s">
        <v>113</v>
      </c>
      <c r="AE1096" t="s">
        <v>306</v>
      </c>
      <c r="AG1096" t="s">
        <v>121</v>
      </c>
    </row>
    <row r="1097" spans="1:33" x14ac:dyDescent="0.25">
      <c r="A1097" t="str">
        <f>"1417399593"</f>
        <v>1417399593</v>
      </c>
      <c r="C1097" t="s">
        <v>6584</v>
      </c>
      <c r="G1097" t="s">
        <v>6585</v>
      </c>
      <c r="H1097" t="s">
        <v>6586</v>
      </c>
      <c r="J1097" t="s">
        <v>438</v>
      </c>
      <c r="K1097" t="s">
        <v>303</v>
      </c>
      <c r="L1097" t="s">
        <v>112</v>
      </c>
      <c r="M1097" t="s">
        <v>113</v>
      </c>
      <c r="R1097" t="s">
        <v>6587</v>
      </c>
      <c r="S1097" t="s">
        <v>1117</v>
      </c>
      <c r="T1097" t="s">
        <v>318</v>
      </c>
      <c r="U1097" t="s">
        <v>117</v>
      </c>
      <c r="V1097" t="str">
        <f>"142254965"</f>
        <v>142254965</v>
      </c>
      <c r="AC1097" t="s">
        <v>119</v>
      </c>
      <c r="AD1097" t="s">
        <v>113</v>
      </c>
      <c r="AE1097" t="s">
        <v>306</v>
      </c>
      <c r="AG1097" t="s">
        <v>121</v>
      </c>
    </row>
    <row r="1098" spans="1:33" x14ac:dyDescent="0.25">
      <c r="A1098" t="str">
        <f>"1417902479"</f>
        <v>1417902479</v>
      </c>
      <c r="B1098" t="str">
        <f>"02511291"</f>
        <v>02511291</v>
      </c>
      <c r="C1098" t="s">
        <v>6588</v>
      </c>
      <c r="D1098" t="s">
        <v>6589</v>
      </c>
      <c r="E1098" t="s">
        <v>6590</v>
      </c>
      <c r="G1098" t="s">
        <v>6588</v>
      </c>
      <c r="H1098" t="s">
        <v>707</v>
      </c>
      <c r="J1098" t="s">
        <v>6591</v>
      </c>
      <c r="L1098" t="s">
        <v>142</v>
      </c>
      <c r="M1098" t="s">
        <v>113</v>
      </c>
      <c r="R1098" t="s">
        <v>6592</v>
      </c>
      <c r="W1098" t="s">
        <v>6593</v>
      </c>
      <c r="X1098" t="s">
        <v>709</v>
      </c>
      <c r="Y1098" t="s">
        <v>116</v>
      </c>
      <c r="Z1098" t="s">
        <v>117</v>
      </c>
      <c r="AA1098" t="str">
        <f>"14263-0001"</f>
        <v>14263-0001</v>
      </c>
      <c r="AB1098" t="s">
        <v>118</v>
      </c>
      <c r="AC1098" t="s">
        <v>119</v>
      </c>
      <c r="AD1098" t="s">
        <v>113</v>
      </c>
      <c r="AE1098" t="s">
        <v>120</v>
      </c>
      <c r="AG1098" t="s">
        <v>121</v>
      </c>
    </row>
    <row r="1099" spans="1:33" x14ac:dyDescent="0.25">
      <c r="A1099" t="str">
        <f>"1417905894"</f>
        <v>1417905894</v>
      </c>
      <c r="B1099" t="str">
        <f>"01495330"</f>
        <v>01495330</v>
      </c>
      <c r="C1099" t="s">
        <v>6594</v>
      </c>
      <c r="D1099" t="s">
        <v>6595</v>
      </c>
      <c r="E1099" t="s">
        <v>6596</v>
      </c>
      <c r="G1099" t="s">
        <v>6594</v>
      </c>
      <c r="H1099" t="s">
        <v>6597</v>
      </c>
      <c r="J1099" t="s">
        <v>6598</v>
      </c>
      <c r="L1099" t="s">
        <v>150</v>
      </c>
      <c r="M1099" t="s">
        <v>199</v>
      </c>
      <c r="R1099" t="s">
        <v>6599</v>
      </c>
      <c r="W1099" t="s">
        <v>6600</v>
      </c>
      <c r="X1099" t="s">
        <v>6601</v>
      </c>
      <c r="Y1099" t="s">
        <v>240</v>
      </c>
      <c r="Z1099" t="s">
        <v>117</v>
      </c>
      <c r="AA1099" t="str">
        <f>"14221-1200"</f>
        <v>14221-1200</v>
      </c>
      <c r="AB1099" t="s">
        <v>118</v>
      </c>
      <c r="AC1099" t="s">
        <v>119</v>
      </c>
      <c r="AD1099" t="s">
        <v>113</v>
      </c>
      <c r="AE1099" t="s">
        <v>120</v>
      </c>
      <c r="AG1099" t="s">
        <v>121</v>
      </c>
    </row>
    <row r="1100" spans="1:33" x14ac:dyDescent="0.25">
      <c r="A1100" t="str">
        <f>"1417913096"</f>
        <v>1417913096</v>
      </c>
      <c r="B1100" t="str">
        <f>"02344723"</f>
        <v>02344723</v>
      </c>
      <c r="C1100" t="s">
        <v>6602</v>
      </c>
      <c r="D1100" t="s">
        <v>6603</v>
      </c>
      <c r="E1100" t="s">
        <v>6604</v>
      </c>
      <c r="G1100" t="s">
        <v>6602</v>
      </c>
      <c r="H1100" t="s">
        <v>213</v>
      </c>
      <c r="J1100" t="s">
        <v>6605</v>
      </c>
      <c r="L1100" t="s">
        <v>142</v>
      </c>
      <c r="M1100" t="s">
        <v>113</v>
      </c>
      <c r="R1100" t="s">
        <v>6606</v>
      </c>
      <c r="W1100" t="s">
        <v>6604</v>
      </c>
      <c r="X1100" t="s">
        <v>216</v>
      </c>
      <c r="Y1100" t="s">
        <v>116</v>
      </c>
      <c r="Z1100" t="s">
        <v>117</v>
      </c>
      <c r="AA1100" t="str">
        <f>"14222-2006"</f>
        <v>14222-2006</v>
      </c>
      <c r="AB1100" t="s">
        <v>118</v>
      </c>
      <c r="AC1100" t="s">
        <v>119</v>
      </c>
      <c r="AD1100" t="s">
        <v>113</v>
      </c>
      <c r="AE1100" t="s">
        <v>120</v>
      </c>
      <c r="AG1100" t="s">
        <v>121</v>
      </c>
    </row>
    <row r="1101" spans="1:33" x14ac:dyDescent="0.25">
      <c r="A1101" t="str">
        <f>"1417914169"</f>
        <v>1417914169</v>
      </c>
      <c r="B1101" t="str">
        <f>"03312663"</f>
        <v>03312663</v>
      </c>
      <c r="C1101" t="s">
        <v>6607</v>
      </c>
      <c r="D1101" t="s">
        <v>6608</v>
      </c>
      <c r="E1101" t="s">
        <v>6609</v>
      </c>
      <c r="G1101" t="s">
        <v>6607</v>
      </c>
      <c r="H1101" t="s">
        <v>227</v>
      </c>
      <c r="J1101" t="s">
        <v>6610</v>
      </c>
      <c r="L1101" t="s">
        <v>142</v>
      </c>
      <c r="M1101" t="s">
        <v>113</v>
      </c>
      <c r="R1101" t="s">
        <v>6611</v>
      </c>
      <c r="W1101" t="s">
        <v>6609</v>
      </c>
      <c r="X1101" t="s">
        <v>2317</v>
      </c>
      <c r="Y1101" t="s">
        <v>2318</v>
      </c>
      <c r="Z1101" t="s">
        <v>117</v>
      </c>
      <c r="AA1101" t="str">
        <f>"11706-8408"</f>
        <v>11706-8408</v>
      </c>
      <c r="AB1101" t="s">
        <v>118</v>
      </c>
      <c r="AC1101" t="s">
        <v>119</v>
      </c>
      <c r="AD1101" t="s">
        <v>113</v>
      </c>
      <c r="AE1101" t="s">
        <v>120</v>
      </c>
      <c r="AG1101" t="s">
        <v>121</v>
      </c>
    </row>
    <row r="1102" spans="1:33" x14ac:dyDescent="0.25">
      <c r="A1102" t="str">
        <f>"1417919424"</f>
        <v>1417919424</v>
      </c>
      <c r="B1102" t="str">
        <f>"00784767"</f>
        <v>00784767</v>
      </c>
      <c r="C1102" t="s">
        <v>6612</v>
      </c>
      <c r="D1102" t="s">
        <v>6613</v>
      </c>
      <c r="E1102" t="s">
        <v>6614</v>
      </c>
      <c r="G1102" t="s">
        <v>6612</v>
      </c>
      <c r="H1102" t="s">
        <v>6615</v>
      </c>
      <c r="J1102" t="s">
        <v>6616</v>
      </c>
      <c r="L1102" t="s">
        <v>142</v>
      </c>
      <c r="M1102" t="s">
        <v>113</v>
      </c>
      <c r="R1102" t="s">
        <v>6617</v>
      </c>
      <c r="W1102" t="s">
        <v>6614</v>
      </c>
      <c r="X1102" t="s">
        <v>6618</v>
      </c>
      <c r="Y1102" t="s">
        <v>129</v>
      </c>
      <c r="Z1102" t="s">
        <v>117</v>
      </c>
      <c r="AA1102" t="str">
        <f>"14224-2218"</f>
        <v>14224-2218</v>
      </c>
      <c r="AB1102" t="s">
        <v>1755</v>
      </c>
      <c r="AC1102" t="s">
        <v>119</v>
      </c>
      <c r="AD1102" t="s">
        <v>113</v>
      </c>
      <c r="AE1102" t="s">
        <v>120</v>
      </c>
      <c r="AG1102" t="s">
        <v>121</v>
      </c>
    </row>
    <row r="1103" spans="1:33" x14ac:dyDescent="0.25">
      <c r="A1103" t="str">
        <f>"1417922154"</f>
        <v>1417922154</v>
      </c>
      <c r="B1103" t="str">
        <f>"00613525"</f>
        <v>00613525</v>
      </c>
      <c r="C1103" t="s">
        <v>6619</v>
      </c>
      <c r="D1103" t="s">
        <v>6620</v>
      </c>
      <c r="E1103" t="s">
        <v>6621</v>
      </c>
      <c r="G1103" t="s">
        <v>6619</v>
      </c>
      <c r="H1103" t="s">
        <v>6622</v>
      </c>
      <c r="J1103" t="s">
        <v>6623</v>
      </c>
      <c r="L1103" t="s">
        <v>150</v>
      </c>
      <c r="M1103" t="s">
        <v>113</v>
      </c>
      <c r="R1103" t="s">
        <v>6624</v>
      </c>
      <c r="W1103" t="s">
        <v>6625</v>
      </c>
      <c r="X1103" t="s">
        <v>6626</v>
      </c>
      <c r="Y1103" t="s">
        <v>116</v>
      </c>
      <c r="Z1103" t="s">
        <v>117</v>
      </c>
      <c r="AA1103" t="str">
        <f>"14209-1118"</f>
        <v>14209-1118</v>
      </c>
      <c r="AB1103" t="s">
        <v>118</v>
      </c>
      <c r="AC1103" t="s">
        <v>119</v>
      </c>
      <c r="AD1103" t="s">
        <v>113</v>
      </c>
      <c r="AE1103" t="s">
        <v>120</v>
      </c>
      <c r="AG1103" t="s">
        <v>121</v>
      </c>
    </row>
    <row r="1104" spans="1:33" x14ac:dyDescent="0.25">
      <c r="A1104" t="str">
        <f>"1417929787"</f>
        <v>1417929787</v>
      </c>
      <c r="B1104" t="str">
        <f>"01314263"</f>
        <v>01314263</v>
      </c>
      <c r="C1104" t="s">
        <v>6627</v>
      </c>
      <c r="D1104" t="s">
        <v>6628</v>
      </c>
      <c r="E1104" t="s">
        <v>6629</v>
      </c>
      <c r="G1104" t="s">
        <v>6627</v>
      </c>
      <c r="H1104" t="s">
        <v>4189</v>
      </c>
      <c r="J1104" t="s">
        <v>6630</v>
      </c>
      <c r="L1104" t="s">
        <v>150</v>
      </c>
      <c r="M1104" t="s">
        <v>113</v>
      </c>
      <c r="R1104" t="s">
        <v>6631</v>
      </c>
      <c r="W1104" t="s">
        <v>6629</v>
      </c>
      <c r="X1104" t="s">
        <v>6632</v>
      </c>
      <c r="Y1104" t="s">
        <v>326</v>
      </c>
      <c r="Z1104" t="s">
        <v>117</v>
      </c>
      <c r="AA1104" t="str">
        <f>"14127-4116"</f>
        <v>14127-4116</v>
      </c>
      <c r="AB1104" t="s">
        <v>118</v>
      </c>
      <c r="AC1104" t="s">
        <v>119</v>
      </c>
      <c r="AD1104" t="s">
        <v>113</v>
      </c>
      <c r="AE1104" t="s">
        <v>120</v>
      </c>
      <c r="AG1104" t="s">
        <v>121</v>
      </c>
    </row>
    <row r="1105" spans="1:33" x14ac:dyDescent="0.25">
      <c r="A1105" t="str">
        <f>"1417933706"</f>
        <v>1417933706</v>
      </c>
      <c r="B1105" t="str">
        <f>"01123633"</f>
        <v>01123633</v>
      </c>
      <c r="C1105" t="s">
        <v>6633</v>
      </c>
      <c r="D1105" t="s">
        <v>6634</v>
      </c>
      <c r="E1105" t="s">
        <v>6635</v>
      </c>
      <c r="G1105" t="s">
        <v>6636</v>
      </c>
      <c r="H1105" t="s">
        <v>449</v>
      </c>
      <c r="J1105" t="s">
        <v>6637</v>
      </c>
      <c r="L1105" t="s">
        <v>142</v>
      </c>
      <c r="M1105" t="s">
        <v>113</v>
      </c>
      <c r="R1105" t="s">
        <v>6638</v>
      </c>
      <c r="W1105" t="s">
        <v>6635</v>
      </c>
      <c r="X1105" t="s">
        <v>2983</v>
      </c>
      <c r="Y1105" t="s">
        <v>318</v>
      </c>
      <c r="Z1105" t="s">
        <v>117</v>
      </c>
      <c r="AA1105" t="str">
        <f>"14225-4018"</f>
        <v>14225-4018</v>
      </c>
      <c r="AB1105" t="s">
        <v>118</v>
      </c>
      <c r="AC1105" t="s">
        <v>119</v>
      </c>
      <c r="AD1105" t="s">
        <v>113</v>
      </c>
      <c r="AE1105" t="s">
        <v>120</v>
      </c>
      <c r="AG1105" t="s">
        <v>121</v>
      </c>
    </row>
    <row r="1106" spans="1:33" x14ac:dyDescent="0.25">
      <c r="A1106" t="str">
        <f>"1417939802"</f>
        <v>1417939802</v>
      </c>
      <c r="B1106" t="str">
        <f>"01558621"</f>
        <v>01558621</v>
      </c>
      <c r="C1106" t="s">
        <v>6639</v>
      </c>
      <c r="D1106" t="s">
        <v>6640</v>
      </c>
      <c r="E1106" t="s">
        <v>6641</v>
      </c>
      <c r="G1106" t="s">
        <v>6639</v>
      </c>
      <c r="H1106" t="s">
        <v>6642</v>
      </c>
      <c r="J1106" t="s">
        <v>6643</v>
      </c>
      <c r="L1106" t="s">
        <v>142</v>
      </c>
      <c r="M1106" t="s">
        <v>113</v>
      </c>
      <c r="R1106" t="s">
        <v>6644</v>
      </c>
      <c r="W1106" t="s">
        <v>6645</v>
      </c>
      <c r="X1106" t="s">
        <v>6646</v>
      </c>
      <c r="Y1106" t="s">
        <v>116</v>
      </c>
      <c r="Z1106" t="s">
        <v>117</v>
      </c>
      <c r="AA1106" t="str">
        <f>"14216-2905"</f>
        <v>14216-2905</v>
      </c>
      <c r="AB1106" t="s">
        <v>118</v>
      </c>
      <c r="AC1106" t="s">
        <v>119</v>
      </c>
      <c r="AD1106" t="s">
        <v>113</v>
      </c>
      <c r="AE1106" t="s">
        <v>120</v>
      </c>
      <c r="AG1106" t="s">
        <v>121</v>
      </c>
    </row>
    <row r="1107" spans="1:33" x14ac:dyDescent="0.25">
      <c r="A1107" t="str">
        <f>"1538169875"</f>
        <v>1538169875</v>
      </c>
      <c r="B1107" t="str">
        <f>"01186516"</f>
        <v>01186516</v>
      </c>
      <c r="C1107" t="s">
        <v>6647</v>
      </c>
      <c r="D1107" t="s">
        <v>6648</v>
      </c>
      <c r="E1107" t="s">
        <v>6649</v>
      </c>
      <c r="G1107" t="s">
        <v>6647</v>
      </c>
      <c r="H1107" t="s">
        <v>1196</v>
      </c>
      <c r="J1107" t="s">
        <v>6650</v>
      </c>
      <c r="L1107" t="s">
        <v>142</v>
      </c>
      <c r="M1107" t="s">
        <v>113</v>
      </c>
      <c r="R1107" t="s">
        <v>6651</v>
      </c>
      <c r="W1107" t="s">
        <v>6649</v>
      </c>
      <c r="Y1107" t="s">
        <v>116</v>
      </c>
      <c r="Z1107" t="s">
        <v>117</v>
      </c>
      <c r="AA1107" t="str">
        <f>"14220-2095"</f>
        <v>14220-2095</v>
      </c>
      <c r="AB1107" t="s">
        <v>118</v>
      </c>
      <c r="AC1107" t="s">
        <v>119</v>
      </c>
      <c r="AD1107" t="s">
        <v>113</v>
      </c>
      <c r="AE1107" t="s">
        <v>120</v>
      </c>
      <c r="AG1107" t="s">
        <v>121</v>
      </c>
    </row>
    <row r="1108" spans="1:33" x14ac:dyDescent="0.25">
      <c r="A1108" t="str">
        <f>"1538177910"</f>
        <v>1538177910</v>
      </c>
      <c r="B1108" t="str">
        <f>"02693552"</f>
        <v>02693552</v>
      </c>
      <c r="C1108" t="s">
        <v>6652</v>
      </c>
      <c r="D1108" t="s">
        <v>6653</v>
      </c>
      <c r="E1108" t="s">
        <v>6654</v>
      </c>
      <c r="G1108" t="s">
        <v>6655</v>
      </c>
      <c r="H1108" t="s">
        <v>205</v>
      </c>
      <c r="J1108" t="s">
        <v>6656</v>
      </c>
      <c r="L1108" t="s">
        <v>112</v>
      </c>
      <c r="M1108" t="s">
        <v>113</v>
      </c>
      <c r="R1108" t="s">
        <v>6657</v>
      </c>
      <c r="W1108" t="s">
        <v>6657</v>
      </c>
      <c r="X1108" t="s">
        <v>2607</v>
      </c>
      <c r="Y1108" t="s">
        <v>116</v>
      </c>
      <c r="Z1108" t="s">
        <v>117</v>
      </c>
      <c r="AA1108" t="str">
        <f>"14203-1149"</f>
        <v>14203-1149</v>
      </c>
      <c r="AB1108" t="s">
        <v>118</v>
      </c>
      <c r="AC1108" t="s">
        <v>119</v>
      </c>
      <c r="AD1108" t="s">
        <v>113</v>
      </c>
      <c r="AE1108" t="s">
        <v>120</v>
      </c>
      <c r="AG1108" t="s">
        <v>121</v>
      </c>
    </row>
    <row r="1109" spans="1:33" x14ac:dyDescent="0.25">
      <c r="A1109" t="str">
        <f>"1568467090"</f>
        <v>1568467090</v>
      </c>
      <c r="B1109" t="str">
        <f>"00708672"</f>
        <v>00708672</v>
      </c>
      <c r="C1109" t="s">
        <v>6658</v>
      </c>
      <c r="D1109" t="s">
        <v>6659</v>
      </c>
      <c r="E1109" t="s">
        <v>6660</v>
      </c>
      <c r="G1109" t="s">
        <v>6658</v>
      </c>
      <c r="H1109" t="s">
        <v>3994</v>
      </c>
      <c r="J1109" t="s">
        <v>6661</v>
      </c>
      <c r="L1109" t="s">
        <v>150</v>
      </c>
      <c r="M1109" t="s">
        <v>113</v>
      </c>
      <c r="R1109" t="s">
        <v>6662</v>
      </c>
      <c r="W1109" t="s">
        <v>6663</v>
      </c>
      <c r="Y1109" t="s">
        <v>116</v>
      </c>
      <c r="Z1109" t="s">
        <v>117</v>
      </c>
      <c r="AA1109" t="str">
        <f>"14222-2099"</f>
        <v>14222-2099</v>
      </c>
      <c r="AB1109" t="s">
        <v>118</v>
      </c>
      <c r="AC1109" t="s">
        <v>119</v>
      </c>
      <c r="AD1109" t="s">
        <v>113</v>
      </c>
      <c r="AE1109" t="s">
        <v>120</v>
      </c>
      <c r="AG1109" t="s">
        <v>121</v>
      </c>
    </row>
    <row r="1110" spans="1:33" x14ac:dyDescent="0.25">
      <c r="A1110" t="str">
        <f>"1477822989"</f>
        <v>1477822989</v>
      </c>
      <c r="C1110" t="s">
        <v>6664</v>
      </c>
      <c r="G1110" t="s">
        <v>6665</v>
      </c>
      <c r="H1110" t="s">
        <v>351</v>
      </c>
      <c r="J1110" t="s">
        <v>352</v>
      </c>
      <c r="K1110" t="s">
        <v>303</v>
      </c>
      <c r="L1110" t="s">
        <v>229</v>
      </c>
      <c r="M1110" t="s">
        <v>113</v>
      </c>
      <c r="R1110" t="s">
        <v>6666</v>
      </c>
      <c r="S1110" t="s">
        <v>354</v>
      </c>
      <c r="T1110" t="s">
        <v>116</v>
      </c>
      <c r="U1110" t="s">
        <v>117</v>
      </c>
      <c r="V1110" t="str">
        <f>"142152814"</f>
        <v>142152814</v>
      </c>
      <c r="AC1110" t="s">
        <v>119</v>
      </c>
      <c r="AD1110" t="s">
        <v>113</v>
      </c>
      <c r="AE1110" t="s">
        <v>306</v>
      </c>
      <c r="AG1110" t="s">
        <v>121</v>
      </c>
    </row>
    <row r="1111" spans="1:33" x14ac:dyDescent="0.25">
      <c r="A1111" t="str">
        <f>"1477848489"</f>
        <v>1477848489</v>
      </c>
      <c r="B1111" t="str">
        <f>"03979408"</f>
        <v>03979408</v>
      </c>
      <c r="C1111" t="s">
        <v>6667</v>
      </c>
      <c r="D1111" t="s">
        <v>6668</v>
      </c>
      <c r="E1111" t="s">
        <v>6669</v>
      </c>
      <c r="G1111" t="s">
        <v>6667</v>
      </c>
      <c r="J1111" t="s">
        <v>6670</v>
      </c>
      <c r="L1111" t="s">
        <v>112</v>
      </c>
      <c r="M1111" t="s">
        <v>113</v>
      </c>
      <c r="R1111" t="s">
        <v>6671</v>
      </c>
      <c r="W1111" t="s">
        <v>6669</v>
      </c>
      <c r="X1111" t="s">
        <v>838</v>
      </c>
      <c r="Y1111" t="s">
        <v>240</v>
      </c>
      <c r="Z1111" t="s">
        <v>117</v>
      </c>
      <c r="AA1111" t="str">
        <f>"14221-3647"</f>
        <v>14221-3647</v>
      </c>
      <c r="AB1111" t="s">
        <v>118</v>
      </c>
      <c r="AC1111" t="s">
        <v>119</v>
      </c>
      <c r="AD1111" t="s">
        <v>113</v>
      </c>
      <c r="AE1111" t="s">
        <v>120</v>
      </c>
      <c r="AG1111" t="s">
        <v>121</v>
      </c>
    </row>
    <row r="1112" spans="1:33" x14ac:dyDescent="0.25">
      <c r="A1112" t="str">
        <f>"1477857209"</f>
        <v>1477857209</v>
      </c>
      <c r="B1112" t="str">
        <f>"03306741"</f>
        <v>03306741</v>
      </c>
      <c r="C1112" t="s">
        <v>6672</v>
      </c>
      <c r="D1112" t="s">
        <v>6673</v>
      </c>
      <c r="E1112" t="s">
        <v>6674</v>
      </c>
      <c r="H1112" t="s">
        <v>6675</v>
      </c>
      <c r="L1112" t="s">
        <v>69</v>
      </c>
      <c r="M1112" t="s">
        <v>113</v>
      </c>
      <c r="R1112" t="s">
        <v>6672</v>
      </c>
      <c r="W1112" t="s">
        <v>6674</v>
      </c>
      <c r="X1112" t="s">
        <v>6676</v>
      </c>
      <c r="Y1112" t="s">
        <v>986</v>
      </c>
      <c r="Z1112" t="s">
        <v>117</v>
      </c>
      <c r="AA1112" t="str">
        <f>"14701-1801"</f>
        <v>14701-1801</v>
      </c>
      <c r="AB1112" t="s">
        <v>282</v>
      </c>
      <c r="AC1112" t="s">
        <v>119</v>
      </c>
      <c r="AD1112" t="s">
        <v>113</v>
      </c>
      <c r="AE1112" t="s">
        <v>120</v>
      </c>
      <c r="AG1112" t="s">
        <v>121</v>
      </c>
    </row>
    <row r="1113" spans="1:33" x14ac:dyDescent="0.25">
      <c r="A1113" t="str">
        <f>"1477875110"</f>
        <v>1477875110</v>
      </c>
      <c r="B1113" t="str">
        <f>"03289145"</f>
        <v>03289145</v>
      </c>
      <c r="C1113" t="s">
        <v>6677</v>
      </c>
      <c r="D1113" t="s">
        <v>6678</v>
      </c>
      <c r="E1113" t="s">
        <v>6679</v>
      </c>
      <c r="G1113" t="s">
        <v>6677</v>
      </c>
      <c r="H1113" t="s">
        <v>579</v>
      </c>
      <c r="L1113" t="s">
        <v>69</v>
      </c>
      <c r="M1113" t="s">
        <v>113</v>
      </c>
      <c r="R1113" t="s">
        <v>6677</v>
      </c>
      <c r="W1113" t="s">
        <v>6679</v>
      </c>
      <c r="X1113" t="s">
        <v>6680</v>
      </c>
      <c r="Y1113" t="s">
        <v>512</v>
      </c>
      <c r="Z1113" t="s">
        <v>117</v>
      </c>
      <c r="AA1113" t="str">
        <f>"14092-2218"</f>
        <v>14092-2218</v>
      </c>
      <c r="AB1113" t="s">
        <v>872</v>
      </c>
      <c r="AC1113" t="s">
        <v>119</v>
      </c>
      <c r="AD1113" t="s">
        <v>113</v>
      </c>
      <c r="AE1113" t="s">
        <v>120</v>
      </c>
      <c r="AG1113" t="s">
        <v>121</v>
      </c>
    </row>
    <row r="1114" spans="1:33" x14ac:dyDescent="0.25">
      <c r="A1114" t="str">
        <f>"1477875326"</f>
        <v>1477875326</v>
      </c>
      <c r="C1114" t="s">
        <v>6681</v>
      </c>
      <c r="G1114" t="s">
        <v>6682</v>
      </c>
      <c r="H1114" t="s">
        <v>6683</v>
      </c>
      <c r="J1114" t="s">
        <v>6684</v>
      </c>
      <c r="K1114" t="s">
        <v>303</v>
      </c>
      <c r="L1114" t="s">
        <v>229</v>
      </c>
      <c r="M1114" t="s">
        <v>113</v>
      </c>
      <c r="R1114" t="s">
        <v>6685</v>
      </c>
      <c r="S1114" t="s">
        <v>6686</v>
      </c>
      <c r="T1114" t="s">
        <v>305</v>
      </c>
      <c r="U1114" t="s">
        <v>117</v>
      </c>
      <c r="V1114" t="str">
        <f>"147601513"</f>
        <v>147601513</v>
      </c>
      <c r="AC1114" t="s">
        <v>119</v>
      </c>
      <c r="AD1114" t="s">
        <v>113</v>
      </c>
      <c r="AE1114" t="s">
        <v>306</v>
      </c>
      <c r="AG1114" t="s">
        <v>121</v>
      </c>
    </row>
    <row r="1115" spans="1:33" x14ac:dyDescent="0.25">
      <c r="A1115" t="str">
        <f>"1629324876"</f>
        <v>1629324876</v>
      </c>
      <c r="C1115" t="s">
        <v>6687</v>
      </c>
      <c r="G1115" t="s">
        <v>6687</v>
      </c>
      <c r="H1115" t="s">
        <v>590</v>
      </c>
      <c r="J1115" t="s">
        <v>6688</v>
      </c>
      <c r="K1115" t="s">
        <v>303</v>
      </c>
      <c r="L1115" t="s">
        <v>112</v>
      </c>
      <c r="M1115" t="s">
        <v>113</v>
      </c>
      <c r="R1115" t="s">
        <v>6689</v>
      </c>
      <c r="S1115" t="s">
        <v>626</v>
      </c>
      <c r="T1115" t="s">
        <v>116</v>
      </c>
      <c r="U1115" t="s">
        <v>117</v>
      </c>
      <c r="V1115" t="str">
        <f>"142102324"</f>
        <v>142102324</v>
      </c>
      <c r="AC1115" t="s">
        <v>119</v>
      </c>
      <c r="AD1115" t="s">
        <v>113</v>
      </c>
      <c r="AE1115" t="s">
        <v>306</v>
      </c>
      <c r="AG1115" t="s">
        <v>121</v>
      </c>
    </row>
    <row r="1116" spans="1:33" x14ac:dyDescent="0.25">
      <c r="A1116" t="str">
        <f>"1629356795"</f>
        <v>1629356795</v>
      </c>
      <c r="B1116" t="str">
        <f>"03373228"</f>
        <v>03373228</v>
      </c>
      <c r="C1116" t="s">
        <v>6690</v>
      </c>
      <c r="D1116" t="s">
        <v>6691</v>
      </c>
      <c r="E1116" t="s">
        <v>6692</v>
      </c>
      <c r="G1116" t="s">
        <v>6693</v>
      </c>
      <c r="H1116" t="s">
        <v>6694</v>
      </c>
      <c r="J1116" t="s">
        <v>6695</v>
      </c>
      <c r="L1116" t="s">
        <v>142</v>
      </c>
      <c r="M1116" t="s">
        <v>113</v>
      </c>
      <c r="R1116" t="s">
        <v>6696</v>
      </c>
      <c r="W1116" t="s">
        <v>6692</v>
      </c>
      <c r="X1116" t="s">
        <v>176</v>
      </c>
      <c r="Y1116" t="s">
        <v>116</v>
      </c>
      <c r="Z1116" t="s">
        <v>117</v>
      </c>
      <c r="AA1116" t="str">
        <f>"14203-1126"</f>
        <v>14203-1126</v>
      </c>
      <c r="AB1116" t="s">
        <v>118</v>
      </c>
      <c r="AC1116" t="s">
        <v>119</v>
      </c>
      <c r="AD1116" t="s">
        <v>113</v>
      </c>
      <c r="AE1116" t="s">
        <v>120</v>
      </c>
      <c r="AG1116" t="s">
        <v>121</v>
      </c>
    </row>
    <row r="1117" spans="1:33" x14ac:dyDescent="0.25">
      <c r="A1117" t="str">
        <f>"1629384953"</f>
        <v>1629384953</v>
      </c>
      <c r="B1117" t="str">
        <f>"03302196"</f>
        <v>03302196</v>
      </c>
      <c r="C1117" t="s">
        <v>6697</v>
      </c>
      <c r="D1117" t="s">
        <v>6698</v>
      </c>
      <c r="E1117" t="s">
        <v>6699</v>
      </c>
      <c r="G1117" t="s">
        <v>6700</v>
      </c>
      <c r="H1117" t="s">
        <v>6701</v>
      </c>
      <c r="J1117" t="s">
        <v>6702</v>
      </c>
      <c r="L1117" t="s">
        <v>142</v>
      </c>
      <c r="M1117" t="s">
        <v>113</v>
      </c>
      <c r="R1117" t="s">
        <v>6703</v>
      </c>
      <c r="W1117" t="s">
        <v>6704</v>
      </c>
      <c r="X1117" t="s">
        <v>216</v>
      </c>
      <c r="Y1117" t="s">
        <v>116</v>
      </c>
      <c r="Z1117" t="s">
        <v>117</v>
      </c>
      <c r="AA1117" t="str">
        <f>"14222-2777"</f>
        <v>14222-2777</v>
      </c>
      <c r="AB1117" t="s">
        <v>118</v>
      </c>
      <c r="AC1117" t="s">
        <v>119</v>
      </c>
      <c r="AD1117" t="s">
        <v>113</v>
      </c>
      <c r="AE1117" t="s">
        <v>120</v>
      </c>
      <c r="AG1117" t="s">
        <v>121</v>
      </c>
    </row>
    <row r="1118" spans="1:33" x14ac:dyDescent="0.25">
      <c r="A1118" t="str">
        <f>"1629386362"</f>
        <v>1629386362</v>
      </c>
      <c r="C1118" t="s">
        <v>6705</v>
      </c>
      <c r="G1118" t="s">
        <v>6706</v>
      </c>
      <c r="J1118" t="s">
        <v>352</v>
      </c>
      <c r="K1118" t="s">
        <v>303</v>
      </c>
      <c r="L1118" t="s">
        <v>229</v>
      </c>
      <c r="M1118" t="s">
        <v>113</v>
      </c>
      <c r="R1118" t="s">
        <v>6707</v>
      </c>
      <c r="S1118" t="s">
        <v>6194</v>
      </c>
      <c r="T1118" t="s">
        <v>153</v>
      </c>
      <c r="U1118" t="s">
        <v>117</v>
      </c>
      <c r="V1118" t="str">
        <f>"143041550"</f>
        <v>143041550</v>
      </c>
      <c r="AC1118" t="s">
        <v>119</v>
      </c>
      <c r="AD1118" t="s">
        <v>113</v>
      </c>
      <c r="AE1118" t="s">
        <v>306</v>
      </c>
      <c r="AG1118" t="s">
        <v>121</v>
      </c>
    </row>
    <row r="1119" spans="1:33" x14ac:dyDescent="0.25">
      <c r="A1119" t="str">
        <f>"1629389309"</f>
        <v>1629389309</v>
      </c>
      <c r="B1119" t="str">
        <f>"04032624"</f>
        <v>04032624</v>
      </c>
      <c r="C1119" t="s">
        <v>6708</v>
      </c>
      <c r="D1119" t="s">
        <v>6709</v>
      </c>
      <c r="E1119" t="s">
        <v>6710</v>
      </c>
      <c r="G1119" t="s">
        <v>6711</v>
      </c>
      <c r="H1119" t="s">
        <v>1115</v>
      </c>
      <c r="J1119" t="s">
        <v>438</v>
      </c>
      <c r="L1119" t="s">
        <v>112</v>
      </c>
      <c r="M1119" t="s">
        <v>113</v>
      </c>
      <c r="R1119" t="s">
        <v>6712</v>
      </c>
      <c r="W1119" t="s">
        <v>6710</v>
      </c>
      <c r="X1119" t="s">
        <v>1218</v>
      </c>
      <c r="Y1119" t="s">
        <v>318</v>
      </c>
      <c r="Z1119" t="s">
        <v>117</v>
      </c>
      <c r="AA1119" t="str">
        <f>"14225-4985"</f>
        <v>14225-4985</v>
      </c>
      <c r="AB1119" t="s">
        <v>621</v>
      </c>
      <c r="AC1119" t="s">
        <v>119</v>
      </c>
      <c r="AD1119" t="s">
        <v>113</v>
      </c>
      <c r="AE1119" t="s">
        <v>120</v>
      </c>
      <c r="AG1119" t="s">
        <v>121</v>
      </c>
    </row>
    <row r="1120" spans="1:33" x14ac:dyDescent="0.25">
      <c r="A1120" t="str">
        <f>"1629410279"</f>
        <v>1629410279</v>
      </c>
      <c r="C1120" t="s">
        <v>6713</v>
      </c>
      <c r="G1120" t="s">
        <v>6713</v>
      </c>
      <c r="H1120" t="s">
        <v>6714</v>
      </c>
      <c r="J1120" t="s">
        <v>6715</v>
      </c>
      <c r="K1120" t="s">
        <v>303</v>
      </c>
      <c r="L1120" t="s">
        <v>229</v>
      </c>
      <c r="M1120" t="s">
        <v>113</v>
      </c>
      <c r="R1120" t="s">
        <v>6716</v>
      </c>
      <c r="S1120" t="s">
        <v>838</v>
      </c>
      <c r="T1120" t="s">
        <v>240</v>
      </c>
      <c r="U1120" t="s">
        <v>117</v>
      </c>
      <c r="V1120" t="str">
        <f>"142213647"</f>
        <v>142213647</v>
      </c>
      <c r="AC1120" t="s">
        <v>119</v>
      </c>
      <c r="AD1120" t="s">
        <v>113</v>
      </c>
      <c r="AE1120" t="s">
        <v>306</v>
      </c>
      <c r="AG1120" t="s">
        <v>121</v>
      </c>
    </row>
    <row r="1121" spans="1:33" x14ac:dyDescent="0.25">
      <c r="A1121" t="str">
        <f>"1730251687"</f>
        <v>1730251687</v>
      </c>
      <c r="B1121" t="str">
        <f>"00978372"</f>
        <v>00978372</v>
      </c>
      <c r="C1121" t="s">
        <v>6717</v>
      </c>
      <c r="D1121" t="s">
        <v>6718</v>
      </c>
      <c r="E1121" t="s">
        <v>6719</v>
      </c>
      <c r="G1121" t="s">
        <v>6717</v>
      </c>
      <c r="H1121" t="s">
        <v>6720</v>
      </c>
      <c r="L1121" t="s">
        <v>150</v>
      </c>
      <c r="M1121" t="s">
        <v>113</v>
      </c>
      <c r="R1121" t="s">
        <v>6721</v>
      </c>
      <c r="W1121" t="s">
        <v>6722</v>
      </c>
      <c r="X1121" t="s">
        <v>6723</v>
      </c>
      <c r="Y1121" t="s">
        <v>663</v>
      </c>
      <c r="Z1121" t="s">
        <v>117</v>
      </c>
      <c r="AA1121" t="str">
        <f>"14095-0964"</f>
        <v>14095-0964</v>
      </c>
      <c r="AB1121" t="s">
        <v>118</v>
      </c>
      <c r="AC1121" t="s">
        <v>119</v>
      </c>
      <c r="AD1121" t="s">
        <v>113</v>
      </c>
      <c r="AE1121" t="s">
        <v>120</v>
      </c>
      <c r="AG1121" t="s">
        <v>121</v>
      </c>
    </row>
    <row r="1122" spans="1:33" x14ac:dyDescent="0.25">
      <c r="A1122" t="str">
        <f>"1730256231"</f>
        <v>1730256231</v>
      </c>
      <c r="B1122" t="str">
        <f>"02890077"</f>
        <v>02890077</v>
      </c>
      <c r="C1122" t="s">
        <v>6724</v>
      </c>
      <c r="D1122" t="s">
        <v>6725</v>
      </c>
      <c r="E1122" t="s">
        <v>6726</v>
      </c>
      <c r="G1122" t="s">
        <v>6727</v>
      </c>
      <c r="H1122" t="s">
        <v>351</v>
      </c>
      <c r="J1122" t="s">
        <v>6728</v>
      </c>
      <c r="L1122" t="s">
        <v>15</v>
      </c>
      <c r="M1122" t="s">
        <v>199</v>
      </c>
      <c r="R1122" t="s">
        <v>6724</v>
      </c>
      <c r="W1122" t="s">
        <v>6726</v>
      </c>
      <c r="X1122" t="s">
        <v>6729</v>
      </c>
      <c r="Y1122" t="s">
        <v>192</v>
      </c>
      <c r="Z1122" t="s">
        <v>117</v>
      </c>
      <c r="AA1122" t="str">
        <f>"14020-3650"</f>
        <v>14020-3650</v>
      </c>
      <c r="AB1122" t="s">
        <v>1460</v>
      </c>
      <c r="AC1122" t="s">
        <v>119</v>
      </c>
      <c r="AD1122" t="s">
        <v>113</v>
      </c>
      <c r="AE1122" t="s">
        <v>120</v>
      </c>
      <c r="AG1122" t="s">
        <v>121</v>
      </c>
    </row>
    <row r="1123" spans="1:33" x14ac:dyDescent="0.25">
      <c r="A1123" t="str">
        <f>"1730256942"</f>
        <v>1730256942</v>
      </c>
      <c r="B1123" t="str">
        <f>"01706312"</f>
        <v>01706312</v>
      </c>
      <c r="C1123" t="s">
        <v>6730</v>
      </c>
      <c r="D1123" t="s">
        <v>6731</v>
      </c>
      <c r="E1123" t="s">
        <v>6732</v>
      </c>
      <c r="G1123" t="s">
        <v>6730</v>
      </c>
      <c r="H1123" t="s">
        <v>6733</v>
      </c>
      <c r="J1123" t="s">
        <v>6734</v>
      </c>
      <c r="L1123" t="s">
        <v>150</v>
      </c>
      <c r="M1123" t="s">
        <v>199</v>
      </c>
      <c r="R1123" t="s">
        <v>6735</v>
      </c>
      <c r="W1123" t="s">
        <v>6736</v>
      </c>
      <c r="Y1123" t="s">
        <v>116</v>
      </c>
      <c r="Z1123" t="s">
        <v>117</v>
      </c>
      <c r="AA1123" t="str">
        <f>"14215-3098"</f>
        <v>14215-3098</v>
      </c>
      <c r="AB1123" t="s">
        <v>118</v>
      </c>
      <c r="AC1123" t="s">
        <v>119</v>
      </c>
      <c r="AD1123" t="s">
        <v>113</v>
      </c>
      <c r="AE1123" t="s">
        <v>120</v>
      </c>
      <c r="AG1123" t="s">
        <v>121</v>
      </c>
    </row>
    <row r="1124" spans="1:33" x14ac:dyDescent="0.25">
      <c r="A1124" t="str">
        <f>"1730259599"</f>
        <v>1730259599</v>
      </c>
      <c r="B1124" t="str">
        <f>"01430717"</f>
        <v>01430717</v>
      </c>
      <c r="C1124" t="s">
        <v>6737</v>
      </c>
      <c r="D1124" t="s">
        <v>6738</v>
      </c>
      <c r="E1124" t="s">
        <v>6739</v>
      </c>
      <c r="G1124" t="s">
        <v>6737</v>
      </c>
      <c r="H1124" t="s">
        <v>6740</v>
      </c>
      <c r="L1124" t="s">
        <v>229</v>
      </c>
      <c r="M1124" t="s">
        <v>113</v>
      </c>
      <c r="R1124" t="s">
        <v>6737</v>
      </c>
      <c r="W1124" t="s">
        <v>6741</v>
      </c>
      <c r="X1124" t="s">
        <v>6742</v>
      </c>
      <c r="Y1124" t="s">
        <v>153</v>
      </c>
      <c r="Z1124" t="s">
        <v>117</v>
      </c>
      <c r="AA1124" t="str">
        <f>"14301-1201"</f>
        <v>14301-1201</v>
      </c>
      <c r="AB1124" t="s">
        <v>1146</v>
      </c>
      <c r="AC1124" t="s">
        <v>119</v>
      </c>
      <c r="AD1124" t="s">
        <v>113</v>
      </c>
      <c r="AE1124" t="s">
        <v>120</v>
      </c>
      <c r="AG1124" t="s">
        <v>121</v>
      </c>
    </row>
    <row r="1125" spans="1:33" x14ac:dyDescent="0.25">
      <c r="A1125" t="str">
        <f>"1730266198"</f>
        <v>1730266198</v>
      </c>
      <c r="C1125" t="s">
        <v>6743</v>
      </c>
      <c r="G1125" t="s">
        <v>6743</v>
      </c>
      <c r="H1125" t="s">
        <v>3967</v>
      </c>
      <c r="J1125" t="s">
        <v>6744</v>
      </c>
      <c r="K1125" t="s">
        <v>303</v>
      </c>
      <c r="L1125" t="s">
        <v>229</v>
      </c>
      <c r="M1125" t="s">
        <v>113</v>
      </c>
      <c r="R1125" t="s">
        <v>6745</v>
      </c>
      <c r="S1125" t="s">
        <v>6746</v>
      </c>
      <c r="T1125" t="s">
        <v>116</v>
      </c>
      <c r="U1125" t="s">
        <v>117</v>
      </c>
      <c r="V1125" t="str">
        <f>"142222006"</f>
        <v>142222006</v>
      </c>
      <c r="AC1125" t="s">
        <v>119</v>
      </c>
      <c r="AD1125" t="s">
        <v>113</v>
      </c>
      <c r="AE1125" t="s">
        <v>306</v>
      </c>
      <c r="AG1125" t="s">
        <v>121</v>
      </c>
    </row>
    <row r="1126" spans="1:33" x14ac:dyDescent="0.25">
      <c r="A1126" t="str">
        <f>"1700077443"</f>
        <v>1700077443</v>
      </c>
      <c r="B1126" t="str">
        <f>"01960663"</f>
        <v>01960663</v>
      </c>
      <c r="C1126" t="s">
        <v>15721</v>
      </c>
      <c r="D1126" t="s">
        <v>15722</v>
      </c>
      <c r="E1126" t="s">
        <v>15723</v>
      </c>
      <c r="F1126">
        <v>222334190</v>
      </c>
      <c r="G1126" t="s">
        <v>15724</v>
      </c>
      <c r="H1126" t="s">
        <v>15725</v>
      </c>
      <c r="J1126" t="s">
        <v>15726</v>
      </c>
      <c r="L1126" t="s">
        <v>69</v>
      </c>
      <c r="M1126" t="s">
        <v>113</v>
      </c>
      <c r="R1126" t="s">
        <v>15721</v>
      </c>
      <c r="W1126" t="s">
        <v>15723</v>
      </c>
      <c r="X1126" t="s">
        <v>15727</v>
      </c>
      <c r="Y1126" t="s">
        <v>15728</v>
      </c>
      <c r="Z1126" t="s">
        <v>117</v>
      </c>
      <c r="AA1126" t="str">
        <f>"14445-2407"</f>
        <v>14445-2407</v>
      </c>
      <c r="AB1126" t="s">
        <v>291</v>
      </c>
      <c r="AC1126" t="s">
        <v>119</v>
      </c>
      <c r="AD1126" t="s">
        <v>113</v>
      </c>
      <c r="AE1126" t="s">
        <v>120</v>
      </c>
      <c r="AG1126" t="s">
        <v>121</v>
      </c>
    </row>
    <row r="1127" spans="1:33" x14ac:dyDescent="0.25">
      <c r="A1127" t="str">
        <f>"1730289059"</f>
        <v>1730289059</v>
      </c>
      <c r="B1127" t="str">
        <f>"02129399"</f>
        <v>02129399</v>
      </c>
      <c r="C1127" t="s">
        <v>6754</v>
      </c>
      <c r="D1127" t="s">
        <v>6755</v>
      </c>
      <c r="E1127" t="s">
        <v>6756</v>
      </c>
      <c r="G1127" t="s">
        <v>6754</v>
      </c>
      <c r="H1127" t="s">
        <v>2424</v>
      </c>
      <c r="J1127" t="s">
        <v>6757</v>
      </c>
      <c r="L1127" t="s">
        <v>112</v>
      </c>
      <c r="M1127" t="s">
        <v>113</v>
      </c>
      <c r="R1127" t="s">
        <v>6758</v>
      </c>
      <c r="W1127" t="s">
        <v>6756</v>
      </c>
      <c r="X1127" t="s">
        <v>253</v>
      </c>
      <c r="Y1127" t="s">
        <v>116</v>
      </c>
      <c r="Z1127" t="s">
        <v>117</v>
      </c>
      <c r="AA1127" t="str">
        <f>"14215-3021"</f>
        <v>14215-3021</v>
      </c>
      <c r="AB1127" t="s">
        <v>118</v>
      </c>
      <c r="AC1127" t="s">
        <v>119</v>
      </c>
      <c r="AD1127" t="s">
        <v>113</v>
      </c>
      <c r="AE1127" t="s">
        <v>120</v>
      </c>
      <c r="AG1127" t="s">
        <v>121</v>
      </c>
    </row>
    <row r="1128" spans="1:33" x14ac:dyDescent="0.25">
      <c r="A1128" t="str">
        <f>"1730313685"</f>
        <v>1730313685</v>
      </c>
      <c r="B1128" t="str">
        <f>"03120321"</f>
        <v>03120321</v>
      </c>
      <c r="C1128" t="s">
        <v>6759</v>
      </c>
      <c r="D1128" t="s">
        <v>6760</v>
      </c>
      <c r="E1128" t="s">
        <v>6761</v>
      </c>
      <c r="G1128" t="s">
        <v>6759</v>
      </c>
      <c r="H1128" t="s">
        <v>6762</v>
      </c>
      <c r="J1128" t="s">
        <v>6763</v>
      </c>
      <c r="L1128" t="s">
        <v>150</v>
      </c>
      <c r="M1128" t="s">
        <v>113</v>
      </c>
      <c r="R1128" t="s">
        <v>6764</v>
      </c>
      <c r="W1128" t="s">
        <v>6761</v>
      </c>
      <c r="X1128" t="s">
        <v>6765</v>
      </c>
      <c r="Y1128" t="s">
        <v>240</v>
      </c>
      <c r="Z1128" t="s">
        <v>117</v>
      </c>
      <c r="AA1128" t="str">
        <f>"14221-1729"</f>
        <v>14221-1729</v>
      </c>
      <c r="AB1128" t="s">
        <v>118</v>
      </c>
      <c r="AC1128" t="s">
        <v>119</v>
      </c>
      <c r="AD1128" t="s">
        <v>113</v>
      </c>
      <c r="AE1128" t="s">
        <v>120</v>
      </c>
      <c r="AG1128" t="s">
        <v>121</v>
      </c>
    </row>
    <row r="1129" spans="1:33" x14ac:dyDescent="0.25">
      <c r="A1129" t="str">
        <f>"1730313768"</f>
        <v>1730313768</v>
      </c>
      <c r="B1129" t="str">
        <f>"03470019"</f>
        <v>03470019</v>
      </c>
      <c r="C1129" t="s">
        <v>6766</v>
      </c>
      <c r="D1129" t="s">
        <v>6767</v>
      </c>
      <c r="E1129" t="s">
        <v>6768</v>
      </c>
      <c r="G1129" t="s">
        <v>6769</v>
      </c>
      <c r="H1129" t="s">
        <v>6770</v>
      </c>
      <c r="J1129" t="s">
        <v>6771</v>
      </c>
      <c r="L1129" t="s">
        <v>112</v>
      </c>
      <c r="M1129" t="s">
        <v>113</v>
      </c>
      <c r="R1129" t="s">
        <v>6772</v>
      </c>
      <c r="W1129" t="s">
        <v>6768</v>
      </c>
      <c r="X1129" t="s">
        <v>6773</v>
      </c>
      <c r="Y1129" t="s">
        <v>268</v>
      </c>
      <c r="Z1129" t="s">
        <v>117</v>
      </c>
      <c r="AA1129" t="str">
        <f>"14150-4112"</f>
        <v>14150-4112</v>
      </c>
      <c r="AB1129" t="s">
        <v>634</v>
      </c>
      <c r="AC1129" t="s">
        <v>119</v>
      </c>
      <c r="AD1129" t="s">
        <v>113</v>
      </c>
      <c r="AE1129" t="s">
        <v>120</v>
      </c>
      <c r="AG1129" t="s">
        <v>121</v>
      </c>
    </row>
    <row r="1130" spans="1:33" x14ac:dyDescent="0.25">
      <c r="A1130" t="str">
        <f>"1730318866"</f>
        <v>1730318866</v>
      </c>
      <c r="B1130" t="str">
        <f>"03675981"</f>
        <v>03675981</v>
      </c>
      <c r="C1130" t="s">
        <v>6774</v>
      </c>
      <c r="D1130" t="s">
        <v>6775</v>
      </c>
      <c r="E1130" t="s">
        <v>6776</v>
      </c>
      <c r="G1130" t="s">
        <v>6777</v>
      </c>
      <c r="J1130" t="s">
        <v>352</v>
      </c>
      <c r="L1130" t="s">
        <v>112</v>
      </c>
      <c r="M1130" t="s">
        <v>113</v>
      </c>
      <c r="R1130" t="s">
        <v>6778</v>
      </c>
      <c r="W1130" t="s">
        <v>6776</v>
      </c>
      <c r="X1130" t="s">
        <v>405</v>
      </c>
      <c r="Y1130" t="s">
        <v>116</v>
      </c>
      <c r="Z1130" t="s">
        <v>117</v>
      </c>
      <c r="AA1130" t="str">
        <f>"14215-1139"</f>
        <v>14215-1139</v>
      </c>
      <c r="AB1130" t="s">
        <v>621</v>
      </c>
      <c r="AC1130" t="s">
        <v>119</v>
      </c>
      <c r="AD1130" t="s">
        <v>113</v>
      </c>
      <c r="AE1130" t="s">
        <v>120</v>
      </c>
      <c r="AG1130" t="s">
        <v>121</v>
      </c>
    </row>
    <row r="1131" spans="1:33" x14ac:dyDescent="0.25">
      <c r="A1131" t="str">
        <f>"1730333592"</f>
        <v>1730333592</v>
      </c>
      <c r="B1131" t="str">
        <f>"03236606"</f>
        <v>03236606</v>
      </c>
      <c r="C1131" t="s">
        <v>6779</v>
      </c>
      <c r="D1131" t="s">
        <v>6780</v>
      </c>
      <c r="E1131" t="s">
        <v>6781</v>
      </c>
      <c r="G1131" t="s">
        <v>6779</v>
      </c>
      <c r="H1131" t="s">
        <v>1013</v>
      </c>
      <c r="J1131" t="s">
        <v>6782</v>
      </c>
      <c r="L1131" t="s">
        <v>142</v>
      </c>
      <c r="M1131" t="s">
        <v>113</v>
      </c>
      <c r="R1131" t="s">
        <v>6783</v>
      </c>
      <c r="W1131" t="s">
        <v>6781</v>
      </c>
      <c r="X1131" t="s">
        <v>2892</v>
      </c>
      <c r="Y1131" t="s">
        <v>240</v>
      </c>
      <c r="Z1131" t="s">
        <v>117</v>
      </c>
      <c r="AA1131" t="str">
        <f>"14221-5838"</f>
        <v>14221-5838</v>
      </c>
      <c r="AB1131" t="s">
        <v>118</v>
      </c>
      <c r="AC1131" t="s">
        <v>119</v>
      </c>
      <c r="AD1131" t="s">
        <v>113</v>
      </c>
      <c r="AE1131" t="s">
        <v>120</v>
      </c>
      <c r="AG1131" t="s">
        <v>121</v>
      </c>
    </row>
    <row r="1132" spans="1:33" x14ac:dyDescent="0.25">
      <c r="A1132" t="str">
        <f>"1730341074"</f>
        <v>1730341074</v>
      </c>
      <c r="B1132" t="str">
        <f>"03229334"</f>
        <v>03229334</v>
      </c>
      <c r="C1132" t="s">
        <v>6784</v>
      </c>
      <c r="D1132" t="s">
        <v>6785</v>
      </c>
      <c r="E1132" t="s">
        <v>6786</v>
      </c>
      <c r="G1132" t="s">
        <v>6784</v>
      </c>
      <c r="H1132" t="s">
        <v>707</v>
      </c>
      <c r="J1132" t="s">
        <v>6787</v>
      </c>
      <c r="L1132" t="s">
        <v>142</v>
      </c>
      <c r="M1132" t="s">
        <v>113</v>
      </c>
      <c r="R1132" t="s">
        <v>6788</v>
      </c>
      <c r="W1132" t="s">
        <v>6786</v>
      </c>
      <c r="X1132" t="s">
        <v>709</v>
      </c>
      <c r="Y1132" t="s">
        <v>116</v>
      </c>
      <c r="Z1132" t="s">
        <v>117</v>
      </c>
      <c r="AA1132" t="str">
        <f>"14263-0001"</f>
        <v>14263-0001</v>
      </c>
      <c r="AB1132" t="s">
        <v>118</v>
      </c>
      <c r="AC1132" t="s">
        <v>119</v>
      </c>
      <c r="AD1132" t="s">
        <v>113</v>
      </c>
      <c r="AE1132" t="s">
        <v>120</v>
      </c>
      <c r="AG1132" t="s">
        <v>121</v>
      </c>
    </row>
    <row r="1133" spans="1:33" x14ac:dyDescent="0.25">
      <c r="A1133" t="str">
        <f>"1730341314"</f>
        <v>1730341314</v>
      </c>
      <c r="B1133" t="str">
        <f>"03777608"</f>
        <v>03777608</v>
      </c>
      <c r="C1133" t="s">
        <v>6789</v>
      </c>
      <c r="D1133" t="s">
        <v>6790</v>
      </c>
      <c r="E1133" t="s">
        <v>6791</v>
      </c>
      <c r="G1133" t="s">
        <v>6789</v>
      </c>
      <c r="J1133" t="s">
        <v>6792</v>
      </c>
      <c r="L1133" t="s">
        <v>112</v>
      </c>
      <c r="M1133" t="s">
        <v>113</v>
      </c>
      <c r="R1133" t="s">
        <v>6793</v>
      </c>
      <c r="W1133" t="s">
        <v>6791</v>
      </c>
      <c r="X1133" t="s">
        <v>3340</v>
      </c>
      <c r="Y1133" t="s">
        <v>318</v>
      </c>
      <c r="Z1133" t="s">
        <v>117</v>
      </c>
      <c r="AA1133" t="str">
        <f>"14227-1443"</f>
        <v>14227-1443</v>
      </c>
      <c r="AB1133" t="s">
        <v>118</v>
      </c>
      <c r="AC1133" t="s">
        <v>119</v>
      </c>
      <c r="AD1133" t="s">
        <v>113</v>
      </c>
      <c r="AE1133" t="s">
        <v>120</v>
      </c>
      <c r="AG1133" t="s">
        <v>121</v>
      </c>
    </row>
    <row r="1134" spans="1:33" x14ac:dyDescent="0.25">
      <c r="A1134" t="str">
        <f>"1740293893"</f>
        <v>1740293893</v>
      </c>
      <c r="B1134" t="str">
        <f>"01074340"</f>
        <v>01074340</v>
      </c>
      <c r="C1134" t="s">
        <v>6794</v>
      </c>
      <c r="D1134" t="s">
        <v>6795</v>
      </c>
      <c r="E1134" t="s">
        <v>6796</v>
      </c>
      <c r="G1134" t="s">
        <v>6794</v>
      </c>
      <c r="H1134" t="s">
        <v>6797</v>
      </c>
      <c r="J1134" t="s">
        <v>6798</v>
      </c>
      <c r="L1134" t="s">
        <v>112</v>
      </c>
      <c r="M1134" t="s">
        <v>113</v>
      </c>
      <c r="R1134" t="s">
        <v>6799</v>
      </c>
      <c r="W1134" t="s">
        <v>6796</v>
      </c>
      <c r="X1134" t="s">
        <v>6800</v>
      </c>
      <c r="Y1134" t="s">
        <v>240</v>
      </c>
      <c r="Z1134" t="s">
        <v>117</v>
      </c>
      <c r="AA1134" t="str">
        <f>"14221-3625"</f>
        <v>14221-3625</v>
      </c>
      <c r="AB1134" t="s">
        <v>118</v>
      </c>
      <c r="AC1134" t="s">
        <v>119</v>
      </c>
      <c r="AD1134" t="s">
        <v>113</v>
      </c>
      <c r="AE1134" t="s">
        <v>120</v>
      </c>
      <c r="AG1134" t="s">
        <v>121</v>
      </c>
    </row>
    <row r="1135" spans="1:33" x14ac:dyDescent="0.25">
      <c r="A1135" t="str">
        <f>"1740310671"</f>
        <v>1740310671</v>
      </c>
      <c r="C1135" t="s">
        <v>6801</v>
      </c>
      <c r="G1135" t="s">
        <v>6802</v>
      </c>
      <c r="H1135" t="s">
        <v>351</v>
      </c>
      <c r="J1135" t="s">
        <v>352</v>
      </c>
      <c r="K1135" t="s">
        <v>303</v>
      </c>
      <c r="L1135" t="s">
        <v>229</v>
      </c>
      <c r="M1135" t="s">
        <v>113</v>
      </c>
      <c r="R1135" t="s">
        <v>6803</v>
      </c>
      <c r="S1135" t="s">
        <v>6804</v>
      </c>
      <c r="T1135" t="s">
        <v>116</v>
      </c>
      <c r="U1135" t="s">
        <v>117</v>
      </c>
      <c r="V1135" t="str">
        <f>"14215"</f>
        <v>14215</v>
      </c>
      <c r="AC1135" t="s">
        <v>119</v>
      </c>
      <c r="AD1135" t="s">
        <v>113</v>
      </c>
      <c r="AE1135" t="s">
        <v>306</v>
      </c>
      <c r="AG1135" t="s">
        <v>121</v>
      </c>
    </row>
    <row r="1136" spans="1:33" x14ac:dyDescent="0.25">
      <c r="A1136" t="str">
        <f>"1740324045"</f>
        <v>1740324045</v>
      </c>
      <c r="C1136" t="s">
        <v>6805</v>
      </c>
      <c r="G1136" t="s">
        <v>6806</v>
      </c>
      <c r="H1136" t="s">
        <v>6807</v>
      </c>
      <c r="J1136" t="s">
        <v>6808</v>
      </c>
      <c r="K1136" t="s">
        <v>303</v>
      </c>
      <c r="L1136" t="s">
        <v>229</v>
      </c>
      <c r="M1136" t="s">
        <v>113</v>
      </c>
      <c r="R1136" t="s">
        <v>6809</v>
      </c>
      <c r="S1136" t="s">
        <v>6810</v>
      </c>
      <c r="T1136" t="s">
        <v>326</v>
      </c>
      <c r="U1136" t="s">
        <v>117</v>
      </c>
      <c r="V1136" t="str">
        <f>"141272275"</f>
        <v>141272275</v>
      </c>
      <c r="AC1136" t="s">
        <v>119</v>
      </c>
      <c r="AD1136" t="s">
        <v>113</v>
      </c>
      <c r="AE1136" t="s">
        <v>306</v>
      </c>
      <c r="AG1136" t="s">
        <v>121</v>
      </c>
    </row>
    <row r="1137" spans="1:33" x14ac:dyDescent="0.25">
      <c r="A1137" t="str">
        <f>"1851476741"</f>
        <v>1851476741</v>
      </c>
      <c r="B1137" t="str">
        <f>"03002417"</f>
        <v>03002417</v>
      </c>
      <c r="C1137" t="s">
        <v>869</v>
      </c>
      <c r="D1137" t="s">
        <v>11579</v>
      </c>
      <c r="E1137" t="s">
        <v>6228</v>
      </c>
      <c r="H1137" t="s">
        <v>3488</v>
      </c>
      <c r="L1137" t="s">
        <v>11580</v>
      </c>
      <c r="M1137" t="s">
        <v>199</v>
      </c>
      <c r="R1137" t="s">
        <v>869</v>
      </c>
      <c r="W1137" t="s">
        <v>11581</v>
      </c>
      <c r="X1137" t="s">
        <v>176</v>
      </c>
      <c r="Y1137" t="s">
        <v>116</v>
      </c>
      <c r="Z1137" t="s">
        <v>117</v>
      </c>
      <c r="AA1137" t="str">
        <f>"14203-1126"</f>
        <v>14203-1126</v>
      </c>
      <c r="AB1137" t="s">
        <v>979</v>
      </c>
      <c r="AC1137" t="s">
        <v>119</v>
      </c>
      <c r="AD1137" t="s">
        <v>113</v>
      </c>
      <c r="AE1137" t="s">
        <v>120</v>
      </c>
      <c r="AG1137" t="s">
        <v>121</v>
      </c>
    </row>
    <row r="1138" spans="1:33" x14ac:dyDescent="0.25">
      <c r="A1138" t="str">
        <f>"1750398160"</f>
        <v>1750398160</v>
      </c>
      <c r="B1138" t="str">
        <f>"01505182"</f>
        <v>01505182</v>
      </c>
      <c r="C1138" t="s">
        <v>6812</v>
      </c>
      <c r="D1138" t="s">
        <v>6813</v>
      </c>
      <c r="E1138" t="s">
        <v>6814</v>
      </c>
      <c r="G1138" t="s">
        <v>6815</v>
      </c>
      <c r="H1138" t="s">
        <v>6816</v>
      </c>
      <c r="J1138" t="s">
        <v>6817</v>
      </c>
      <c r="L1138" t="s">
        <v>150</v>
      </c>
      <c r="M1138" t="s">
        <v>113</v>
      </c>
      <c r="R1138" t="s">
        <v>6818</v>
      </c>
      <c r="W1138" t="s">
        <v>6814</v>
      </c>
      <c r="X1138" t="s">
        <v>682</v>
      </c>
      <c r="Y1138" t="s">
        <v>326</v>
      </c>
      <c r="Z1138" t="s">
        <v>117</v>
      </c>
      <c r="AA1138" t="str">
        <f>"14127-1934"</f>
        <v>14127-1934</v>
      </c>
      <c r="AB1138" t="s">
        <v>118</v>
      </c>
      <c r="AC1138" t="s">
        <v>119</v>
      </c>
      <c r="AD1138" t="s">
        <v>113</v>
      </c>
      <c r="AE1138" t="s">
        <v>120</v>
      </c>
      <c r="AG1138" t="s">
        <v>121</v>
      </c>
    </row>
    <row r="1139" spans="1:33" x14ac:dyDescent="0.25">
      <c r="A1139" t="str">
        <f>"1750445086"</f>
        <v>1750445086</v>
      </c>
      <c r="B1139" t="str">
        <f>"03123833"</f>
        <v>03123833</v>
      </c>
      <c r="C1139" t="s">
        <v>6819</v>
      </c>
      <c r="D1139" t="s">
        <v>6820</v>
      </c>
      <c r="E1139" t="s">
        <v>6821</v>
      </c>
      <c r="G1139" t="s">
        <v>6819</v>
      </c>
      <c r="H1139" t="s">
        <v>227</v>
      </c>
      <c r="J1139" t="s">
        <v>6822</v>
      </c>
      <c r="L1139" t="s">
        <v>142</v>
      </c>
      <c r="M1139" t="s">
        <v>113</v>
      </c>
      <c r="R1139" t="s">
        <v>6823</v>
      </c>
      <c r="W1139" t="s">
        <v>6824</v>
      </c>
      <c r="X1139" t="s">
        <v>6825</v>
      </c>
      <c r="Y1139" t="s">
        <v>6826</v>
      </c>
      <c r="Z1139" t="s">
        <v>6827</v>
      </c>
      <c r="AA1139" t="str">
        <f>"21076-1278"</f>
        <v>21076-1278</v>
      </c>
      <c r="AB1139" t="s">
        <v>118</v>
      </c>
      <c r="AC1139" t="s">
        <v>119</v>
      </c>
      <c r="AD1139" t="s">
        <v>113</v>
      </c>
      <c r="AE1139" t="s">
        <v>120</v>
      </c>
      <c r="AG1139" t="s">
        <v>121</v>
      </c>
    </row>
    <row r="1140" spans="1:33" x14ac:dyDescent="0.25">
      <c r="A1140" t="str">
        <f>"1750463634"</f>
        <v>1750463634</v>
      </c>
      <c r="B1140" t="str">
        <f>"03413169"</f>
        <v>03413169</v>
      </c>
      <c r="C1140" t="s">
        <v>6828</v>
      </c>
      <c r="D1140" t="s">
        <v>6829</v>
      </c>
      <c r="E1140" t="s">
        <v>6830</v>
      </c>
      <c r="G1140" t="s">
        <v>6831</v>
      </c>
      <c r="H1140" t="s">
        <v>6832</v>
      </c>
      <c r="J1140" t="s">
        <v>6833</v>
      </c>
      <c r="L1140" t="s">
        <v>1033</v>
      </c>
      <c r="M1140" t="s">
        <v>113</v>
      </c>
      <c r="R1140" t="s">
        <v>6834</v>
      </c>
      <c r="W1140" t="s">
        <v>6830</v>
      </c>
      <c r="X1140" t="s">
        <v>740</v>
      </c>
      <c r="Y1140" t="s">
        <v>116</v>
      </c>
      <c r="Z1140" t="s">
        <v>117</v>
      </c>
      <c r="AA1140" t="str">
        <f>"14202-1804"</f>
        <v>14202-1804</v>
      </c>
      <c r="AB1140" t="s">
        <v>621</v>
      </c>
      <c r="AC1140" t="s">
        <v>119</v>
      </c>
      <c r="AD1140" t="s">
        <v>113</v>
      </c>
      <c r="AE1140" t="s">
        <v>120</v>
      </c>
      <c r="AG1140" t="s">
        <v>121</v>
      </c>
    </row>
    <row r="1141" spans="1:33" x14ac:dyDescent="0.25">
      <c r="A1141" t="str">
        <f>"1750464160"</f>
        <v>1750464160</v>
      </c>
      <c r="B1141" t="str">
        <f>"02865832"</f>
        <v>02865832</v>
      </c>
      <c r="C1141" t="s">
        <v>6835</v>
      </c>
      <c r="D1141" t="s">
        <v>6836</v>
      </c>
      <c r="E1141" t="s">
        <v>6837</v>
      </c>
      <c r="G1141" t="s">
        <v>4877</v>
      </c>
      <c r="H1141" t="s">
        <v>2044</v>
      </c>
      <c r="I1141">
        <v>6</v>
      </c>
      <c r="J1141" t="s">
        <v>2045</v>
      </c>
      <c r="L1141" t="s">
        <v>142</v>
      </c>
      <c r="M1141" t="s">
        <v>113</v>
      </c>
      <c r="R1141" t="s">
        <v>6838</v>
      </c>
      <c r="W1141" t="s">
        <v>6839</v>
      </c>
      <c r="X1141" t="s">
        <v>6840</v>
      </c>
      <c r="Y1141" t="s">
        <v>2946</v>
      </c>
      <c r="Z1141" t="s">
        <v>117</v>
      </c>
      <c r="AA1141" t="str">
        <f>"14075-4231"</f>
        <v>14075-4231</v>
      </c>
      <c r="AB1141" t="s">
        <v>118</v>
      </c>
      <c r="AC1141" t="s">
        <v>119</v>
      </c>
      <c r="AD1141" t="s">
        <v>113</v>
      </c>
      <c r="AE1141" t="s">
        <v>120</v>
      </c>
      <c r="AG1141" t="s">
        <v>121</v>
      </c>
    </row>
    <row r="1142" spans="1:33" x14ac:dyDescent="0.25">
      <c r="A1142" t="str">
        <f>"1750469110"</f>
        <v>1750469110</v>
      </c>
      <c r="B1142" t="str">
        <f>"02271832"</f>
        <v>02271832</v>
      </c>
      <c r="C1142" t="s">
        <v>6841</v>
      </c>
      <c r="D1142" t="s">
        <v>6842</v>
      </c>
      <c r="E1142" t="s">
        <v>6843</v>
      </c>
      <c r="G1142" t="s">
        <v>6844</v>
      </c>
      <c r="H1142" t="s">
        <v>6733</v>
      </c>
      <c r="L1142" t="s">
        <v>150</v>
      </c>
      <c r="M1142" t="s">
        <v>199</v>
      </c>
      <c r="R1142" t="s">
        <v>6845</v>
      </c>
      <c r="W1142" t="s">
        <v>6843</v>
      </c>
      <c r="X1142" t="s">
        <v>855</v>
      </c>
      <c r="Y1142" t="s">
        <v>116</v>
      </c>
      <c r="Z1142" t="s">
        <v>117</v>
      </c>
      <c r="AA1142" t="str">
        <f>"14213-1573"</f>
        <v>14213-1573</v>
      </c>
      <c r="AB1142" t="s">
        <v>118</v>
      </c>
      <c r="AC1142" t="s">
        <v>119</v>
      </c>
      <c r="AD1142" t="s">
        <v>113</v>
      </c>
      <c r="AE1142" t="s">
        <v>120</v>
      </c>
      <c r="AG1142" t="s">
        <v>121</v>
      </c>
    </row>
    <row r="1143" spans="1:33" x14ac:dyDescent="0.25">
      <c r="A1143" t="str">
        <f>"1750473419"</f>
        <v>1750473419</v>
      </c>
      <c r="B1143" t="str">
        <f>"02937988"</f>
        <v>02937988</v>
      </c>
      <c r="C1143" t="s">
        <v>6846</v>
      </c>
      <c r="D1143" t="s">
        <v>6847</v>
      </c>
      <c r="E1143" t="s">
        <v>6848</v>
      </c>
      <c r="G1143" t="s">
        <v>6849</v>
      </c>
      <c r="H1143" t="s">
        <v>382</v>
      </c>
      <c r="J1143" t="s">
        <v>383</v>
      </c>
      <c r="L1143" t="s">
        <v>150</v>
      </c>
      <c r="M1143" t="s">
        <v>113</v>
      </c>
      <c r="R1143" t="s">
        <v>6848</v>
      </c>
      <c r="W1143" t="s">
        <v>6850</v>
      </c>
      <c r="X1143" t="s">
        <v>6851</v>
      </c>
      <c r="Y1143" t="s">
        <v>541</v>
      </c>
      <c r="Z1143" t="s">
        <v>117</v>
      </c>
      <c r="AA1143" t="str">
        <f>"14048-2538"</f>
        <v>14048-2538</v>
      </c>
      <c r="AB1143" t="s">
        <v>118</v>
      </c>
      <c r="AC1143" t="s">
        <v>119</v>
      </c>
      <c r="AD1143" t="s">
        <v>113</v>
      </c>
      <c r="AE1143" t="s">
        <v>120</v>
      </c>
      <c r="AG1143" t="s">
        <v>121</v>
      </c>
    </row>
    <row r="1144" spans="1:33" x14ac:dyDescent="0.25">
      <c r="A1144" t="str">
        <f>"1750541694"</f>
        <v>1750541694</v>
      </c>
      <c r="C1144" t="s">
        <v>6852</v>
      </c>
      <c r="G1144" t="s">
        <v>6853</v>
      </c>
      <c r="J1144" t="s">
        <v>352</v>
      </c>
      <c r="K1144" t="s">
        <v>303</v>
      </c>
      <c r="L1144" t="s">
        <v>229</v>
      </c>
      <c r="M1144" t="s">
        <v>113</v>
      </c>
      <c r="R1144" t="s">
        <v>6854</v>
      </c>
      <c r="S1144" t="s">
        <v>1922</v>
      </c>
      <c r="T1144" t="s">
        <v>268</v>
      </c>
      <c r="U1144" t="s">
        <v>117</v>
      </c>
      <c r="V1144" t="str">
        <f>"141508441"</f>
        <v>141508441</v>
      </c>
      <c r="AC1144" t="s">
        <v>119</v>
      </c>
      <c r="AD1144" t="s">
        <v>113</v>
      </c>
      <c r="AE1144" t="s">
        <v>306</v>
      </c>
      <c r="AG1144" t="s">
        <v>121</v>
      </c>
    </row>
    <row r="1145" spans="1:33" x14ac:dyDescent="0.25">
      <c r="A1145" t="str">
        <f>"1750545422"</f>
        <v>1750545422</v>
      </c>
      <c r="B1145" t="str">
        <f>"03609670"</f>
        <v>03609670</v>
      </c>
      <c r="C1145" t="s">
        <v>6855</v>
      </c>
      <c r="D1145" t="s">
        <v>6856</v>
      </c>
      <c r="E1145" t="s">
        <v>6857</v>
      </c>
      <c r="G1145" t="s">
        <v>6855</v>
      </c>
      <c r="H1145" t="s">
        <v>1909</v>
      </c>
      <c r="J1145" t="s">
        <v>6858</v>
      </c>
      <c r="L1145" t="s">
        <v>150</v>
      </c>
      <c r="M1145" t="s">
        <v>113</v>
      </c>
      <c r="R1145" t="s">
        <v>6857</v>
      </c>
      <c r="W1145" t="s">
        <v>6857</v>
      </c>
      <c r="X1145" t="s">
        <v>460</v>
      </c>
      <c r="Y1145" t="s">
        <v>116</v>
      </c>
      <c r="Z1145" t="s">
        <v>117</v>
      </c>
      <c r="AA1145" t="str">
        <f>"14216-2611"</f>
        <v>14216-2611</v>
      </c>
      <c r="AB1145" t="s">
        <v>118</v>
      </c>
      <c r="AC1145" t="s">
        <v>119</v>
      </c>
      <c r="AD1145" t="s">
        <v>113</v>
      </c>
      <c r="AE1145" t="s">
        <v>120</v>
      </c>
      <c r="AG1145" t="s">
        <v>121</v>
      </c>
    </row>
    <row r="1146" spans="1:33" x14ac:dyDescent="0.25">
      <c r="A1146" t="str">
        <f>"1750590253"</f>
        <v>1750590253</v>
      </c>
      <c r="B1146" t="str">
        <f>"03353748"</f>
        <v>03353748</v>
      </c>
      <c r="C1146" t="s">
        <v>6859</v>
      </c>
      <c r="D1146" t="s">
        <v>6860</v>
      </c>
      <c r="E1146" t="s">
        <v>6861</v>
      </c>
      <c r="G1146" t="s">
        <v>6859</v>
      </c>
      <c r="H1146" t="s">
        <v>6862</v>
      </c>
      <c r="J1146" t="s">
        <v>6863</v>
      </c>
      <c r="L1146" t="s">
        <v>142</v>
      </c>
      <c r="M1146" t="s">
        <v>113</v>
      </c>
      <c r="R1146" t="s">
        <v>6861</v>
      </c>
      <c r="W1146" t="s">
        <v>6864</v>
      </c>
      <c r="X1146" t="s">
        <v>3887</v>
      </c>
      <c r="Y1146" t="s">
        <v>129</v>
      </c>
      <c r="Z1146" t="s">
        <v>117</v>
      </c>
      <c r="AA1146" t="str">
        <f>"14224-3444"</f>
        <v>14224-3444</v>
      </c>
      <c r="AB1146" t="s">
        <v>118</v>
      </c>
      <c r="AC1146" t="s">
        <v>119</v>
      </c>
      <c r="AD1146" t="s">
        <v>113</v>
      </c>
      <c r="AE1146" t="s">
        <v>120</v>
      </c>
      <c r="AG1146" t="s">
        <v>121</v>
      </c>
    </row>
    <row r="1147" spans="1:33" x14ac:dyDescent="0.25">
      <c r="A1147" t="str">
        <f>"1750601779"</f>
        <v>1750601779</v>
      </c>
      <c r="B1147" t="str">
        <f>"03723902"</f>
        <v>03723902</v>
      </c>
      <c r="C1147" t="s">
        <v>6865</v>
      </c>
      <c r="D1147" t="s">
        <v>6866</v>
      </c>
      <c r="E1147" t="s">
        <v>6867</v>
      </c>
      <c r="G1147" t="s">
        <v>6204</v>
      </c>
      <c r="H1147" t="s">
        <v>6868</v>
      </c>
      <c r="J1147" t="s">
        <v>6205</v>
      </c>
      <c r="L1147" t="s">
        <v>728</v>
      </c>
      <c r="M1147" t="s">
        <v>199</v>
      </c>
      <c r="R1147" t="s">
        <v>6869</v>
      </c>
      <c r="W1147" t="s">
        <v>6867</v>
      </c>
      <c r="X1147" t="s">
        <v>253</v>
      </c>
      <c r="Y1147" t="s">
        <v>116</v>
      </c>
      <c r="Z1147" t="s">
        <v>117</v>
      </c>
      <c r="AA1147" t="str">
        <f>"14215-3021"</f>
        <v>14215-3021</v>
      </c>
      <c r="AB1147" t="s">
        <v>118</v>
      </c>
      <c r="AC1147" t="s">
        <v>119</v>
      </c>
      <c r="AD1147" t="s">
        <v>113</v>
      </c>
      <c r="AE1147" t="s">
        <v>120</v>
      </c>
      <c r="AG1147" t="s">
        <v>121</v>
      </c>
    </row>
    <row r="1148" spans="1:33" x14ac:dyDescent="0.25">
      <c r="A1148" t="str">
        <f>"1750621207"</f>
        <v>1750621207</v>
      </c>
      <c r="B1148" t="str">
        <f>"03614151"</f>
        <v>03614151</v>
      </c>
      <c r="C1148" t="s">
        <v>6870</v>
      </c>
      <c r="D1148" t="s">
        <v>6871</v>
      </c>
      <c r="E1148" t="s">
        <v>6872</v>
      </c>
      <c r="G1148" t="s">
        <v>6873</v>
      </c>
      <c r="H1148" t="s">
        <v>5103</v>
      </c>
      <c r="J1148" t="s">
        <v>6874</v>
      </c>
      <c r="L1148" t="s">
        <v>112</v>
      </c>
      <c r="M1148" t="s">
        <v>113</v>
      </c>
      <c r="R1148" t="s">
        <v>6875</v>
      </c>
      <c r="W1148" t="s">
        <v>6876</v>
      </c>
      <c r="X1148" t="s">
        <v>6877</v>
      </c>
      <c r="Y1148" t="s">
        <v>145</v>
      </c>
      <c r="Z1148" t="s">
        <v>117</v>
      </c>
      <c r="AA1148" t="str">
        <f>"14051-2176"</f>
        <v>14051-2176</v>
      </c>
      <c r="AB1148" t="s">
        <v>118</v>
      </c>
      <c r="AC1148" t="s">
        <v>119</v>
      </c>
      <c r="AD1148" t="s">
        <v>113</v>
      </c>
      <c r="AE1148" t="s">
        <v>120</v>
      </c>
      <c r="AG1148" t="s">
        <v>121</v>
      </c>
    </row>
    <row r="1149" spans="1:33" x14ac:dyDescent="0.25">
      <c r="A1149" t="str">
        <f>"1750653101"</f>
        <v>1750653101</v>
      </c>
      <c r="B1149" t="str">
        <f>"03423530"</f>
        <v>03423530</v>
      </c>
      <c r="C1149" t="s">
        <v>6878</v>
      </c>
      <c r="D1149" t="s">
        <v>6879</v>
      </c>
      <c r="E1149" t="s">
        <v>6880</v>
      </c>
      <c r="G1149" t="s">
        <v>6878</v>
      </c>
      <c r="H1149" t="s">
        <v>6881</v>
      </c>
      <c r="J1149" t="s">
        <v>6882</v>
      </c>
      <c r="L1149" t="s">
        <v>142</v>
      </c>
      <c r="M1149" t="s">
        <v>113</v>
      </c>
      <c r="R1149" t="s">
        <v>6883</v>
      </c>
      <c r="W1149" t="s">
        <v>6880</v>
      </c>
      <c r="X1149" t="s">
        <v>4821</v>
      </c>
      <c r="Y1149" t="s">
        <v>116</v>
      </c>
      <c r="Z1149" t="s">
        <v>117</v>
      </c>
      <c r="AA1149" t="str">
        <f>"14203-1126"</f>
        <v>14203-1126</v>
      </c>
      <c r="AB1149" t="s">
        <v>118</v>
      </c>
      <c r="AC1149" t="s">
        <v>119</v>
      </c>
      <c r="AD1149" t="s">
        <v>113</v>
      </c>
      <c r="AE1149" t="s">
        <v>120</v>
      </c>
      <c r="AG1149" t="s">
        <v>121</v>
      </c>
    </row>
    <row r="1150" spans="1:33" x14ac:dyDescent="0.25">
      <c r="A1150" t="str">
        <f>"1750683181"</f>
        <v>1750683181</v>
      </c>
      <c r="B1150" t="str">
        <f>"03304285"</f>
        <v>03304285</v>
      </c>
      <c r="C1150" t="s">
        <v>6884</v>
      </c>
      <c r="D1150" t="s">
        <v>6885</v>
      </c>
      <c r="E1150" t="s">
        <v>6886</v>
      </c>
      <c r="G1150" t="s">
        <v>6884</v>
      </c>
      <c r="H1150" t="s">
        <v>205</v>
      </c>
      <c r="J1150" t="s">
        <v>6887</v>
      </c>
      <c r="L1150" t="s">
        <v>142</v>
      </c>
      <c r="M1150" t="s">
        <v>113</v>
      </c>
      <c r="R1150" t="s">
        <v>6886</v>
      </c>
      <c r="W1150" t="s">
        <v>6886</v>
      </c>
      <c r="X1150" t="s">
        <v>778</v>
      </c>
      <c r="Y1150" t="s">
        <v>240</v>
      </c>
      <c r="Z1150" t="s">
        <v>117</v>
      </c>
      <c r="AA1150" t="str">
        <f>"14221-8243"</f>
        <v>14221-8243</v>
      </c>
      <c r="AB1150" t="s">
        <v>118</v>
      </c>
      <c r="AC1150" t="s">
        <v>119</v>
      </c>
      <c r="AD1150" t="s">
        <v>113</v>
      </c>
      <c r="AE1150" t="s">
        <v>120</v>
      </c>
      <c r="AG1150" t="s">
        <v>121</v>
      </c>
    </row>
    <row r="1151" spans="1:33" x14ac:dyDescent="0.25">
      <c r="A1151" t="str">
        <f>"1417103011"</f>
        <v>1417103011</v>
      </c>
      <c r="B1151" t="str">
        <f>"03063623"</f>
        <v>03063623</v>
      </c>
      <c r="C1151" t="s">
        <v>6888</v>
      </c>
      <c r="D1151" t="s">
        <v>6889</v>
      </c>
      <c r="E1151" t="s">
        <v>6890</v>
      </c>
      <c r="G1151" t="s">
        <v>6888</v>
      </c>
      <c r="H1151" t="s">
        <v>2848</v>
      </c>
      <c r="J1151" t="s">
        <v>6891</v>
      </c>
      <c r="L1151" t="s">
        <v>112</v>
      </c>
      <c r="M1151" t="s">
        <v>113</v>
      </c>
      <c r="R1151" t="s">
        <v>6892</v>
      </c>
      <c r="W1151" t="s">
        <v>6890</v>
      </c>
      <c r="X1151" t="s">
        <v>3624</v>
      </c>
      <c r="Y1151" t="s">
        <v>240</v>
      </c>
      <c r="Z1151" t="s">
        <v>117</v>
      </c>
      <c r="AA1151" t="str">
        <f>"14221-8024"</f>
        <v>14221-8024</v>
      </c>
      <c r="AB1151" t="s">
        <v>118</v>
      </c>
      <c r="AC1151" t="s">
        <v>119</v>
      </c>
      <c r="AD1151" t="s">
        <v>113</v>
      </c>
      <c r="AE1151" t="s">
        <v>120</v>
      </c>
      <c r="AG1151" t="s">
        <v>121</v>
      </c>
    </row>
    <row r="1152" spans="1:33" x14ac:dyDescent="0.25">
      <c r="A1152" t="str">
        <f>"1447257399"</f>
        <v>1447257399</v>
      </c>
      <c r="B1152" t="str">
        <f>"02256173"</f>
        <v>02256173</v>
      </c>
      <c r="C1152" t="s">
        <v>6893</v>
      </c>
      <c r="D1152" t="s">
        <v>6894</v>
      </c>
      <c r="E1152" t="s">
        <v>6895</v>
      </c>
      <c r="G1152" t="s">
        <v>6893</v>
      </c>
      <c r="H1152" t="s">
        <v>6896</v>
      </c>
      <c r="J1152" t="s">
        <v>6897</v>
      </c>
      <c r="L1152" t="s">
        <v>150</v>
      </c>
      <c r="M1152" t="s">
        <v>113</v>
      </c>
      <c r="R1152" t="s">
        <v>6898</v>
      </c>
      <c r="W1152" t="s">
        <v>6895</v>
      </c>
      <c r="X1152" t="s">
        <v>6899</v>
      </c>
      <c r="Y1152" t="s">
        <v>958</v>
      </c>
      <c r="Z1152" t="s">
        <v>117</v>
      </c>
      <c r="AA1152" t="str">
        <f>"14228-2784"</f>
        <v>14228-2784</v>
      </c>
      <c r="AB1152" t="s">
        <v>118</v>
      </c>
      <c r="AC1152" t="s">
        <v>119</v>
      </c>
      <c r="AD1152" t="s">
        <v>113</v>
      </c>
      <c r="AE1152" t="s">
        <v>120</v>
      </c>
      <c r="AG1152" t="s">
        <v>121</v>
      </c>
    </row>
    <row r="1153" spans="1:33" x14ac:dyDescent="0.25">
      <c r="A1153" t="str">
        <f>"1609114727"</f>
        <v>1609114727</v>
      </c>
      <c r="C1153" t="s">
        <v>6900</v>
      </c>
      <c r="G1153" t="s">
        <v>6901</v>
      </c>
      <c r="H1153" t="s">
        <v>590</v>
      </c>
      <c r="J1153" t="s">
        <v>6902</v>
      </c>
      <c r="K1153" t="s">
        <v>303</v>
      </c>
      <c r="L1153" t="s">
        <v>229</v>
      </c>
      <c r="M1153" t="s">
        <v>113</v>
      </c>
      <c r="R1153" t="s">
        <v>6903</v>
      </c>
      <c r="S1153" t="s">
        <v>6904</v>
      </c>
      <c r="T1153" t="s">
        <v>268</v>
      </c>
      <c r="U1153" t="s">
        <v>117</v>
      </c>
      <c r="V1153" t="str">
        <f>"141509200"</f>
        <v>141509200</v>
      </c>
      <c r="AC1153" t="s">
        <v>119</v>
      </c>
      <c r="AD1153" t="s">
        <v>113</v>
      </c>
      <c r="AE1153" t="s">
        <v>306</v>
      </c>
      <c r="AG1153" t="s">
        <v>121</v>
      </c>
    </row>
    <row r="1154" spans="1:33" x14ac:dyDescent="0.25">
      <c r="A1154" t="str">
        <f>"1609122845"</f>
        <v>1609122845</v>
      </c>
      <c r="B1154" t="str">
        <f>"03569413"</f>
        <v>03569413</v>
      </c>
      <c r="C1154" t="s">
        <v>6905</v>
      </c>
      <c r="D1154" t="s">
        <v>6906</v>
      </c>
      <c r="E1154" t="s">
        <v>6907</v>
      </c>
      <c r="G1154" t="s">
        <v>6908</v>
      </c>
      <c r="H1154" t="s">
        <v>3800</v>
      </c>
      <c r="J1154" t="s">
        <v>6909</v>
      </c>
      <c r="L1154" t="s">
        <v>142</v>
      </c>
      <c r="M1154" t="s">
        <v>113</v>
      </c>
      <c r="R1154" t="s">
        <v>6910</v>
      </c>
      <c r="W1154" t="s">
        <v>6907</v>
      </c>
      <c r="X1154" t="s">
        <v>6911</v>
      </c>
      <c r="Y1154" t="s">
        <v>240</v>
      </c>
      <c r="Z1154" t="s">
        <v>117</v>
      </c>
      <c r="AA1154" t="str">
        <f>"14221-5771"</f>
        <v>14221-5771</v>
      </c>
      <c r="AB1154" t="s">
        <v>118</v>
      </c>
      <c r="AC1154" t="s">
        <v>119</v>
      </c>
      <c r="AD1154" t="s">
        <v>113</v>
      </c>
      <c r="AE1154" t="s">
        <v>120</v>
      </c>
      <c r="AG1154" t="s">
        <v>121</v>
      </c>
    </row>
    <row r="1155" spans="1:33" x14ac:dyDescent="0.25">
      <c r="A1155" t="str">
        <f>"1730410762"</f>
        <v>1730410762</v>
      </c>
      <c r="B1155" t="str">
        <f>"03443538"</f>
        <v>03443538</v>
      </c>
      <c r="C1155" t="s">
        <v>6912</v>
      </c>
      <c r="D1155" t="s">
        <v>6913</v>
      </c>
      <c r="E1155" t="s">
        <v>6914</v>
      </c>
      <c r="G1155" t="s">
        <v>6912</v>
      </c>
      <c r="H1155" t="s">
        <v>6915</v>
      </c>
      <c r="J1155" t="s">
        <v>6916</v>
      </c>
      <c r="L1155" t="s">
        <v>150</v>
      </c>
      <c r="M1155" t="s">
        <v>113</v>
      </c>
      <c r="R1155" t="s">
        <v>6917</v>
      </c>
      <c r="W1155" t="s">
        <v>6914</v>
      </c>
      <c r="X1155" t="s">
        <v>2827</v>
      </c>
      <c r="Y1155" t="s">
        <v>240</v>
      </c>
      <c r="Z1155" t="s">
        <v>117</v>
      </c>
      <c r="AA1155" t="str">
        <f>"14221-2780"</f>
        <v>14221-2780</v>
      </c>
      <c r="AB1155" t="s">
        <v>118</v>
      </c>
      <c r="AC1155" t="s">
        <v>119</v>
      </c>
      <c r="AD1155" t="s">
        <v>113</v>
      </c>
      <c r="AE1155" t="s">
        <v>120</v>
      </c>
      <c r="AG1155" t="s">
        <v>121</v>
      </c>
    </row>
    <row r="1156" spans="1:33" x14ac:dyDescent="0.25">
      <c r="A1156" t="str">
        <f>"1730414111"</f>
        <v>1730414111</v>
      </c>
      <c r="B1156" t="str">
        <f>"03176652"</f>
        <v>03176652</v>
      </c>
      <c r="C1156" t="s">
        <v>6918</v>
      </c>
      <c r="D1156" t="s">
        <v>6919</v>
      </c>
      <c r="E1156" t="s">
        <v>6920</v>
      </c>
      <c r="L1156" t="s">
        <v>142</v>
      </c>
      <c r="M1156" t="s">
        <v>113</v>
      </c>
      <c r="R1156" t="s">
        <v>6918</v>
      </c>
      <c r="W1156" t="s">
        <v>6920</v>
      </c>
      <c r="X1156" t="s">
        <v>6840</v>
      </c>
      <c r="Y1156" t="s">
        <v>2946</v>
      </c>
      <c r="Z1156" t="s">
        <v>117</v>
      </c>
      <c r="AA1156" t="str">
        <f>"14075-4231"</f>
        <v>14075-4231</v>
      </c>
      <c r="AB1156" t="s">
        <v>118</v>
      </c>
      <c r="AC1156" t="s">
        <v>119</v>
      </c>
      <c r="AD1156" t="s">
        <v>113</v>
      </c>
      <c r="AE1156" t="s">
        <v>120</v>
      </c>
      <c r="AG1156" t="s">
        <v>121</v>
      </c>
    </row>
    <row r="1157" spans="1:33" x14ac:dyDescent="0.25">
      <c r="A1157" t="str">
        <f>"1730414525"</f>
        <v>1730414525</v>
      </c>
      <c r="C1157" t="s">
        <v>6921</v>
      </c>
      <c r="G1157" t="s">
        <v>6921</v>
      </c>
      <c r="J1157" t="s">
        <v>6922</v>
      </c>
      <c r="K1157" t="s">
        <v>303</v>
      </c>
      <c r="L1157" t="s">
        <v>112</v>
      </c>
      <c r="M1157" t="s">
        <v>113</v>
      </c>
      <c r="R1157" t="s">
        <v>6923</v>
      </c>
      <c r="S1157" t="s">
        <v>966</v>
      </c>
      <c r="T1157" t="s">
        <v>116</v>
      </c>
      <c r="U1157" t="s">
        <v>117</v>
      </c>
      <c r="V1157" t="str">
        <f>"142071816"</f>
        <v>142071816</v>
      </c>
      <c r="AC1157" t="s">
        <v>119</v>
      </c>
      <c r="AD1157" t="s">
        <v>113</v>
      </c>
      <c r="AE1157" t="s">
        <v>306</v>
      </c>
      <c r="AG1157" t="s">
        <v>121</v>
      </c>
    </row>
    <row r="1158" spans="1:33" x14ac:dyDescent="0.25">
      <c r="A1158" t="str">
        <f>"1730460593"</f>
        <v>1730460593</v>
      </c>
      <c r="B1158" t="str">
        <f>"03574476"</f>
        <v>03574476</v>
      </c>
      <c r="C1158" t="s">
        <v>6924</v>
      </c>
      <c r="D1158" t="s">
        <v>6925</v>
      </c>
      <c r="E1158" t="s">
        <v>6926</v>
      </c>
      <c r="G1158" t="s">
        <v>6927</v>
      </c>
      <c r="H1158" t="s">
        <v>6928</v>
      </c>
      <c r="J1158" t="s">
        <v>6929</v>
      </c>
      <c r="L1158" t="s">
        <v>142</v>
      </c>
      <c r="M1158" t="s">
        <v>199</v>
      </c>
      <c r="R1158" t="s">
        <v>6930</v>
      </c>
      <c r="W1158" t="s">
        <v>6926</v>
      </c>
      <c r="X1158" t="s">
        <v>1648</v>
      </c>
      <c r="Y1158" t="s">
        <v>116</v>
      </c>
      <c r="Z1158" t="s">
        <v>117</v>
      </c>
      <c r="AA1158" t="str">
        <f>"14214-2648"</f>
        <v>14214-2648</v>
      </c>
      <c r="AB1158" t="s">
        <v>528</v>
      </c>
      <c r="AC1158" t="s">
        <v>119</v>
      </c>
      <c r="AD1158" t="s">
        <v>113</v>
      </c>
      <c r="AE1158" t="s">
        <v>120</v>
      </c>
      <c r="AG1158" t="s">
        <v>121</v>
      </c>
    </row>
    <row r="1159" spans="1:33" x14ac:dyDescent="0.25">
      <c r="A1159" t="str">
        <f>"1730465618"</f>
        <v>1730465618</v>
      </c>
      <c r="B1159" t="str">
        <f>"03457476"</f>
        <v>03457476</v>
      </c>
      <c r="C1159" t="s">
        <v>6931</v>
      </c>
      <c r="D1159" t="s">
        <v>6932</v>
      </c>
      <c r="E1159" t="s">
        <v>6933</v>
      </c>
      <c r="L1159" t="s">
        <v>142</v>
      </c>
      <c r="M1159" t="s">
        <v>113</v>
      </c>
      <c r="R1159" t="s">
        <v>6931</v>
      </c>
      <c r="W1159" t="s">
        <v>6934</v>
      </c>
      <c r="X1159" t="s">
        <v>6935</v>
      </c>
      <c r="Y1159" t="s">
        <v>2007</v>
      </c>
      <c r="Z1159" t="s">
        <v>117</v>
      </c>
      <c r="AA1159" t="str">
        <f>"14727-1317"</f>
        <v>14727-1317</v>
      </c>
      <c r="AB1159" t="s">
        <v>118</v>
      </c>
      <c r="AC1159" t="s">
        <v>119</v>
      </c>
      <c r="AD1159" t="s">
        <v>113</v>
      </c>
      <c r="AE1159" t="s">
        <v>120</v>
      </c>
      <c r="AG1159" t="s">
        <v>121</v>
      </c>
    </row>
    <row r="1160" spans="1:33" x14ac:dyDescent="0.25">
      <c r="A1160" t="str">
        <f>"1730468950"</f>
        <v>1730468950</v>
      </c>
      <c r="B1160" t="str">
        <f>"03389544"</f>
        <v>03389544</v>
      </c>
      <c r="C1160" t="s">
        <v>6936</v>
      </c>
      <c r="D1160" t="s">
        <v>6937</v>
      </c>
      <c r="E1160" t="s">
        <v>6938</v>
      </c>
      <c r="G1160" t="s">
        <v>6939</v>
      </c>
      <c r="H1160" t="s">
        <v>6940</v>
      </c>
      <c r="J1160" t="s">
        <v>6941</v>
      </c>
      <c r="L1160" t="s">
        <v>142</v>
      </c>
      <c r="M1160" t="s">
        <v>113</v>
      </c>
      <c r="R1160" t="s">
        <v>6942</v>
      </c>
      <c r="W1160" t="s">
        <v>6938</v>
      </c>
      <c r="X1160" t="s">
        <v>6943</v>
      </c>
      <c r="Y1160" t="s">
        <v>889</v>
      </c>
      <c r="Z1160" t="s">
        <v>117</v>
      </c>
      <c r="AA1160" t="str">
        <f>"14120-6115"</f>
        <v>14120-6115</v>
      </c>
      <c r="AB1160" t="s">
        <v>118</v>
      </c>
      <c r="AC1160" t="s">
        <v>119</v>
      </c>
      <c r="AD1160" t="s">
        <v>113</v>
      </c>
      <c r="AE1160" t="s">
        <v>120</v>
      </c>
      <c r="AG1160" t="s">
        <v>121</v>
      </c>
    </row>
    <row r="1161" spans="1:33" x14ac:dyDescent="0.25">
      <c r="A1161" t="str">
        <f>"1730492273"</f>
        <v>1730492273</v>
      </c>
      <c r="B1161" t="str">
        <f>"03252751"</f>
        <v>03252751</v>
      </c>
      <c r="C1161" t="s">
        <v>6944</v>
      </c>
      <c r="D1161" t="s">
        <v>6945</v>
      </c>
      <c r="E1161" t="s">
        <v>6946</v>
      </c>
      <c r="G1161" t="s">
        <v>6944</v>
      </c>
      <c r="H1161" t="s">
        <v>2347</v>
      </c>
      <c r="J1161" t="s">
        <v>6947</v>
      </c>
      <c r="L1161" t="s">
        <v>142</v>
      </c>
      <c r="M1161" t="s">
        <v>113</v>
      </c>
      <c r="R1161" t="s">
        <v>6948</v>
      </c>
      <c r="W1161" t="s">
        <v>6949</v>
      </c>
      <c r="X1161" t="s">
        <v>1727</v>
      </c>
      <c r="Y1161" t="s">
        <v>192</v>
      </c>
      <c r="Z1161" t="s">
        <v>117</v>
      </c>
      <c r="AA1161" t="str">
        <f>"14020-1631"</f>
        <v>14020-1631</v>
      </c>
      <c r="AB1161" t="s">
        <v>118</v>
      </c>
      <c r="AC1161" t="s">
        <v>119</v>
      </c>
      <c r="AD1161" t="s">
        <v>113</v>
      </c>
      <c r="AE1161" t="s">
        <v>120</v>
      </c>
      <c r="AG1161" t="s">
        <v>121</v>
      </c>
    </row>
    <row r="1162" spans="1:33" x14ac:dyDescent="0.25">
      <c r="A1162" t="str">
        <f>"1386801058"</f>
        <v>1386801058</v>
      </c>
      <c r="B1162" t="str">
        <f>"03612255"</f>
        <v>03612255</v>
      </c>
      <c r="C1162" t="s">
        <v>6950</v>
      </c>
      <c r="D1162" t="s">
        <v>6951</v>
      </c>
      <c r="E1162" t="s">
        <v>6952</v>
      </c>
      <c r="G1162" t="s">
        <v>6950</v>
      </c>
      <c r="J1162" t="s">
        <v>6953</v>
      </c>
      <c r="L1162" t="s">
        <v>142</v>
      </c>
      <c r="M1162" t="s">
        <v>113</v>
      </c>
      <c r="R1162" t="s">
        <v>6954</v>
      </c>
      <c r="W1162" t="s">
        <v>6952</v>
      </c>
      <c r="X1162" t="s">
        <v>838</v>
      </c>
      <c r="Y1162" t="s">
        <v>240</v>
      </c>
      <c r="Z1162" t="s">
        <v>117</v>
      </c>
      <c r="AA1162" t="str">
        <f>"14221-3647"</f>
        <v>14221-3647</v>
      </c>
      <c r="AB1162" t="s">
        <v>118</v>
      </c>
      <c r="AC1162" t="s">
        <v>119</v>
      </c>
      <c r="AD1162" t="s">
        <v>113</v>
      </c>
      <c r="AE1162" t="s">
        <v>120</v>
      </c>
      <c r="AG1162" t="s">
        <v>121</v>
      </c>
    </row>
    <row r="1163" spans="1:33" x14ac:dyDescent="0.25">
      <c r="A1163" t="str">
        <f>"1386835783"</f>
        <v>1386835783</v>
      </c>
      <c r="C1163" t="s">
        <v>6955</v>
      </c>
      <c r="G1163" t="s">
        <v>6955</v>
      </c>
      <c r="H1163" t="s">
        <v>1308</v>
      </c>
      <c r="J1163" t="s">
        <v>6956</v>
      </c>
      <c r="K1163" t="s">
        <v>303</v>
      </c>
      <c r="L1163" t="s">
        <v>112</v>
      </c>
      <c r="M1163" t="s">
        <v>113</v>
      </c>
      <c r="R1163" t="s">
        <v>6957</v>
      </c>
      <c r="S1163" t="s">
        <v>6958</v>
      </c>
      <c r="T1163" t="s">
        <v>145</v>
      </c>
      <c r="U1163" t="s">
        <v>117</v>
      </c>
      <c r="V1163" t="str">
        <f>"140512610"</f>
        <v>140512610</v>
      </c>
      <c r="AC1163" t="s">
        <v>119</v>
      </c>
      <c r="AD1163" t="s">
        <v>113</v>
      </c>
      <c r="AE1163" t="s">
        <v>306</v>
      </c>
      <c r="AG1163" t="s">
        <v>121</v>
      </c>
    </row>
    <row r="1164" spans="1:33" x14ac:dyDescent="0.25">
      <c r="A1164" t="str">
        <f>"1386848497"</f>
        <v>1386848497</v>
      </c>
      <c r="B1164" t="str">
        <f>"02995504"</f>
        <v>02995504</v>
      </c>
      <c r="C1164" t="s">
        <v>6959</v>
      </c>
      <c r="D1164" t="s">
        <v>6960</v>
      </c>
      <c r="E1164" t="s">
        <v>6961</v>
      </c>
      <c r="G1164" t="s">
        <v>6959</v>
      </c>
      <c r="H1164" t="s">
        <v>6962</v>
      </c>
      <c r="L1164" t="s">
        <v>1143</v>
      </c>
      <c r="M1164" t="s">
        <v>113</v>
      </c>
      <c r="R1164" t="s">
        <v>6959</v>
      </c>
      <c r="W1164" t="s">
        <v>6963</v>
      </c>
      <c r="X1164" t="s">
        <v>5114</v>
      </c>
      <c r="Y1164" t="s">
        <v>1628</v>
      </c>
      <c r="Z1164" t="s">
        <v>117</v>
      </c>
      <c r="AA1164" t="str">
        <f>"14411-9301"</f>
        <v>14411-9301</v>
      </c>
      <c r="AB1164" t="s">
        <v>1146</v>
      </c>
      <c r="AC1164" t="s">
        <v>119</v>
      </c>
      <c r="AD1164" t="s">
        <v>113</v>
      </c>
      <c r="AE1164" t="s">
        <v>120</v>
      </c>
      <c r="AG1164" t="s">
        <v>121</v>
      </c>
    </row>
    <row r="1165" spans="1:33" x14ac:dyDescent="0.25">
      <c r="A1165" t="str">
        <f>"1386877942"</f>
        <v>1386877942</v>
      </c>
      <c r="B1165" t="str">
        <f>"03560749"</f>
        <v>03560749</v>
      </c>
      <c r="C1165" t="s">
        <v>6964</v>
      </c>
      <c r="D1165" t="s">
        <v>6965</v>
      </c>
      <c r="E1165" t="s">
        <v>6966</v>
      </c>
      <c r="G1165" t="s">
        <v>6967</v>
      </c>
      <c r="J1165" t="s">
        <v>6968</v>
      </c>
      <c r="L1165" t="s">
        <v>112</v>
      </c>
      <c r="M1165" t="s">
        <v>113</v>
      </c>
      <c r="R1165" t="s">
        <v>6969</v>
      </c>
      <c r="W1165" t="s">
        <v>6966</v>
      </c>
      <c r="X1165" t="s">
        <v>1845</v>
      </c>
      <c r="Y1165" t="s">
        <v>816</v>
      </c>
      <c r="Z1165" t="s">
        <v>117</v>
      </c>
      <c r="AA1165" t="str">
        <f>"14120-6150"</f>
        <v>14120-6150</v>
      </c>
      <c r="AB1165" t="s">
        <v>118</v>
      </c>
      <c r="AC1165" t="s">
        <v>119</v>
      </c>
      <c r="AD1165" t="s">
        <v>113</v>
      </c>
      <c r="AE1165" t="s">
        <v>120</v>
      </c>
      <c r="AG1165" t="s">
        <v>121</v>
      </c>
    </row>
    <row r="1166" spans="1:33" x14ac:dyDescent="0.25">
      <c r="A1166" t="str">
        <f>"1568477214"</f>
        <v>1568477214</v>
      </c>
      <c r="B1166" t="str">
        <f>"01560663"</f>
        <v>01560663</v>
      </c>
      <c r="C1166" t="s">
        <v>6970</v>
      </c>
      <c r="D1166" t="s">
        <v>6971</v>
      </c>
      <c r="E1166" t="s">
        <v>6972</v>
      </c>
      <c r="G1166" t="s">
        <v>6970</v>
      </c>
      <c r="H1166" t="s">
        <v>6973</v>
      </c>
      <c r="J1166" t="s">
        <v>6974</v>
      </c>
      <c r="L1166" t="s">
        <v>142</v>
      </c>
      <c r="M1166" t="s">
        <v>113</v>
      </c>
      <c r="R1166" t="s">
        <v>6975</v>
      </c>
      <c r="W1166" t="s">
        <v>6972</v>
      </c>
      <c r="Y1166" t="s">
        <v>116</v>
      </c>
      <c r="Z1166" t="s">
        <v>117</v>
      </c>
      <c r="AA1166" t="str">
        <f>"14215-1145"</f>
        <v>14215-1145</v>
      </c>
      <c r="AB1166" t="s">
        <v>118</v>
      </c>
      <c r="AC1166" t="s">
        <v>119</v>
      </c>
      <c r="AD1166" t="s">
        <v>113</v>
      </c>
      <c r="AE1166" t="s">
        <v>120</v>
      </c>
      <c r="AG1166" t="s">
        <v>121</v>
      </c>
    </row>
    <row r="1167" spans="1:33" x14ac:dyDescent="0.25">
      <c r="A1167" t="str">
        <f>"1568482693"</f>
        <v>1568482693</v>
      </c>
      <c r="B1167" t="str">
        <f>"00581613"</f>
        <v>00581613</v>
      </c>
      <c r="C1167" t="s">
        <v>6976</v>
      </c>
      <c r="D1167" t="s">
        <v>6977</v>
      </c>
      <c r="E1167" t="s">
        <v>6978</v>
      </c>
      <c r="G1167" t="s">
        <v>6976</v>
      </c>
      <c r="H1167" t="s">
        <v>937</v>
      </c>
      <c r="J1167" t="s">
        <v>6979</v>
      </c>
      <c r="L1167" t="s">
        <v>142</v>
      </c>
      <c r="M1167" t="s">
        <v>113</v>
      </c>
      <c r="R1167" t="s">
        <v>6980</v>
      </c>
      <c r="W1167" t="s">
        <v>6978</v>
      </c>
      <c r="X1167" t="s">
        <v>6981</v>
      </c>
      <c r="Y1167" t="s">
        <v>816</v>
      </c>
      <c r="Z1167" t="s">
        <v>117</v>
      </c>
      <c r="AA1167" t="str">
        <f>"14120-6196"</f>
        <v>14120-6196</v>
      </c>
      <c r="AB1167" t="s">
        <v>118</v>
      </c>
      <c r="AC1167" t="s">
        <v>119</v>
      </c>
      <c r="AD1167" t="s">
        <v>113</v>
      </c>
      <c r="AE1167" t="s">
        <v>120</v>
      </c>
      <c r="AG1167" t="s">
        <v>121</v>
      </c>
    </row>
    <row r="1168" spans="1:33" x14ac:dyDescent="0.25">
      <c r="A1168" t="str">
        <f>"1568495877"</f>
        <v>1568495877</v>
      </c>
      <c r="C1168" t="s">
        <v>6982</v>
      </c>
      <c r="G1168" t="s">
        <v>6983</v>
      </c>
      <c r="H1168" t="s">
        <v>382</v>
      </c>
      <c r="K1168" t="s">
        <v>303</v>
      </c>
      <c r="L1168" t="s">
        <v>229</v>
      </c>
      <c r="M1168" t="s">
        <v>113</v>
      </c>
      <c r="R1168" t="s">
        <v>6982</v>
      </c>
      <c r="S1168" t="s">
        <v>6984</v>
      </c>
      <c r="T1168" t="s">
        <v>6985</v>
      </c>
      <c r="U1168" t="s">
        <v>117</v>
      </c>
      <c r="V1168" t="str">
        <f>"14781"</f>
        <v>14781</v>
      </c>
      <c r="AC1168" t="s">
        <v>119</v>
      </c>
      <c r="AD1168" t="s">
        <v>113</v>
      </c>
      <c r="AE1168" t="s">
        <v>306</v>
      </c>
      <c r="AG1168" t="s">
        <v>121</v>
      </c>
    </row>
    <row r="1169" spans="1:33" x14ac:dyDescent="0.25">
      <c r="A1169" t="str">
        <f>"1568499614"</f>
        <v>1568499614</v>
      </c>
      <c r="B1169" t="str">
        <f>"02325708"</f>
        <v>02325708</v>
      </c>
      <c r="C1169" t="s">
        <v>6986</v>
      </c>
      <c r="D1169" t="s">
        <v>6987</v>
      </c>
      <c r="E1169" t="s">
        <v>6988</v>
      </c>
      <c r="G1169" t="s">
        <v>6986</v>
      </c>
      <c r="H1169" t="s">
        <v>6989</v>
      </c>
      <c r="J1169" t="s">
        <v>6990</v>
      </c>
      <c r="L1169" t="s">
        <v>112</v>
      </c>
      <c r="M1169" t="s">
        <v>113</v>
      </c>
      <c r="R1169" t="s">
        <v>6991</v>
      </c>
      <c r="W1169" t="s">
        <v>6992</v>
      </c>
      <c r="X1169" t="s">
        <v>6993</v>
      </c>
      <c r="Y1169" t="s">
        <v>958</v>
      </c>
      <c r="Z1169" t="s">
        <v>117</v>
      </c>
      <c r="AA1169" t="str">
        <f>"14226-1545"</f>
        <v>14226-1545</v>
      </c>
      <c r="AB1169" t="s">
        <v>634</v>
      </c>
      <c r="AC1169" t="s">
        <v>119</v>
      </c>
      <c r="AD1169" t="s">
        <v>113</v>
      </c>
      <c r="AE1169" t="s">
        <v>120</v>
      </c>
      <c r="AG1169" t="s">
        <v>121</v>
      </c>
    </row>
    <row r="1170" spans="1:33" x14ac:dyDescent="0.25">
      <c r="A1170" t="str">
        <f>"1568523058"</f>
        <v>1568523058</v>
      </c>
      <c r="B1170" t="str">
        <f>"02830880"</f>
        <v>02830880</v>
      </c>
      <c r="C1170" t="s">
        <v>6994</v>
      </c>
      <c r="D1170" t="s">
        <v>6995</v>
      </c>
      <c r="E1170" t="s">
        <v>6996</v>
      </c>
      <c r="G1170" t="s">
        <v>6994</v>
      </c>
      <c r="H1170" t="s">
        <v>205</v>
      </c>
      <c r="J1170" t="s">
        <v>6997</v>
      </c>
      <c r="L1170" t="s">
        <v>142</v>
      </c>
      <c r="M1170" t="s">
        <v>113</v>
      </c>
      <c r="R1170" t="s">
        <v>6998</v>
      </c>
      <c r="W1170" t="s">
        <v>6996</v>
      </c>
      <c r="X1170" t="s">
        <v>176</v>
      </c>
      <c r="Y1170" t="s">
        <v>116</v>
      </c>
      <c r="Z1170" t="s">
        <v>117</v>
      </c>
      <c r="AA1170" t="str">
        <f>"14203-1126"</f>
        <v>14203-1126</v>
      </c>
      <c r="AB1170" t="s">
        <v>118</v>
      </c>
      <c r="AC1170" t="s">
        <v>119</v>
      </c>
      <c r="AD1170" t="s">
        <v>113</v>
      </c>
      <c r="AE1170" t="s">
        <v>120</v>
      </c>
      <c r="AG1170" t="s">
        <v>121</v>
      </c>
    </row>
    <row r="1171" spans="1:33" x14ac:dyDescent="0.25">
      <c r="A1171" t="str">
        <f>"1568530202"</f>
        <v>1568530202</v>
      </c>
      <c r="B1171" t="str">
        <f>"03302256"</f>
        <v>03302256</v>
      </c>
      <c r="C1171" t="s">
        <v>6999</v>
      </c>
      <c r="D1171" t="s">
        <v>7000</v>
      </c>
      <c r="E1171" t="s">
        <v>7001</v>
      </c>
      <c r="G1171" t="s">
        <v>6999</v>
      </c>
      <c r="H1171" t="s">
        <v>7002</v>
      </c>
      <c r="J1171" t="s">
        <v>7003</v>
      </c>
      <c r="L1171" t="s">
        <v>142</v>
      </c>
      <c r="M1171" t="s">
        <v>113</v>
      </c>
      <c r="R1171" t="s">
        <v>7001</v>
      </c>
      <c r="W1171" t="s">
        <v>7004</v>
      </c>
      <c r="X1171" t="s">
        <v>216</v>
      </c>
      <c r="Y1171" t="s">
        <v>116</v>
      </c>
      <c r="Z1171" t="s">
        <v>117</v>
      </c>
      <c r="AA1171" t="str">
        <f>"14222-2006"</f>
        <v>14222-2006</v>
      </c>
      <c r="AB1171" t="s">
        <v>118</v>
      </c>
      <c r="AC1171" t="s">
        <v>119</v>
      </c>
      <c r="AD1171" t="s">
        <v>113</v>
      </c>
      <c r="AE1171" t="s">
        <v>120</v>
      </c>
      <c r="AG1171" t="s">
        <v>121</v>
      </c>
    </row>
    <row r="1172" spans="1:33" x14ac:dyDescent="0.25">
      <c r="A1172" t="str">
        <f>"1568536043"</f>
        <v>1568536043</v>
      </c>
      <c r="B1172" t="str">
        <f>"02430019"</f>
        <v>02430019</v>
      </c>
      <c r="C1172" t="s">
        <v>7005</v>
      </c>
      <c r="D1172" t="s">
        <v>7006</v>
      </c>
      <c r="E1172" t="s">
        <v>7007</v>
      </c>
      <c r="G1172" t="s">
        <v>7008</v>
      </c>
      <c r="H1172" t="s">
        <v>667</v>
      </c>
      <c r="J1172" t="s">
        <v>7009</v>
      </c>
      <c r="L1172" t="s">
        <v>142</v>
      </c>
      <c r="M1172" t="s">
        <v>113</v>
      </c>
      <c r="R1172" t="s">
        <v>7010</v>
      </c>
      <c r="W1172" t="s">
        <v>7007</v>
      </c>
      <c r="X1172" t="s">
        <v>7011</v>
      </c>
      <c r="Y1172" t="s">
        <v>326</v>
      </c>
      <c r="Z1172" t="s">
        <v>117</v>
      </c>
      <c r="AA1172" t="str">
        <f>"14127-1752"</f>
        <v>14127-1752</v>
      </c>
      <c r="AB1172" t="s">
        <v>118</v>
      </c>
      <c r="AC1172" t="s">
        <v>119</v>
      </c>
      <c r="AD1172" t="s">
        <v>113</v>
      </c>
      <c r="AE1172" t="s">
        <v>120</v>
      </c>
      <c r="AG1172" t="s">
        <v>121</v>
      </c>
    </row>
    <row r="1173" spans="1:33" x14ac:dyDescent="0.25">
      <c r="A1173" t="str">
        <f>"1568541456"</f>
        <v>1568541456</v>
      </c>
      <c r="B1173" t="str">
        <f>"01405334"</f>
        <v>01405334</v>
      </c>
      <c r="C1173" t="s">
        <v>7012</v>
      </c>
      <c r="D1173" t="s">
        <v>7013</v>
      </c>
      <c r="E1173" t="s">
        <v>7014</v>
      </c>
      <c r="G1173" t="s">
        <v>7015</v>
      </c>
      <c r="H1173" t="s">
        <v>7016</v>
      </c>
      <c r="J1173" t="s">
        <v>7017</v>
      </c>
      <c r="L1173" t="s">
        <v>112</v>
      </c>
      <c r="M1173" t="s">
        <v>113</v>
      </c>
      <c r="R1173" t="s">
        <v>7018</v>
      </c>
      <c r="W1173" t="s">
        <v>7014</v>
      </c>
      <c r="X1173" t="s">
        <v>7019</v>
      </c>
      <c r="Y1173" t="s">
        <v>816</v>
      </c>
      <c r="Z1173" t="s">
        <v>117</v>
      </c>
      <c r="AA1173" t="str">
        <f>"14120"</f>
        <v>14120</v>
      </c>
      <c r="AB1173" t="s">
        <v>634</v>
      </c>
      <c r="AC1173" t="s">
        <v>119</v>
      </c>
      <c r="AD1173" t="s">
        <v>113</v>
      </c>
      <c r="AE1173" t="s">
        <v>120</v>
      </c>
      <c r="AG1173" t="s">
        <v>121</v>
      </c>
    </row>
    <row r="1174" spans="1:33" x14ac:dyDescent="0.25">
      <c r="A1174" t="str">
        <f>"1710982418"</f>
        <v>1710982418</v>
      </c>
      <c r="B1174" t="str">
        <f>"01566178"</f>
        <v>01566178</v>
      </c>
      <c r="C1174" t="s">
        <v>7020</v>
      </c>
      <c r="D1174" t="s">
        <v>7021</v>
      </c>
      <c r="E1174" t="s">
        <v>7022</v>
      </c>
      <c r="G1174" t="s">
        <v>7020</v>
      </c>
      <c r="H1174" t="s">
        <v>707</v>
      </c>
      <c r="J1174" t="s">
        <v>7023</v>
      </c>
      <c r="L1174" t="s">
        <v>112</v>
      </c>
      <c r="M1174" t="s">
        <v>113</v>
      </c>
      <c r="R1174" t="s">
        <v>7024</v>
      </c>
      <c r="W1174" t="s">
        <v>7022</v>
      </c>
      <c r="X1174" t="s">
        <v>7025</v>
      </c>
      <c r="Y1174" t="s">
        <v>116</v>
      </c>
      <c r="Z1174" t="s">
        <v>117</v>
      </c>
      <c r="AA1174" t="str">
        <f>"14222-2099"</f>
        <v>14222-2099</v>
      </c>
      <c r="AB1174" t="s">
        <v>118</v>
      </c>
      <c r="AC1174" t="s">
        <v>119</v>
      </c>
      <c r="AD1174" t="s">
        <v>113</v>
      </c>
      <c r="AE1174" t="s">
        <v>120</v>
      </c>
      <c r="AG1174" t="s">
        <v>121</v>
      </c>
    </row>
    <row r="1175" spans="1:33" x14ac:dyDescent="0.25">
      <c r="A1175" t="str">
        <f>"1710982749"</f>
        <v>1710982749</v>
      </c>
      <c r="B1175" t="str">
        <f>"00914241"</f>
        <v>00914241</v>
      </c>
      <c r="C1175" t="s">
        <v>7026</v>
      </c>
      <c r="D1175" t="s">
        <v>7027</v>
      </c>
      <c r="E1175" t="s">
        <v>7028</v>
      </c>
      <c r="G1175" t="s">
        <v>7026</v>
      </c>
      <c r="H1175" t="s">
        <v>7029</v>
      </c>
      <c r="J1175" t="s">
        <v>7030</v>
      </c>
      <c r="L1175" t="s">
        <v>142</v>
      </c>
      <c r="M1175" t="s">
        <v>113</v>
      </c>
      <c r="R1175" t="s">
        <v>7031</v>
      </c>
      <c r="W1175" t="s">
        <v>7032</v>
      </c>
      <c r="X1175" t="s">
        <v>176</v>
      </c>
      <c r="Y1175" t="s">
        <v>116</v>
      </c>
      <c r="Z1175" t="s">
        <v>117</v>
      </c>
      <c r="AA1175" t="str">
        <f>"14203-1126"</f>
        <v>14203-1126</v>
      </c>
      <c r="AB1175" t="s">
        <v>118</v>
      </c>
      <c r="AC1175" t="s">
        <v>119</v>
      </c>
      <c r="AD1175" t="s">
        <v>113</v>
      </c>
      <c r="AE1175" t="s">
        <v>120</v>
      </c>
      <c r="AG1175" t="s">
        <v>121</v>
      </c>
    </row>
    <row r="1176" spans="1:33" x14ac:dyDescent="0.25">
      <c r="A1176" t="str">
        <f>"1710987128"</f>
        <v>1710987128</v>
      </c>
      <c r="B1176" t="str">
        <f>"01651981"</f>
        <v>01651981</v>
      </c>
      <c r="C1176" t="s">
        <v>7033</v>
      </c>
      <c r="D1176" t="s">
        <v>7034</v>
      </c>
      <c r="E1176" t="s">
        <v>7035</v>
      </c>
      <c r="G1176" t="s">
        <v>7033</v>
      </c>
      <c r="H1176" t="s">
        <v>1196</v>
      </c>
      <c r="J1176" t="s">
        <v>7036</v>
      </c>
      <c r="L1176" t="s">
        <v>142</v>
      </c>
      <c r="M1176" t="s">
        <v>113</v>
      </c>
      <c r="R1176" t="s">
        <v>7037</v>
      </c>
      <c r="W1176" t="s">
        <v>7035</v>
      </c>
      <c r="X1176" t="s">
        <v>3803</v>
      </c>
      <c r="Y1176" t="s">
        <v>129</v>
      </c>
      <c r="Z1176" t="s">
        <v>117</v>
      </c>
      <c r="AA1176" t="str">
        <f>"14224-2646"</f>
        <v>14224-2646</v>
      </c>
      <c r="AB1176" t="s">
        <v>118</v>
      </c>
      <c r="AC1176" t="s">
        <v>119</v>
      </c>
      <c r="AD1176" t="s">
        <v>113</v>
      </c>
      <c r="AE1176" t="s">
        <v>120</v>
      </c>
      <c r="AG1176" t="s">
        <v>121</v>
      </c>
    </row>
    <row r="1177" spans="1:33" x14ac:dyDescent="0.25">
      <c r="A1177" t="str">
        <f>"1396700076"</f>
        <v>1396700076</v>
      </c>
      <c r="B1177" t="str">
        <f>"00915137"</f>
        <v>00915137</v>
      </c>
      <c r="C1177" t="s">
        <v>7038</v>
      </c>
      <c r="D1177" t="s">
        <v>7039</v>
      </c>
      <c r="E1177" t="s">
        <v>7040</v>
      </c>
      <c r="G1177" t="s">
        <v>7038</v>
      </c>
      <c r="H1177" t="s">
        <v>7041</v>
      </c>
      <c r="J1177" t="s">
        <v>7042</v>
      </c>
      <c r="L1177" t="s">
        <v>142</v>
      </c>
      <c r="M1177" t="s">
        <v>113</v>
      </c>
      <c r="R1177" t="s">
        <v>7043</v>
      </c>
      <c r="W1177" t="s">
        <v>7044</v>
      </c>
      <c r="X1177" t="s">
        <v>7045</v>
      </c>
      <c r="Y1177" t="s">
        <v>527</v>
      </c>
      <c r="Z1177" t="s">
        <v>117</v>
      </c>
      <c r="AA1177" t="str">
        <f>"14103-1066"</f>
        <v>14103-1066</v>
      </c>
      <c r="AB1177" t="s">
        <v>1755</v>
      </c>
      <c r="AC1177" t="s">
        <v>119</v>
      </c>
      <c r="AD1177" t="s">
        <v>113</v>
      </c>
      <c r="AE1177" t="s">
        <v>120</v>
      </c>
      <c r="AG1177" t="s">
        <v>121</v>
      </c>
    </row>
    <row r="1178" spans="1:33" x14ac:dyDescent="0.25">
      <c r="A1178" t="str">
        <f>"1396702486"</f>
        <v>1396702486</v>
      </c>
      <c r="B1178" t="str">
        <f>"00975291"</f>
        <v>00975291</v>
      </c>
      <c r="C1178" t="s">
        <v>7046</v>
      </c>
      <c r="D1178" t="s">
        <v>7047</v>
      </c>
      <c r="E1178" t="s">
        <v>7048</v>
      </c>
      <c r="G1178" t="s">
        <v>7046</v>
      </c>
      <c r="H1178" t="s">
        <v>7049</v>
      </c>
      <c r="J1178" t="s">
        <v>7050</v>
      </c>
      <c r="L1178" t="s">
        <v>142</v>
      </c>
      <c r="M1178" t="s">
        <v>113</v>
      </c>
      <c r="R1178" t="s">
        <v>7051</v>
      </c>
      <c r="W1178" t="s">
        <v>7048</v>
      </c>
      <c r="X1178" t="s">
        <v>7052</v>
      </c>
      <c r="Y1178" t="s">
        <v>116</v>
      </c>
      <c r="Z1178" t="s">
        <v>117</v>
      </c>
      <c r="AA1178" t="str">
        <f>"14201-1510"</f>
        <v>14201-1510</v>
      </c>
      <c r="AB1178" t="s">
        <v>1755</v>
      </c>
      <c r="AC1178" t="s">
        <v>119</v>
      </c>
      <c r="AD1178" t="s">
        <v>113</v>
      </c>
      <c r="AE1178" t="s">
        <v>120</v>
      </c>
      <c r="AG1178" t="s">
        <v>121</v>
      </c>
    </row>
    <row r="1179" spans="1:33" x14ac:dyDescent="0.25">
      <c r="A1179" t="str">
        <f>"1396709499"</f>
        <v>1396709499</v>
      </c>
      <c r="B1179" t="str">
        <f>"01744283"</f>
        <v>01744283</v>
      </c>
      <c r="C1179" t="s">
        <v>7053</v>
      </c>
      <c r="D1179" t="s">
        <v>7054</v>
      </c>
      <c r="E1179" t="s">
        <v>7055</v>
      </c>
      <c r="G1179" t="s">
        <v>7053</v>
      </c>
      <c r="H1179" t="s">
        <v>172</v>
      </c>
      <c r="J1179" t="s">
        <v>7056</v>
      </c>
      <c r="L1179" t="s">
        <v>150</v>
      </c>
      <c r="M1179" t="s">
        <v>113</v>
      </c>
      <c r="R1179" t="s">
        <v>7057</v>
      </c>
      <c r="W1179" t="s">
        <v>7055</v>
      </c>
      <c r="X1179" t="s">
        <v>682</v>
      </c>
      <c r="Y1179" t="s">
        <v>326</v>
      </c>
      <c r="Z1179" t="s">
        <v>117</v>
      </c>
      <c r="AA1179" t="str">
        <f>"14127-1934"</f>
        <v>14127-1934</v>
      </c>
      <c r="AB1179" t="s">
        <v>118</v>
      </c>
      <c r="AC1179" t="s">
        <v>119</v>
      </c>
      <c r="AD1179" t="s">
        <v>113</v>
      </c>
      <c r="AE1179" t="s">
        <v>120</v>
      </c>
      <c r="AG1179" t="s">
        <v>121</v>
      </c>
    </row>
    <row r="1180" spans="1:33" x14ac:dyDescent="0.25">
      <c r="A1180" t="str">
        <f>"1518033240"</f>
        <v>1518033240</v>
      </c>
      <c r="B1180" t="str">
        <f>"01752721"</f>
        <v>01752721</v>
      </c>
      <c r="C1180" t="s">
        <v>7058</v>
      </c>
      <c r="D1180" t="s">
        <v>7059</v>
      </c>
      <c r="E1180" t="s">
        <v>7060</v>
      </c>
      <c r="G1180" t="s">
        <v>7058</v>
      </c>
      <c r="H1180" t="s">
        <v>7061</v>
      </c>
      <c r="J1180" t="s">
        <v>7062</v>
      </c>
      <c r="L1180" t="s">
        <v>112</v>
      </c>
      <c r="M1180" t="s">
        <v>113</v>
      </c>
      <c r="R1180" t="s">
        <v>7063</v>
      </c>
      <c r="W1180" t="s">
        <v>7060</v>
      </c>
      <c r="X1180" t="s">
        <v>7064</v>
      </c>
      <c r="Y1180" t="s">
        <v>116</v>
      </c>
      <c r="Z1180" t="s">
        <v>117</v>
      </c>
      <c r="AA1180" t="str">
        <f>"14215-3098"</f>
        <v>14215-3098</v>
      </c>
      <c r="AB1180" t="s">
        <v>634</v>
      </c>
      <c r="AC1180" t="s">
        <v>119</v>
      </c>
      <c r="AD1180" t="s">
        <v>113</v>
      </c>
      <c r="AE1180" t="s">
        <v>120</v>
      </c>
      <c r="AG1180" t="s">
        <v>121</v>
      </c>
    </row>
    <row r="1181" spans="1:33" x14ac:dyDescent="0.25">
      <c r="A1181" t="str">
        <f>"1518038504"</f>
        <v>1518038504</v>
      </c>
      <c r="B1181" t="str">
        <f>"01034422"</f>
        <v>01034422</v>
      </c>
      <c r="C1181" t="s">
        <v>7065</v>
      </c>
      <c r="D1181" t="s">
        <v>7066</v>
      </c>
      <c r="E1181" t="s">
        <v>7067</v>
      </c>
      <c r="G1181" t="s">
        <v>7065</v>
      </c>
      <c r="H1181" t="s">
        <v>7068</v>
      </c>
      <c r="J1181" t="s">
        <v>7069</v>
      </c>
      <c r="L1181" t="s">
        <v>142</v>
      </c>
      <c r="M1181" t="s">
        <v>113</v>
      </c>
      <c r="R1181" t="s">
        <v>7070</v>
      </c>
      <c r="W1181" t="s">
        <v>7067</v>
      </c>
      <c r="X1181" t="s">
        <v>7071</v>
      </c>
      <c r="Y1181" t="s">
        <v>145</v>
      </c>
      <c r="Z1181" t="s">
        <v>117</v>
      </c>
      <c r="AA1181" t="str">
        <f>"14051-1485"</f>
        <v>14051-1485</v>
      </c>
      <c r="AB1181" t="s">
        <v>1755</v>
      </c>
      <c r="AC1181" t="s">
        <v>119</v>
      </c>
      <c r="AD1181" t="s">
        <v>113</v>
      </c>
      <c r="AE1181" t="s">
        <v>120</v>
      </c>
      <c r="AG1181" t="s">
        <v>121</v>
      </c>
    </row>
    <row r="1182" spans="1:33" x14ac:dyDescent="0.25">
      <c r="A1182" t="str">
        <f>"1518086206"</f>
        <v>1518086206</v>
      </c>
      <c r="B1182" t="str">
        <f>"02861118"</f>
        <v>02861118</v>
      </c>
      <c r="C1182" t="s">
        <v>7072</v>
      </c>
      <c r="D1182" t="s">
        <v>7073</v>
      </c>
      <c r="E1182" t="s">
        <v>7074</v>
      </c>
      <c r="G1182" t="s">
        <v>7072</v>
      </c>
      <c r="H1182" t="s">
        <v>449</v>
      </c>
      <c r="J1182" t="s">
        <v>7075</v>
      </c>
      <c r="L1182" t="s">
        <v>112</v>
      </c>
      <c r="M1182" t="s">
        <v>113</v>
      </c>
      <c r="R1182" t="s">
        <v>7076</v>
      </c>
      <c r="W1182" t="s">
        <v>7074</v>
      </c>
      <c r="X1182" t="s">
        <v>3705</v>
      </c>
      <c r="Y1182" t="s">
        <v>116</v>
      </c>
      <c r="Z1182" t="s">
        <v>117</v>
      </c>
      <c r="AA1182" t="str">
        <f>"14226-1727"</f>
        <v>14226-1727</v>
      </c>
      <c r="AB1182" t="s">
        <v>118</v>
      </c>
      <c r="AC1182" t="s">
        <v>119</v>
      </c>
      <c r="AD1182" t="s">
        <v>113</v>
      </c>
      <c r="AE1182" t="s">
        <v>120</v>
      </c>
      <c r="AG1182" t="s">
        <v>121</v>
      </c>
    </row>
    <row r="1183" spans="1:33" x14ac:dyDescent="0.25">
      <c r="A1183" t="str">
        <f>"1508048968"</f>
        <v>1508048968</v>
      </c>
      <c r="B1183" t="str">
        <f>"01288682"</f>
        <v>01288682</v>
      </c>
      <c r="C1183" t="s">
        <v>1578</v>
      </c>
      <c r="D1183" t="s">
        <v>6177</v>
      </c>
      <c r="E1183" t="s">
        <v>6178</v>
      </c>
      <c r="F1183">
        <v>160975538</v>
      </c>
      <c r="H1183" t="s">
        <v>6179</v>
      </c>
      <c r="L1183" t="s">
        <v>69</v>
      </c>
      <c r="M1183" t="s">
        <v>199</v>
      </c>
      <c r="R1183" t="s">
        <v>1578</v>
      </c>
      <c r="W1183" t="s">
        <v>6178</v>
      </c>
      <c r="X1183" t="s">
        <v>1584</v>
      </c>
      <c r="Y1183" t="s">
        <v>240</v>
      </c>
      <c r="Z1183" t="s">
        <v>117</v>
      </c>
      <c r="AA1183" t="str">
        <f>"14221-3230"</f>
        <v>14221-3230</v>
      </c>
      <c r="AB1183" t="s">
        <v>291</v>
      </c>
      <c r="AC1183" t="s">
        <v>119</v>
      </c>
      <c r="AD1183" t="s">
        <v>113</v>
      </c>
      <c r="AE1183" t="s">
        <v>120</v>
      </c>
      <c r="AG1183" t="s">
        <v>121</v>
      </c>
    </row>
    <row r="1184" spans="1:33" x14ac:dyDescent="0.25">
      <c r="A1184" t="str">
        <f>"1518129097"</f>
        <v>1518129097</v>
      </c>
      <c r="B1184" t="str">
        <f>"03040719"</f>
        <v>03040719</v>
      </c>
      <c r="C1184" t="s">
        <v>7083</v>
      </c>
      <c r="D1184" t="s">
        <v>7084</v>
      </c>
      <c r="E1184" t="s">
        <v>7085</v>
      </c>
      <c r="G1184" t="s">
        <v>7083</v>
      </c>
      <c r="H1184" t="s">
        <v>272</v>
      </c>
      <c r="J1184" t="s">
        <v>7086</v>
      </c>
      <c r="L1184" t="s">
        <v>150</v>
      </c>
      <c r="M1184" t="s">
        <v>199</v>
      </c>
      <c r="R1184" t="s">
        <v>7087</v>
      </c>
      <c r="W1184" t="s">
        <v>7088</v>
      </c>
      <c r="X1184" t="s">
        <v>966</v>
      </c>
      <c r="Y1184" t="s">
        <v>116</v>
      </c>
      <c r="Z1184" t="s">
        <v>117</v>
      </c>
      <c r="AA1184" t="str">
        <f>"14207-1816"</f>
        <v>14207-1816</v>
      </c>
      <c r="AB1184" t="s">
        <v>118</v>
      </c>
      <c r="AC1184" t="s">
        <v>119</v>
      </c>
      <c r="AD1184" t="s">
        <v>113</v>
      </c>
      <c r="AE1184" t="s">
        <v>120</v>
      </c>
      <c r="AG1184" t="s">
        <v>121</v>
      </c>
    </row>
    <row r="1185" spans="1:33" x14ac:dyDescent="0.25">
      <c r="A1185" t="str">
        <f>"1518136571"</f>
        <v>1518136571</v>
      </c>
      <c r="C1185" t="s">
        <v>7089</v>
      </c>
      <c r="G1185" t="s">
        <v>7090</v>
      </c>
      <c r="H1185" t="s">
        <v>590</v>
      </c>
      <c r="J1185" t="s">
        <v>7091</v>
      </c>
      <c r="K1185" t="s">
        <v>303</v>
      </c>
      <c r="L1185" t="s">
        <v>229</v>
      </c>
      <c r="M1185" t="s">
        <v>113</v>
      </c>
      <c r="R1185" t="s">
        <v>7092</v>
      </c>
      <c r="S1185" t="s">
        <v>6904</v>
      </c>
      <c r="T1185" t="s">
        <v>268</v>
      </c>
      <c r="U1185" t="s">
        <v>117</v>
      </c>
      <c r="V1185" t="str">
        <f>"141509200"</f>
        <v>141509200</v>
      </c>
      <c r="AC1185" t="s">
        <v>119</v>
      </c>
      <c r="AD1185" t="s">
        <v>113</v>
      </c>
      <c r="AE1185" t="s">
        <v>306</v>
      </c>
      <c r="AG1185" t="s">
        <v>121</v>
      </c>
    </row>
    <row r="1186" spans="1:33" x14ac:dyDescent="0.25">
      <c r="A1186" t="str">
        <f>"1518163419"</f>
        <v>1518163419</v>
      </c>
      <c r="B1186" t="str">
        <f>"02899690"</f>
        <v>02899690</v>
      </c>
      <c r="C1186" t="s">
        <v>7093</v>
      </c>
      <c r="D1186" t="s">
        <v>7094</v>
      </c>
      <c r="E1186" t="s">
        <v>7095</v>
      </c>
      <c r="G1186" t="s">
        <v>7093</v>
      </c>
      <c r="H1186" t="s">
        <v>7096</v>
      </c>
      <c r="J1186" t="s">
        <v>7097</v>
      </c>
      <c r="L1186" t="s">
        <v>142</v>
      </c>
      <c r="M1186" t="s">
        <v>113</v>
      </c>
      <c r="R1186" t="s">
        <v>7098</v>
      </c>
      <c r="W1186" t="s">
        <v>7095</v>
      </c>
      <c r="X1186" t="s">
        <v>1845</v>
      </c>
      <c r="Y1186" t="s">
        <v>889</v>
      </c>
      <c r="Z1186" t="s">
        <v>117</v>
      </c>
      <c r="AA1186" t="str">
        <f>"14120-6150"</f>
        <v>14120-6150</v>
      </c>
      <c r="AB1186" t="s">
        <v>118</v>
      </c>
      <c r="AC1186" t="s">
        <v>119</v>
      </c>
      <c r="AD1186" t="s">
        <v>113</v>
      </c>
      <c r="AE1186" t="s">
        <v>120</v>
      </c>
      <c r="AG1186" t="s">
        <v>121</v>
      </c>
    </row>
    <row r="1187" spans="1:33" x14ac:dyDescent="0.25">
      <c r="A1187" t="str">
        <f>"1518192566"</f>
        <v>1518192566</v>
      </c>
      <c r="B1187" t="str">
        <f>"03112925"</f>
        <v>03112925</v>
      </c>
      <c r="C1187" t="s">
        <v>7099</v>
      </c>
      <c r="D1187" t="s">
        <v>7100</v>
      </c>
      <c r="E1187" t="s">
        <v>7101</v>
      </c>
      <c r="G1187" t="s">
        <v>7102</v>
      </c>
      <c r="H1187" t="s">
        <v>7103</v>
      </c>
      <c r="J1187" t="s">
        <v>7104</v>
      </c>
      <c r="L1187" t="s">
        <v>112</v>
      </c>
      <c r="M1187" t="s">
        <v>113</v>
      </c>
      <c r="R1187" t="s">
        <v>7105</v>
      </c>
      <c r="W1187" t="s">
        <v>7106</v>
      </c>
      <c r="X1187" t="s">
        <v>136</v>
      </c>
      <c r="Y1187" t="s">
        <v>116</v>
      </c>
      <c r="Z1187" t="s">
        <v>117</v>
      </c>
      <c r="AA1187" t="str">
        <f>"14209-1120"</f>
        <v>14209-1120</v>
      </c>
      <c r="AB1187" t="s">
        <v>118</v>
      </c>
      <c r="AC1187" t="s">
        <v>119</v>
      </c>
      <c r="AD1187" t="s">
        <v>113</v>
      </c>
      <c r="AE1187" t="s">
        <v>120</v>
      </c>
      <c r="AG1187" t="s">
        <v>121</v>
      </c>
    </row>
    <row r="1188" spans="1:33" x14ac:dyDescent="0.25">
      <c r="A1188" t="str">
        <f>"1518198878"</f>
        <v>1518198878</v>
      </c>
      <c r="B1188" t="str">
        <f>"03164427"</f>
        <v>03164427</v>
      </c>
      <c r="C1188" t="s">
        <v>7107</v>
      </c>
      <c r="D1188" t="s">
        <v>7108</v>
      </c>
      <c r="E1188" t="s">
        <v>7109</v>
      </c>
      <c r="G1188" t="s">
        <v>7107</v>
      </c>
      <c r="H1188" t="s">
        <v>2812</v>
      </c>
      <c r="J1188" t="s">
        <v>7110</v>
      </c>
      <c r="L1188" t="s">
        <v>112</v>
      </c>
      <c r="M1188" t="s">
        <v>113</v>
      </c>
      <c r="R1188" t="s">
        <v>7111</v>
      </c>
      <c r="W1188" t="s">
        <v>7112</v>
      </c>
      <c r="X1188" t="s">
        <v>7113</v>
      </c>
      <c r="Y1188" t="s">
        <v>240</v>
      </c>
      <c r="Z1188" t="s">
        <v>117</v>
      </c>
      <c r="AA1188" t="str">
        <f>"14221-6800"</f>
        <v>14221-6800</v>
      </c>
      <c r="AB1188" t="s">
        <v>118</v>
      </c>
      <c r="AC1188" t="s">
        <v>119</v>
      </c>
      <c r="AD1188" t="s">
        <v>113</v>
      </c>
      <c r="AE1188" t="s">
        <v>120</v>
      </c>
      <c r="AG1188" t="s">
        <v>121</v>
      </c>
    </row>
    <row r="1189" spans="1:33" x14ac:dyDescent="0.25">
      <c r="A1189" t="str">
        <f>"1518198993"</f>
        <v>1518198993</v>
      </c>
      <c r="B1189" t="str">
        <f>"03151984"</f>
        <v>03151984</v>
      </c>
      <c r="C1189" t="s">
        <v>7114</v>
      </c>
      <c r="D1189" t="s">
        <v>7115</v>
      </c>
      <c r="E1189" t="s">
        <v>7116</v>
      </c>
      <c r="G1189" t="s">
        <v>7114</v>
      </c>
      <c r="H1189" t="s">
        <v>5624</v>
      </c>
      <c r="J1189" t="s">
        <v>7117</v>
      </c>
      <c r="L1189" t="s">
        <v>150</v>
      </c>
      <c r="M1189" t="s">
        <v>113</v>
      </c>
      <c r="R1189" t="s">
        <v>7118</v>
      </c>
      <c r="W1189" t="s">
        <v>7116</v>
      </c>
      <c r="X1189" t="s">
        <v>176</v>
      </c>
      <c r="Y1189" t="s">
        <v>116</v>
      </c>
      <c r="Z1189" t="s">
        <v>117</v>
      </c>
      <c r="AA1189" t="str">
        <f>"14203-1126"</f>
        <v>14203-1126</v>
      </c>
      <c r="AB1189" t="s">
        <v>118</v>
      </c>
      <c r="AC1189" t="s">
        <v>119</v>
      </c>
      <c r="AD1189" t="s">
        <v>113</v>
      </c>
      <c r="AE1189" t="s">
        <v>120</v>
      </c>
      <c r="AG1189" t="s">
        <v>121</v>
      </c>
    </row>
    <row r="1190" spans="1:33" x14ac:dyDescent="0.25">
      <c r="A1190" t="str">
        <f>"1518264027"</f>
        <v>1518264027</v>
      </c>
      <c r="B1190" t="str">
        <f>"03524334"</f>
        <v>03524334</v>
      </c>
      <c r="C1190" t="s">
        <v>7119</v>
      </c>
      <c r="D1190" t="s">
        <v>7120</v>
      </c>
      <c r="E1190" t="s">
        <v>7121</v>
      </c>
      <c r="G1190" t="s">
        <v>7119</v>
      </c>
      <c r="H1190" t="s">
        <v>579</v>
      </c>
      <c r="J1190" t="s">
        <v>7122</v>
      </c>
      <c r="L1190" t="s">
        <v>150</v>
      </c>
      <c r="M1190" t="s">
        <v>113</v>
      </c>
      <c r="R1190" t="s">
        <v>7123</v>
      </c>
      <c r="W1190" t="s">
        <v>7123</v>
      </c>
      <c r="X1190" t="s">
        <v>176</v>
      </c>
      <c r="Y1190" t="s">
        <v>116</v>
      </c>
      <c r="Z1190" t="s">
        <v>117</v>
      </c>
      <c r="AA1190" t="str">
        <f>"14203-1126"</f>
        <v>14203-1126</v>
      </c>
      <c r="AB1190" t="s">
        <v>118</v>
      </c>
      <c r="AC1190" t="s">
        <v>119</v>
      </c>
      <c r="AD1190" t="s">
        <v>113</v>
      </c>
      <c r="AE1190" t="s">
        <v>120</v>
      </c>
      <c r="AG1190" t="s">
        <v>121</v>
      </c>
    </row>
    <row r="1191" spans="1:33" x14ac:dyDescent="0.25">
      <c r="A1191" t="str">
        <f>"1518267491"</f>
        <v>1518267491</v>
      </c>
      <c r="B1191" t="str">
        <f>"03288240"</f>
        <v>03288240</v>
      </c>
      <c r="C1191" t="s">
        <v>7124</v>
      </c>
      <c r="D1191" t="s">
        <v>7125</v>
      </c>
      <c r="E1191" t="s">
        <v>7126</v>
      </c>
      <c r="G1191" t="s">
        <v>7124</v>
      </c>
      <c r="H1191" t="s">
        <v>7127</v>
      </c>
      <c r="J1191" t="s">
        <v>7128</v>
      </c>
      <c r="L1191" t="s">
        <v>112</v>
      </c>
      <c r="M1191" t="s">
        <v>113</v>
      </c>
      <c r="R1191" t="s">
        <v>7129</v>
      </c>
      <c r="W1191" t="s">
        <v>7126</v>
      </c>
      <c r="X1191" t="s">
        <v>838</v>
      </c>
      <c r="Y1191" t="s">
        <v>240</v>
      </c>
      <c r="Z1191" t="s">
        <v>117</v>
      </c>
      <c r="AA1191" t="str">
        <f>"14221-3647"</f>
        <v>14221-3647</v>
      </c>
      <c r="AB1191" t="s">
        <v>118</v>
      </c>
      <c r="AC1191" t="s">
        <v>119</v>
      </c>
      <c r="AD1191" t="s">
        <v>113</v>
      </c>
      <c r="AE1191" t="s">
        <v>120</v>
      </c>
      <c r="AG1191" t="s">
        <v>121</v>
      </c>
    </row>
    <row r="1192" spans="1:33" x14ac:dyDescent="0.25">
      <c r="A1192" t="str">
        <f>"1518268192"</f>
        <v>1518268192</v>
      </c>
      <c r="B1192" t="str">
        <f>"03296357"</f>
        <v>03296357</v>
      </c>
      <c r="C1192" t="s">
        <v>7130</v>
      </c>
      <c r="D1192" t="s">
        <v>7131</v>
      </c>
      <c r="E1192" t="s">
        <v>7132</v>
      </c>
      <c r="G1192" t="s">
        <v>7133</v>
      </c>
      <c r="H1192" t="s">
        <v>7134</v>
      </c>
      <c r="J1192" t="s">
        <v>7135</v>
      </c>
      <c r="L1192" t="s">
        <v>142</v>
      </c>
      <c r="M1192" t="s">
        <v>113</v>
      </c>
      <c r="R1192" t="s">
        <v>7136</v>
      </c>
      <c r="W1192" t="s">
        <v>7132</v>
      </c>
      <c r="X1192" t="s">
        <v>7137</v>
      </c>
      <c r="Y1192" t="s">
        <v>2690</v>
      </c>
      <c r="Z1192" t="s">
        <v>117</v>
      </c>
      <c r="AA1192" t="str">
        <f>"10467-2403"</f>
        <v>10467-2403</v>
      </c>
      <c r="AB1192" t="s">
        <v>118</v>
      </c>
      <c r="AC1192" t="s">
        <v>119</v>
      </c>
      <c r="AD1192" t="s">
        <v>113</v>
      </c>
      <c r="AE1192" t="s">
        <v>120</v>
      </c>
      <c r="AG1192" t="s">
        <v>121</v>
      </c>
    </row>
    <row r="1193" spans="1:33" x14ac:dyDescent="0.25">
      <c r="A1193" t="str">
        <f>"1518372200"</f>
        <v>1518372200</v>
      </c>
      <c r="B1193" t="str">
        <f>"04535984"</f>
        <v>04535984</v>
      </c>
      <c r="C1193" t="s">
        <v>7138</v>
      </c>
      <c r="D1193" t="s">
        <v>7139</v>
      </c>
      <c r="E1193" t="s">
        <v>7140</v>
      </c>
      <c r="G1193" t="s">
        <v>7141</v>
      </c>
      <c r="J1193" t="s">
        <v>7142</v>
      </c>
      <c r="L1193" t="s">
        <v>112</v>
      </c>
      <c r="M1193" t="s">
        <v>113</v>
      </c>
      <c r="R1193" t="s">
        <v>7143</v>
      </c>
      <c r="W1193" t="s">
        <v>7140</v>
      </c>
      <c r="AB1193" t="s">
        <v>118</v>
      </c>
      <c r="AC1193" t="s">
        <v>119</v>
      </c>
      <c r="AD1193" t="s">
        <v>113</v>
      </c>
      <c r="AE1193" t="s">
        <v>120</v>
      </c>
      <c r="AG1193" t="s">
        <v>121</v>
      </c>
    </row>
    <row r="1194" spans="1:33" x14ac:dyDescent="0.25">
      <c r="A1194" t="str">
        <f>"1740334267"</f>
        <v>1740334267</v>
      </c>
      <c r="B1194" t="str">
        <f>"03218462"</f>
        <v>03218462</v>
      </c>
      <c r="C1194" t="s">
        <v>7144</v>
      </c>
      <c r="D1194" t="s">
        <v>7145</v>
      </c>
      <c r="E1194" t="s">
        <v>7146</v>
      </c>
      <c r="G1194" t="s">
        <v>7147</v>
      </c>
      <c r="H1194" t="s">
        <v>7148</v>
      </c>
      <c r="L1194" t="s">
        <v>1033</v>
      </c>
      <c r="M1194" t="s">
        <v>113</v>
      </c>
      <c r="R1194" t="s">
        <v>7147</v>
      </c>
      <c r="W1194" t="s">
        <v>7146</v>
      </c>
      <c r="X1194" t="s">
        <v>7149</v>
      </c>
      <c r="Y1194" t="s">
        <v>986</v>
      </c>
      <c r="Z1194" t="s">
        <v>117</v>
      </c>
      <c r="AA1194" t="str">
        <f>"14701-6413"</f>
        <v>14701-6413</v>
      </c>
      <c r="AB1194" t="s">
        <v>118</v>
      </c>
      <c r="AC1194" t="s">
        <v>119</v>
      </c>
      <c r="AD1194" t="s">
        <v>113</v>
      </c>
      <c r="AE1194" t="s">
        <v>120</v>
      </c>
      <c r="AG1194" t="s">
        <v>121</v>
      </c>
    </row>
    <row r="1195" spans="1:33" x14ac:dyDescent="0.25">
      <c r="A1195" t="str">
        <f>"1780692046"</f>
        <v>1780692046</v>
      </c>
      <c r="B1195" t="str">
        <f>"02210704"</f>
        <v>02210704</v>
      </c>
      <c r="C1195" t="s">
        <v>7150</v>
      </c>
      <c r="D1195" t="s">
        <v>7151</v>
      </c>
      <c r="E1195" t="s">
        <v>7152</v>
      </c>
      <c r="G1195" t="s">
        <v>7153</v>
      </c>
      <c r="H1195" t="s">
        <v>205</v>
      </c>
      <c r="J1195" t="s">
        <v>7154</v>
      </c>
      <c r="L1195" t="s">
        <v>112</v>
      </c>
      <c r="M1195" t="s">
        <v>113</v>
      </c>
      <c r="R1195" t="s">
        <v>7155</v>
      </c>
      <c r="W1195" t="s">
        <v>7152</v>
      </c>
      <c r="X1195" t="s">
        <v>7156</v>
      </c>
      <c r="Y1195" t="s">
        <v>318</v>
      </c>
      <c r="Z1195" t="s">
        <v>117</v>
      </c>
      <c r="AA1195" t="str">
        <f>"14225-4031"</f>
        <v>14225-4031</v>
      </c>
      <c r="AB1195" t="s">
        <v>118</v>
      </c>
      <c r="AC1195" t="s">
        <v>119</v>
      </c>
      <c r="AD1195" t="s">
        <v>113</v>
      </c>
      <c r="AE1195" t="s">
        <v>120</v>
      </c>
      <c r="AG1195" t="s">
        <v>121</v>
      </c>
    </row>
    <row r="1196" spans="1:33" x14ac:dyDescent="0.25">
      <c r="A1196" t="str">
        <f>"1780704189"</f>
        <v>1780704189</v>
      </c>
      <c r="B1196" t="str">
        <f>"02422448"</f>
        <v>02422448</v>
      </c>
      <c r="C1196" t="s">
        <v>7157</v>
      </c>
      <c r="D1196" t="s">
        <v>7158</v>
      </c>
      <c r="E1196" t="s">
        <v>7159</v>
      </c>
      <c r="G1196" t="s">
        <v>7157</v>
      </c>
      <c r="H1196" t="s">
        <v>1227</v>
      </c>
      <c r="J1196" t="s">
        <v>7160</v>
      </c>
      <c r="L1196" t="s">
        <v>112</v>
      </c>
      <c r="M1196" t="s">
        <v>113</v>
      </c>
      <c r="R1196" t="s">
        <v>7161</v>
      </c>
      <c r="W1196" t="s">
        <v>7159</v>
      </c>
      <c r="X1196" t="s">
        <v>7162</v>
      </c>
      <c r="Y1196" t="s">
        <v>978</v>
      </c>
      <c r="Z1196" t="s">
        <v>117</v>
      </c>
      <c r="AA1196" t="str">
        <f>"14081"</f>
        <v>14081</v>
      </c>
      <c r="AB1196" t="s">
        <v>118</v>
      </c>
      <c r="AC1196" t="s">
        <v>119</v>
      </c>
      <c r="AD1196" t="s">
        <v>113</v>
      </c>
      <c r="AE1196" t="s">
        <v>120</v>
      </c>
      <c r="AG1196" t="s">
        <v>121</v>
      </c>
    </row>
    <row r="1197" spans="1:33" x14ac:dyDescent="0.25">
      <c r="A1197" t="str">
        <f>"1780738880"</f>
        <v>1780738880</v>
      </c>
      <c r="B1197" t="str">
        <f>"00957759"</f>
        <v>00957759</v>
      </c>
      <c r="C1197" t="s">
        <v>6038</v>
      </c>
      <c r="D1197" t="s">
        <v>7163</v>
      </c>
      <c r="E1197" t="s">
        <v>7164</v>
      </c>
      <c r="F1197">
        <v>160786061</v>
      </c>
      <c r="G1197" t="s">
        <v>6041</v>
      </c>
      <c r="H1197" t="s">
        <v>6042</v>
      </c>
      <c r="I1197">
        <v>126</v>
      </c>
      <c r="J1197" t="s">
        <v>6043</v>
      </c>
      <c r="L1197" t="s">
        <v>69</v>
      </c>
      <c r="M1197" t="s">
        <v>199</v>
      </c>
      <c r="R1197" t="s">
        <v>6038</v>
      </c>
      <c r="W1197" t="s">
        <v>7164</v>
      </c>
      <c r="X1197" t="s">
        <v>7165</v>
      </c>
      <c r="Y1197" t="s">
        <v>153</v>
      </c>
      <c r="Z1197" t="s">
        <v>117</v>
      </c>
      <c r="AA1197" t="str">
        <f>"14304-1071"</f>
        <v>14304-1071</v>
      </c>
      <c r="AB1197" t="s">
        <v>282</v>
      </c>
      <c r="AC1197" t="s">
        <v>119</v>
      </c>
      <c r="AD1197" t="s">
        <v>113</v>
      </c>
      <c r="AE1197" t="s">
        <v>120</v>
      </c>
      <c r="AG1197" t="s">
        <v>121</v>
      </c>
    </row>
    <row r="1198" spans="1:33" x14ac:dyDescent="0.25">
      <c r="A1198" t="str">
        <f>"1780756114"</f>
        <v>1780756114</v>
      </c>
      <c r="B1198" t="str">
        <f>"00357557"</f>
        <v>00357557</v>
      </c>
      <c r="C1198" t="s">
        <v>7166</v>
      </c>
      <c r="D1198" t="s">
        <v>7167</v>
      </c>
      <c r="E1198" t="s">
        <v>7168</v>
      </c>
      <c r="G1198" t="s">
        <v>7169</v>
      </c>
      <c r="H1198" t="s">
        <v>7170</v>
      </c>
      <c r="J1198" t="s">
        <v>7171</v>
      </c>
      <c r="L1198" t="s">
        <v>14</v>
      </c>
      <c r="M1198" t="s">
        <v>113</v>
      </c>
      <c r="R1198" t="s">
        <v>7166</v>
      </c>
      <c r="W1198" t="s">
        <v>7172</v>
      </c>
      <c r="X1198" t="s">
        <v>7173</v>
      </c>
      <c r="Y1198" t="s">
        <v>2762</v>
      </c>
      <c r="Z1198" t="s">
        <v>117</v>
      </c>
      <c r="AA1198" t="str">
        <f>"14620-1016"</f>
        <v>14620-1016</v>
      </c>
      <c r="AB1198" t="s">
        <v>1460</v>
      </c>
      <c r="AC1198" t="s">
        <v>119</v>
      </c>
      <c r="AD1198" t="s">
        <v>113</v>
      </c>
      <c r="AE1198" t="s">
        <v>120</v>
      </c>
      <c r="AG1198" t="s">
        <v>121</v>
      </c>
    </row>
    <row r="1199" spans="1:33" x14ac:dyDescent="0.25">
      <c r="A1199" t="str">
        <f>"1780757641"</f>
        <v>1780757641</v>
      </c>
      <c r="B1199" t="str">
        <f>"02899489"</f>
        <v>02899489</v>
      </c>
      <c r="C1199" t="s">
        <v>7174</v>
      </c>
      <c r="D1199" t="s">
        <v>7175</v>
      </c>
      <c r="E1199" t="s">
        <v>7176</v>
      </c>
      <c r="G1199" t="s">
        <v>7174</v>
      </c>
      <c r="H1199" t="s">
        <v>7177</v>
      </c>
      <c r="J1199" t="s">
        <v>7178</v>
      </c>
      <c r="L1199" t="s">
        <v>142</v>
      </c>
      <c r="M1199" t="s">
        <v>113</v>
      </c>
      <c r="R1199" t="s">
        <v>7179</v>
      </c>
      <c r="W1199" t="s">
        <v>7176</v>
      </c>
      <c r="X1199" t="s">
        <v>7180</v>
      </c>
      <c r="Y1199" t="s">
        <v>326</v>
      </c>
      <c r="Z1199" t="s">
        <v>117</v>
      </c>
      <c r="AA1199" t="str">
        <f>"14127-1577"</f>
        <v>14127-1577</v>
      </c>
      <c r="AB1199" t="s">
        <v>118</v>
      </c>
      <c r="AC1199" t="s">
        <v>119</v>
      </c>
      <c r="AD1199" t="s">
        <v>113</v>
      </c>
      <c r="AE1199" t="s">
        <v>120</v>
      </c>
      <c r="AG1199" t="s">
        <v>121</v>
      </c>
    </row>
    <row r="1200" spans="1:33" x14ac:dyDescent="0.25">
      <c r="A1200" t="str">
        <f>"1780766220"</f>
        <v>1780766220</v>
      </c>
      <c r="B1200" t="str">
        <f>"01636713"</f>
        <v>01636713</v>
      </c>
      <c r="C1200" t="s">
        <v>7181</v>
      </c>
      <c r="D1200" t="s">
        <v>7182</v>
      </c>
      <c r="E1200" t="s">
        <v>7183</v>
      </c>
      <c r="G1200" t="s">
        <v>7184</v>
      </c>
      <c r="H1200" t="s">
        <v>7185</v>
      </c>
      <c r="I1200">
        <v>3115</v>
      </c>
      <c r="J1200" t="s">
        <v>7186</v>
      </c>
      <c r="L1200" t="s">
        <v>21</v>
      </c>
      <c r="M1200" t="s">
        <v>113</v>
      </c>
      <c r="R1200" t="s">
        <v>7181</v>
      </c>
      <c r="W1200" t="s">
        <v>7183</v>
      </c>
      <c r="X1200" t="s">
        <v>7187</v>
      </c>
      <c r="Y1200" t="s">
        <v>1628</v>
      </c>
      <c r="Z1200" t="s">
        <v>117</v>
      </c>
      <c r="AA1200" t="str">
        <f>"14411-9301"</f>
        <v>14411-9301</v>
      </c>
      <c r="AB1200" t="s">
        <v>1146</v>
      </c>
      <c r="AC1200" t="s">
        <v>119</v>
      </c>
      <c r="AD1200" t="s">
        <v>113</v>
      </c>
      <c r="AE1200" t="s">
        <v>120</v>
      </c>
      <c r="AG1200" t="s">
        <v>121</v>
      </c>
    </row>
    <row r="1201" spans="1:33" x14ac:dyDescent="0.25">
      <c r="A1201" t="str">
        <f>"1780783407"</f>
        <v>1780783407</v>
      </c>
      <c r="B1201" t="str">
        <f>"02409025"</f>
        <v>02409025</v>
      </c>
      <c r="C1201" t="s">
        <v>7188</v>
      </c>
      <c r="D1201" t="s">
        <v>7189</v>
      </c>
      <c r="E1201" t="s">
        <v>7190</v>
      </c>
      <c r="G1201" t="s">
        <v>7188</v>
      </c>
      <c r="H1201" t="s">
        <v>213</v>
      </c>
      <c r="J1201" t="s">
        <v>7191</v>
      </c>
      <c r="L1201" t="s">
        <v>150</v>
      </c>
      <c r="M1201" t="s">
        <v>113</v>
      </c>
      <c r="R1201" t="s">
        <v>7192</v>
      </c>
      <c r="W1201" t="s">
        <v>7190</v>
      </c>
      <c r="X1201" t="s">
        <v>216</v>
      </c>
      <c r="Y1201" t="s">
        <v>116</v>
      </c>
      <c r="Z1201" t="s">
        <v>117</v>
      </c>
      <c r="AA1201" t="str">
        <f>"14222-2006"</f>
        <v>14222-2006</v>
      </c>
      <c r="AB1201" t="s">
        <v>118</v>
      </c>
      <c r="AC1201" t="s">
        <v>119</v>
      </c>
      <c r="AD1201" t="s">
        <v>113</v>
      </c>
      <c r="AE1201" t="s">
        <v>120</v>
      </c>
      <c r="AG1201" t="s">
        <v>121</v>
      </c>
    </row>
    <row r="1202" spans="1:33" x14ac:dyDescent="0.25">
      <c r="A1202" t="str">
        <f>"1780784603"</f>
        <v>1780784603</v>
      </c>
      <c r="B1202" t="str">
        <f>"01302767"</f>
        <v>01302767</v>
      </c>
      <c r="C1202" t="s">
        <v>7193</v>
      </c>
      <c r="D1202" t="s">
        <v>7194</v>
      </c>
      <c r="E1202" t="s">
        <v>7195</v>
      </c>
      <c r="G1202" t="s">
        <v>7193</v>
      </c>
      <c r="H1202" t="s">
        <v>213</v>
      </c>
      <c r="J1202" t="s">
        <v>7196</v>
      </c>
      <c r="L1202" t="s">
        <v>142</v>
      </c>
      <c r="M1202" t="s">
        <v>113</v>
      </c>
      <c r="R1202" t="s">
        <v>7197</v>
      </c>
      <c r="W1202" t="s">
        <v>7195</v>
      </c>
      <c r="Y1202" t="s">
        <v>116</v>
      </c>
      <c r="Z1202" t="s">
        <v>117</v>
      </c>
      <c r="AA1202" t="str">
        <f>"14222-2099"</f>
        <v>14222-2099</v>
      </c>
      <c r="AB1202" t="s">
        <v>118</v>
      </c>
      <c r="AC1202" t="s">
        <v>119</v>
      </c>
      <c r="AD1202" t="s">
        <v>113</v>
      </c>
      <c r="AE1202" t="s">
        <v>120</v>
      </c>
      <c r="AG1202" t="s">
        <v>121</v>
      </c>
    </row>
    <row r="1203" spans="1:33" x14ac:dyDescent="0.25">
      <c r="A1203" t="str">
        <f>"1780819276"</f>
        <v>1780819276</v>
      </c>
      <c r="C1203" t="s">
        <v>7198</v>
      </c>
      <c r="G1203" t="s">
        <v>7198</v>
      </c>
      <c r="H1203" t="s">
        <v>7199</v>
      </c>
      <c r="J1203" t="s">
        <v>7200</v>
      </c>
      <c r="K1203" t="s">
        <v>303</v>
      </c>
      <c r="L1203" t="s">
        <v>112</v>
      </c>
      <c r="M1203" t="s">
        <v>113</v>
      </c>
      <c r="R1203" t="s">
        <v>7201</v>
      </c>
      <c r="S1203" t="s">
        <v>7202</v>
      </c>
      <c r="T1203" t="s">
        <v>1628</v>
      </c>
      <c r="U1203" t="s">
        <v>117</v>
      </c>
      <c r="V1203" t="str">
        <f>"144119301"</f>
        <v>144119301</v>
      </c>
      <c r="AC1203" t="s">
        <v>119</v>
      </c>
      <c r="AD1203" t="s">
        <v>113</v>
      </c>
      <c r="AE1203" t="s">
        <v>306</v>
      </c>
      <c r="AG1203" t="s">
        <v>121</v>
      </c>
    </row>
    <row r="1204" spans="1:33" x14ac:dyDescent="0.25">
      <c r="A1204" t="str">
        <f>"1780847459"</f>
        <v>1780847459</v>
      </c>
      <c r="B1204" t="str">
        <f>"03427323"</f>
        <v>03427323</v>
      </c>
      <c r="C1204" t="s">
        <v>7203</v>
      </c>
      <c r="D1204" t="s">
        <v>7204</v>
      </c>
      <c r="E1204" t="s">
        <v>7205</v>
      </c>
      <c r="G1204" t="s">
        <v>7203</v>
      </c>
      <c r="H1204" t="s">
        <v>7206</v>
      </c>
      <c r="J1204" t="s">
        <v>7207</v>
      </c>
      <c r="L1204" t="s">
        <v>150</v>
      </c>
      <c r="M1204" t="s">
        <v>199</v>
      </c>
      <c r="R1204" t="s">
        <v>7208</v>
      </c>
      <c r="W1204" t="s">
        <v>7205</v>
      </c>
      <c r="X1204" t="s">
        <v>6765</v>
      </c>
      <c r="Y1204" t="s">
        <v>240</v>
      </c>
      <c r="Z1204" t="s">
        <v>117</v>
      </c>
      <c r="AA1204" t="str">
        <f>"14221-1729"</f>
        <v>14221-1729</v>
      </c>
      <c r="AB1204" t="s">
        <v>118</v>
      </c>
      <c r="AC1204" t="s">
        <v>119</v>
      </c>
      <c r="AD1204" t="s">
        <v>113</v>
      </c>
      <c r="AE1204" t="s">
        <v>120</v>
      </c>
      <c r="AG1204" t="s">
        <v>121</v>
      </c>
    </row>
    <row r="1205" spans="1:33" x14ac:dyDescent="0.25">
      <c r="A1205" t="str">
        <f>"1780859652"</f>
        <v>1780859652</v>
      </c>
      <c r="B1205" t="str">
        <f>"03373291"</f>
        <v>03373291</v>
      </c>
      <c r="C1205" t="s">
        <v>7209</v>
      </c>
      <c r="D1205" t="s">
        <v>7210</v>
      </c>
      <c r="E1205" t="s">
        <v>7211</v>
      </c>
      <c r="G1205" t="s">
        <v>1723</v>
      </c>
      <c r="H1205" t="s">
        <v>1350</v>
      </c>
      <c r="J1205" t="s">
        <v>1725</v>
      </c>
      <c r="L1205" t="s">
        <v>112</v>
      </c>
      <c r="M1205" t="s">
        <v>113</v>
      </c>
      <c r="R1205" t="s">
        <v>7212</v>
      </c>
      <c r="W1205" t="s">
        <v>7211</v>
      </c>
      <c r="X1205" t="s">
        <v>1353</v>
      </c>
      <c r="Y1205" t="s">
        <v>663</v>
      </c>
      <c r="Z1205" t="s">
        <v>117</v>
      </c>
      <c r="AA1205" t="str">
        <f>"14094-3201"</f>
        <v>14094-3201</v>
      </c>
      <c r="AB1205" t="s">
        <v>118</v>
      </c>
      <c r="AC1205" t="s">
        <v>119</v>
      </c>
      <c r="AD1205" t="s">
        <v>113</v>
      </c>
      <c r="AE1205" t="s">
        <v>120</v>
      </c>
      <c r="AG1205" t="s">
        <v>121</v>
      </c>
    </row>
    <row r="1206" spans="1:33" x14ac:dyDescent="0.25">
      <c r="A1206" t="str">
        <f>"1780861922"</f>
        <v>1780861922</v>
      </c>
      <c r="B1206" t="str">
        <f>"02675450"</f>
        <v>02675450</v>
      </c>
      <c r="C1206" t="s">
        <v>7213</v>
      </c>
      <c r="D1206" t="s">
        <v>7214</v>
      </c>
      <c r="E1206" t="s">
        <v>7215</v>
      </c>
      <c r="G1206" t="s">
        <v>7213</v>
      </c>
      <c r="H1206" t="s">
        <v>7216</v>
      </c>
      <c r="J1206" t="s">
        <v>7217</v>
      </c>
      <c r="L1206" t="s">
        <v>112</v>
      </c>
      <c r="M1206" t="s">
        <v>113</v>
      </c>
      <c r="R1206" t="s">
        <v>7218</v>
      </c>
      <c r="W1206" t="s">
        <v>7215</v>
      </c>
      <c r="X1206" t="s">
        <v>3566</v>
      </c>
      <c r="Y1206" t="s">
        <v>377</v>
      </c>
      <c r="Z1206" t="s">
        <v>117</v>
      </c>
      <c r="AA1206" t="str">
        <f>"14217-1304"</f>
        <v>14217-1304</v>
      </c>
      <c r="AB1206" t="s">
        <v>118</v>
      </c>
      <c r="AC1206" t="s">
        <v>119</v>
      </c>
      <c r="AD1206" t="s">
        <v>113</v>
      </c>
      <c r="AE1206" t="s">
        <v>120</v>
      </c>
      <c r="AG1206" t="s">
        <v>121</v>
      </c>
    </row>
    <row r="1207" spans="1:33" x14ac:dyDescent="0.25">
      <c r="A1207" t="str">
        <f>"1780932822"</f>
        <v>1780932822</v>
      </c>
      <c r="B1207" t="str">
        <f>"03529426"</f>
        <v>03529426</v>
      </c>
      <c r="C1207" t="s">
        <v>7219</v>
      </c>
      <c r="D1207" t="s">
        <v>7220</v>
      </c>
      <c r="E1207" t="s">
        <v>7221</v>
      </c>
      <c r="H1207" t="s">
        <v>579</v>
      </c>
      <c r="L1207" t="s">
        <v>142</v>
      </c>
      <c r="M1207" t="s">
        <v>113</v>
      </c>
      <c r="R1207" t="s">
        <v>7222</v>
      </c>
      <c r="W1207" t="s">
        <v>7221</v>
      </c>
      <c r="X1207" t="s">
        <v>5095</v>
      </c>
      <c r="Y1207" t="s">
        <v>527</v>
      </c>
      <c r="Z1207" t="s">
        <v>117</v>
      </c>
      <c r="AA1207" t="str">
        <f>"14103-1191"</f>
        <v>14103-1191</v>
      </c>
      <c r="AB1207" t="s">
        <v>118</v>
      </c>
      <c r="AC1207" t="s">
        <v>119</v>
      </c>
      <c r="AD1207" t="s">
        <v>113</v>
      </c>
      <c r="AE1207" t="s">
        <v>120</v>
      </c>
      <c r="AG1207" t="s">
        <v>121</v>
      </c>
    </row>
    <row r="1208" spans="1:33" x14ac:dyDescent="0.25">
      <c r="A1208" t="str">
        <f>"1780993311"</f>
        <v>1780993311</v>
      </c>
      <c r="B1208" t="str">
        <f>"03656333"</f>
        <v>03656333</v>
      </c>
      <c r="C1208" t="s">
        <v>7223</v>
      </c>
      <c r="D1208" t="s">
        <v>7224</v>
      </c>
      <c r="E1208" t="s">
        <v>7225</v>
      </c>
      <c r="G1208" t="s">
        <v>7226</v>
      </c>
      <c r="H1208" t="s">
        <v>7227</v>
      </c>
      <c r="J1208" t="s">
        <v>7228</v>
      </c>
      <c r="L1208" t="s">
        <v>112</v>
      </c>
      <c r="M1208" t="s">
        <v>113</v>
      </c>
      <c r="R1208" t="s">
        <v>7225</v>
      </c>
      <c r="W1208" t="s">
        <v>7225</v>
      </c>
      <c r="X1208" t="s">
        <v>7229</v>
      </c>
      <c r="Y1208" t="s">
        <v>240</v>
      </c>
      <c r="Z1208" t="s">
        <v>117</v>
      </c>
      <c r="AA1208" t="str">
        <f>"14221-3020"</f>
        <v>14221-3020</v>
      </c>
      <c r="AB1208" t="s">
        <v>118</v>
      </c>
      <c r="AC1208" t="s">
        <v>119</v>
      </c>
      <c r="AD1208" t="s">
        <v>113</v>
      </c>
      <c r="AE1208" t="s">
        <v>120</v>
      </c>
      <c r="AG1208" t="s">
        <v>121</v>
      </c>
    </row>
    <row r="1209" spans="1:33" x14ac:dyDescent="0.25">
      <c r="A1209" t="str">
        <f>"1790073260"</f>
        <v>1790073260</v>
      </c>
      <c r="B1209" t="str">
        <f>"01958570"</f>
        <v>01958570</v>
      </c>
      <c r="C1209" t="s">
        <v>7230</v>
      </c>
      <c r="D1209" t="s">
        <v>7231</v>
      </c>
      <c r="E1209" t="s">
        <v>7232</v>
      </c>
      <c r="G1209" t="s">
        <v>7230</v>
      </c>
      <c r="H1209" t="s">
        <v>7233</v>
      </c>
      <c r="J1209" t="s">
        <v>7234</v>
      </c>
      <c r="L1209" t="s">
        <v>150</v>
      </c>
      <c r="M1209" t="s">
        <v>199</v>
      </c>
      <c r="R1209" t="s">
        <v>7235</v>
      </c>
      <c r="W1209" t="s">
        <v>7232</v>
      </c>
      <c r="X1209" t="s">
        <v>3913</v>
      </c>
      <c r="Y1209" t="s">
        <v>116</v>
      </c>
      <c r="Z1209" t="s">
        <v>117</v>
      </c>
      <c r="AA1209" t="str">
        <f>"14214-1706"</f>
        <v>14214-1706</v>
      </c>
      <c r="AB1209" t="s">
        <v>118</v>
      </c>
      <c r="AC1209" t="s">
        <v>119</v>
      </c>
      <c r="AD1209" t="s">
        <v>113</v>
      </c>
      <c r="AE1209" t="s">
        <v>120</v>
      </c>
      <c r="AG1209" t="s">
        <v>121</v>
      </c>
    </row>
    <row r="1210" spans="1:33" x14ac:dyDescent="0.25">
      <c r="A1210" t="str">
        <f>"1790074011"</f>
        <v>1790074011</v>
      </c>
      <c r="B1210" t="str">
        <f>"03759588"</f>
        <v>03759588</v>
      </c>
      <c r="C1210" t="s">
        <v>7236</v>
      </c>
      <c r="D1210" t="s">
        <v>7237</v>
      </c>
      <c r="E1210" t="s">
        <v>7238</v>
      </c>
      <c r="G1210" t="s">
        <v>7236</v>
      </c>
      <c r="J1210" t="s">
        <v>7239</v>
      </c>
      <c r="L1210" t="s">
        <v>142</v>
      </c>
      <c r="M1210" t="s">
        <v>113</v>
      </c>
      <c r="R1210" t="s">
        <v>7240</v>
      </c>
      <c r="W1210" t="s">
        <v>7238</v>
      </c>
      <c r="X1210" t="s">
        <v>1275</v>
      </c>
      <c r="Y1210" t="s">
        <v>116</v>
      </c>
      <c r="Z1210" t="s">
        <v>117</v>
      </c>
      <c r="AA1210" t="str">
        <f>"14214-8001"</f>
        <v>14214-8001</v>
      </c>
      <c r="AB1210" t="s">
        <v>118</v>
      </c>
      <c r="AC1210" t="s">
        <v>119</v>
      </c>
      <c r="AD1210" t="s">
        <v>113</v>
      </c>
      <c r="AE1210" t="s">
        <v>120</v>
      </c>
      <c r="AG1210" t="s">
        <v>121</v>
      </c>
    </row>
    <row r="1211" spans="1:33" x14ac:dyDescent="0.25">
      <c r="A1211" t="str">
        <f>"1427184167"</f>
        <v>1427184167</v>
      </c>
      <c r="B1211" t="str">
        <f>"02962072"</f>
        <v>02962072</v>
      </c>
      <c r="C1211" t="s">
        <v>7241</v>
      </c>
      <c r="D1211" t="s">
        <v>7242</v>
      </c>
      <c r="E1211" t="s">
        <v>7243</v>
      </c>
      <c r="G1211" t="s">
        <v>7244</v>
      </c>
      <c r="H1211" t="s">
        <v>7245</v>
      </c>
      <c r="J1211" t="s">
        <v>7246</v>
      </c>
      <c r="L1211" t="s">
        <v>112</v>
      </c>
      <c r="M1211" t="s">
        <v>113</v>
      </c>
      <c r="R1211" t="s">
        <v>7247</v>
      </c>
      <c r="W1211" t="s">
        <v>7248</v>
      </c>
      <c r="X1211" t="s">
        <v>554</v>
      </c>
      <c r="Y1211" t="s">
        <v>116</v>
      </c>
      <c r="Z1211" t="s">
        <v>117</v>
      </c>
      <c r="AA1211" t="str">
        <f>"14209-1635"</f>
        <v>14209-1635</v>
      </c>
      <c r="AB1211" t="s">
        <v>118</v>
      </c>
      <c r="AC1211" t="s">
        <v>119</v>
      </c>
      <c r="AD1211" t="s">
        <v>113</v>
      </c>
      <c r="AE1211" t="s">
        <v>120</v>
      </c>
      <c r="AG1211" t="s">
        <v>121</v>
      </c>
    </row>
    <row r="1212" spans="1:33" x14ac:dyDescent="0.25">
      <c r="A1212" t="str">
        <f>"1407839822"</f>
        <v>1407839822</v>
      </c>
      <c r="B1212" t="str">
        <f>"00354238"</f>
        <v>00354238</v>
      </c>
      <c r="C1212" t="s">
        <v>2000</v>
      </c>
      <c r="D1212" t="s">
        <v>2001</v>
      </c>
      <c r="E1212" t="s">
        <v>2002</v>
      </c>
      <c r="G1212" t="s">
        <v>2002</v>
      </c>
      <c r="H1212" t="s">
        <v>2003</v>
      </c>
      <c r="L1212" t="s">
        <v>2004</v>
      </c>
      <c r="M1212" t="s">
        <v>199</v>
      </c>
      <c r="R1212" t="s">
        <v>2000</v>
      </c>
      <c r="W1212" t="s">
        <v>2005</v>
      </c>
      <c r="X1212" t="s">
        <v>2006</v>
      </c>
      <c r="Y1212" t="s">
        <v>2007</v>
      </c>
      <c r="Z1212" t="s">
        <v>117</v>
      </c>
      <c r="AA1212" t="str">
        <f>"14727-1398"</f>
        <v>14727-1398</v>
      </c>
      <c r="AB1212" t="s">
        <v>1460</v>
      </c>
      <c r="AC1212" t="s">
        <v>119</v>
      </c>
      <c r="AD1212" t="s">
        <v>113</v>
      </c>
      <c r="AE1212" t="s">
        <v>120</v>
      </c>
      <c r="AG1212" t="s">
        <v>121</v>
      </c>
    </row>
    <row r="1213" spans="1:33" x14ac:dyDescent="0.25">
      <c r="A1213" t="str">
        <f>"1427190164"</f>
        <v>1427190164</v>
      </c>
      <c r="B1213" t="str">
        <f>"01187604"</f>
        <v>01187604</v>
      </c>
      <c r="C1213" t="s">
        <v>7251</v>
      </c>
      <c r="D1213" t="s">
        <v>7252</v>
      </c>
      <c r="E1213" t="s">
        <v>7253</v>
      </c>
      <c r="G1213" t="s">
        <v>7254</v>
      </c>
      <c r="H1213" t="s">
        <v>7255</v>
      </c>
      <c r="J1213" t="s">
        <v>7256</v>
      </c>
      <c r="L1213" t="s">
        <v>150</v>
      </c>
      <c r="M1213" t="s">
        <v>113</v>
      </c>
      <c r="R1213" t="s">
        <v>7257</v>
      </c>
      <c r="W1213" t="s">
        <v>7253</v>
      </c>
      <c r="Y1213" t="s">
        <v>240</v>
      </c>
      <c r="Z1213" t="s">
        <v>117</v>
      </c>
      <c r="AA1213" t="str">
        <f>"14221-6315"</f>
        <v>14221-6315</v>
      </c>
      <c r="AB1213" t="s">
        <v>118</v>
      </c>
      <c r="AC1213" t="s">
        <v>119</v>
      </c>
      <c r="AD1213" t="s">
        <v>113</v>
      </c>
      <c r="AE1213" t="s">
        <v>120</v>
      </c>
      <c r="AG1213" t="s">
        <v>121</v>
      </c>
    </row>
    <row r="1214" spans="1:33" x14ac:dyDescent="0.25">
      <c r="A1214" t="str">
        <f>"1427192871"</f>
        <v>1427192871</v>
      </c>
      <c r="B1214" t="str">
        <f>"02858560"</f>
        <v>02858560</v>
      </c>
      <c r="C1214" t="s">
        <v>7258</v>
      </c>
      <c r="D1214" t="s">
        <v>7259</v>
      </c>
      <c r="E1214" t="s">
        <v>7260</v>
      </c>
      <c r="G1214" t="s">
        <v>7258</v>
      </c>
      <c r="H1214" t="s">
        <v>2812</v>
      </c>
      <c r="J1214" t="s">
        <v>7261</v>
      </c>
      <c r="L1214" t="s">
        <v>142</v>
      </c>
      <c r="M1214" t="s">
        <v>113</v>
      </c>
      <c r="R1214" t="s">
        <v>7262</v>
      </c>
      <c r="W1214" t="s">
        <v>7260</v>
      </c>
      <c r="X1214" t="s">
        <v>4642</v>
      </c>
      <c r="Y1214" t="s">
        <v>240</v>
      </c>
      <c r="Z1214" t="s">
        <v>117</v>
      </c>
      <c r="AA1214" t="str">
        <f>"14221-6800"</f>
        <v>14221-6800</v>
      </c>
      <c r="AB1214" t="s">
        <v>118</v>
      </c>
      <c r="AC1214" t="s">
        <v>119</v>
      </c>
      <c r="AD1214" t="s">
        <v>113</v>
      </c>
      <c r="AE1214" t="s">
        <v>120</v>
      </c>
      <c r="AG1214" t="s">
        <v>121</v>
      </c>
    </row>
    <row r="1215" spans="1:33" x14ac:dyDescent="0.25">
      <c r="A1215" t="str">
        <f>"1427210111"</f>
        <v>1427210111</v>
      </c>
      <c r="B1215" t="str">
        <f>"03361855"</f>
        <v>03361855</v>
      </c>
      <c r="C1215" t="s">
        <v>7263</v>
      </c>
      <c r="D1215" t="s">
        <v>7264</v>
      </c>
      <c r="E1215" t="s">
        <v>7265</v>
      </c>
      <c r="G1215" t="s">
        <v>859</v>
      </c>
      <c r="H1215" t="s">
        <v>478</v>
      </c>
      <c r="J1215" t="s">
        <v>861</v>
      </c>
      <c r="L1215" t="s">
        <v>142</v>
      </c>
      <c r="M1215" t="s">
        <v>113</v>
      </c>
      <c r="R1215" t="s">
        <v>7266</v>
      </c>
      <c r="W1215" t="s">
        <v>7265</v>
      </c>
      <c r="X1215" t="s">
        <v>253</v>
      </c>
      <c r="Y1215" t="s">
        <v>116</v>
      </c>
      <c r="Z1215" t="s">
        <v>117</v>
      </c>
      <c r="AA1215" t="str">
        <f>"14215-3021"</f>
        <v>14215-3021</v>
      </c>
      <c r="AB1215" t="s">
        <v>118</v>
      </c>
      <c r="AC1215" t="s">
        <v>119</v>
      </c>
      <c r="AD1215" t="s">
        <v>113</v>
      </c>
      <c r="AE1215" t="s">
        <v>120</v>
      </c>
      <c r="AG1215" t="s">
        <v>121</v>
      </c>
    </row>
    <row r="1216" spans="1:33" x14ac:dyDescent="0.25">
      <c r="A1216" t="str">
        <f>"1457570608"</f>
        <v>1457570608</v>
      </c>
      <c r="B1216" t="str">
        <f>"02914721"</f>
        <v>02914721</v>
      </c>
      <c r="C1216" t="s">
        <v>7267</v>
      </c>
      <c r="D1216" t="s">
        <v>7268</v>
      </c>
      <c r="E1216" t="s">
        <v>7269</v>
      </c>
      <c r="G1216" t="s">
        <v>7267</v>
      </c>
      <c r="H1216" t="s">
        <v>4189</v>
      </c>
      <c r="J1216" t="s">
        <v>7270</v>
      </c>
      <c r="L1216" t="s">
        <v>150</v>
      </c>
      <c r="M1216" t="s">
        <v>113</v>
      </c>
      <c r="R1216" t="s">
        <v>7271</v>
      </c>
      <c r="W1216" t="s">
        <v>7269</v>
      </c>
      <c r="X1216" t="s">
        <v>7272</v>
      </c>
      <c r="Y1216" t="s">
        <v>326</v>
      </c>
      <c r="Z1216" t="s">
        <v>117</v>
      </c>
      <c r="AA1216" t="str">
        <f>"14127-1732"</f>
        <v>14127-1732</v>
      </c>
      <c r="AB1216" t="s">
        <v>118</v>
      </c>
      <c r="AC1216" t="s">
        <v>119</v>
      </c>
      <c r="AD1216" t="s">
        <v>113</v>
      </c>
      <c r="AE1216" t="s">
        <v>120</v>
      </c>
      <c r="AG1216" t="s">
        <v>121</v>
      </c>
    </row>
    <row r="1217" spans="1:33" x14ac:dyDescent="0.25">
      <c r="A1217" t="str">
        <f>"1457593816"</f>
        <v>1457593816</v>
      </c>
      <c r="B1217" t="str">
        <f>"03713417"</f>
        <v>03713417</v>
      </c>
      <c r="C1217" t="s">
        <v>7273</v>
      </c>
      <c r="D1217" t="s">
        <v>7274</v>
      </c>
      <c r="E1217" t="s">
        <v>7275</v>
      </c>
      <c r="G1217" t="s">
        <v>7276</v>
      </c>
      <c r="H1217" t="s">
        <v>351</v>
      </c>
      <c r="J1217" t="s">
        <v>352</v>
      </c>
      <c r="L1217" t="s">
        <v>112</v>
      </c>
      <c r="M1217" t="s">
        <v>113</v>
      </c>
      <c r="R1217" t="s">
        <v>7277</v>
      </c>
      <c r="W1217" t="s">
        <v>7275</v>
      </c>
      <c r="X1217" t="s">
        <v>1922</v>
      </c>
      <c r="Y1217" t="s">
        <v>268</v>
      </c>
      <c r="Z1217" t="s">
        <v>117</v>
      </c>
      <c r="AA1217" t="str">
        <f>"14150-8441"</f>
        <v>14150-8441</v>
      </c>
      <c r="AB1217" t="s">
        <v>621</v>
      </c>
      <c r="AC1217" t="s">
        <v>119</v>
      </c>
      <c r="AD1217" t="s">
        <v>113</v>
      </c>
      <c r="AE1217" t="s">
        <v>120</v>
      </c>
      <c r="AG1217" t="s">
        <v>121</v>
      </c>
    </row>
    <row r="1218" spans="1:33" x14ac:dyDescent="0.25">
      <c r="A1218" t="str">
        <f>"1902889090"</f>
        <v>1902889090</v>
      </c>
      <c r="B1218" t="str">
        <f>"01236497"</f>
        <v>01236497</v>
      </c>
      <c r="C1218" t="s">
        <v>7278</v>
      </c>
      <c r="D1218" t="s">
        <v>7279</v>
      </c>
      <c r="E1218" t="s">
        <v>7280</v>
      </c>
      <c r="G1218" t="s">
        <v>7278</v>
      </c>
      <c r="H1218" t="s">
        <v>1013</v>
      </c>
      <c r="J1218" t="s">
        <v>7281</v>
      </c>
      <c r="L1218" t="s">
        <v>142</v>
      </c>
      <c r="M1218" t="s">
        <v>113</v>
      </c>
      <c r="R1218" t="s">
        <v>7282</v>
      </c>
      <c r="W1218" t="s">
        <v>7280</v>
      </c>
      <c r="X1218" t="s">
        <v>5179</v>
      </c>
      <c r="Y1218" t="s">
        <v>116</v>
      </c>
      <c r="Z1218" t="s">
        <v>117</v>
      </c>
      <c r="AA1218" t="str">
        <f>"14220-1700"</f>
        <v>14220-1700</v>
      </c>
      <c r="AB1218" t="s">
        <v>118</v>
      </c>
      <c r="AC1218" t="s">
        <v>119</v>
      </c>
      <c r="AD1218" t="s">
        <v>113</v>
      </c>
      <c r="AE1218" t="s">
        <v>120</v>
      </c>
      <c r="AG1218" t="s">
        <v>121</v>
      </c>
    </row>
    <row r="1219" spans="1:33" x14ac:dyDescent="0.25">
      <c r="B1219" t="str">
        <f>"01996336"</f>
        <v>01996336</v>
      </c>
      <c r="C1219" t="s">
        <v>1546</v>
      </c>
      <c r="D1219" t="s">
        <v>1547</v>
      </c>
      <c r="E1219" t="s">
        <v>1548</v>
      </c>
      <c r="F1219">
        <v>161003618</v>
      </c>
      <c r="H1219" t="s">
        <v>1543</v>
      </c>
      <c r="L1219" t="s">
        <v>67</v>
      </c>
      <c r="M1219" t="s">
        <v>113</v>
      </c>
      <c r="W1219" t="s">
        <v>1548</v>
      </c>
      <c r="X1219" t="s">
        <v>1549</v>
      </c>
      <c r="Y1219" t="s">
        <v>348</v>
      </c>
      <c r="Z1219" t="s">
        <v>117</v>
      </c>
      <c r="AA1219" t="str">
        <f>"14043-1823"</f>
        <v>14043-1823</v>
      </c>
      <c r="AB1219" t="s">
        <v>291</v>
      </c>
      <c r="AC1219" t="s">
        <v>119</v>
      </c>
      <c r="AD1219" t="s">
        <v>113</v>
      </c>
      <c r="AE1219" t="s">
        <v>120</v>
      </c>
      <c r="AG1219" t="s">
        <v>121</v>
      </c>
    </row>
    <row r="1220" spans="1:33" x14ac:dyDescent="0.25">
      <c r="A1220" t="str">
        <f>"1902910482"</f>
        <v>1902910482</v>
      </c>
      <c r="B1220" t="str">
        <f>"03346141"</f>
        <v>03346141</v>
      </c>
      <c r="C1220" t="s">
        <v>7288</v>
      </c>
      <c r="D1220" t="s">
        <v>7289</v>
      </c>
      <c r="E1220" t="s">
        <v>7290</v>
      </c>
      <c r="G1220" t="s">
        <v>330</v>
      </c>
      <c r="H1220" t="s">
        <v>7291</v>
      </c>
      <c r="J1220" t="s">
        <v>332</v>
      </c>
      <c r="L1220" t="s">
        <v>150</v>
      </c>
      <c r="M1220" t="s">
        <v>113</v>
      </c>
      <c r="R1220" t="s">
        <v>7292</v>
      </c>
      <c r="W1220" t="s">
        <v>7290</v>
      </c>
      <c r="X1220" t="s">
        <v>7293</v>
      </c>
      <c r="Y1220" t="s">
        <v>7294</v>
      </c>
      <c r="Z1220" t="s">
        <v>117</v>
      </c>
      <c r="AA1220" t="str">
        <f>"14822-9721"</f>
        <v>14822-9721</v>
      </c>
      <c r="AB1220" t="s">
        <v>118</v>
      </c>
      <c r="AC1220" t="s">
        <v>119</v>
      </c>
      <c r="AD1220" t="s">
        <v>113</v>
      </c>
      <c r="AE1220" t="s">
        <v>120</v>
      </c>
      <c r="AG1220" t="s">
        <v>121</v>
      </c>
    </row>
    <row r="1221" spans="1:33" x14ac:dyDescent="0.25">
      <c r="A1221" t="str">
        <f>"1902913098"</f>
        <v>1902913098</v>
      </c>
      <c r="B1221" t="str">
        <f>"02051605"</f>
        <v>02051605</v>
      </c>
      <c r="C1221" t="s">
        <v>7295</v>
      </c>
      <c r="D1221" t="s">
        <v>7296</v>
      </c>
      <c r="E1221" t="s">
        <v>7297</v>
      </c>
      <c r="G1221" t="s">
        <v>7295</v>
      </c>
      <c r="H1221" t="s">
        <v>7298</v>
      </c>
      <c r="L1221" t="s">
        <v>69</v>
      </c>
      <c r="M1221" t="s">
        <v>113</v>
      </c>
      <c r="R1221" t="s">
        <v>7295</v>
      </c>
      <c r="W1221" t="s">
        <v>7299</v>
      </c>
      <c r="X1221" t="s">
        <v>1353</v>
      </c>
      <c r="Y1221" t="s">
        <v>663</v>
      </c>
      <c r="Z1221" t="s">
        <v>117</v>
      </c>
      <c r="AA1221" t="str">
        <f>"14094-3299"</f>
        <v>14094-3299</v>
      </c>
      <c r="AB1221" t="s">
        <v>872</v>
      </c>
      <c r="AC1221" t="s">
        <v>119</v>
      </c>
      <c r="AD1221" t="s">
        <v>113</v>
      </c>
      <c r="AE1221" t="s">
        <v>120</v>
      </c>
      <c r="AG1221" t="s">
        <v>121</v>
      </c>
    </row>
    <row r="1222" spans="1:33" x14ac:dyDescent="0.25">
      <c r="A1222" t="str">
        <f>"1386891224"</f>
        <v>1386891224</v>
      </c>
      <c r="B1222" t="str">
        <f>"03230655"</f>
        <v>03230655</v>
      </c>
      <c r="C1222" t="s">
        <v>7300</v>
      </c>
      <c r="D1222" t="s">
        <v>7301</v>
      </c>
      <c r="E1222" t="s">
        <v>7302</v>
      </c>
      <c r="G1222" t="s">
        <v>7300</v>
      </c>
      <c r="H1222" t="s">
        <v>2667</v>
      </c>
      <c r="J1222" t="s">
        <v>7303</v>
      </c>
      <c r="L1222" t="s">
        <v>142</v>
      </c>
      <c r="M1222" t="s">
        <v>113</v>
      </c>
      <c r="R1222" t="s">
        <v>7304</v>
      </c>
      <c r="W1222" t="s">
        <v>7302</v>
      </c>
      <c r="X1222" t="s">
        <v>838</v>
      </c>
      <c r="Y1222" t="s">
        <v>240</v>
      </c>
      <c r="Z1222" t="s">
        <v>117</v>
      </c>
      <c r="AA1222" t="str">
        <f>"14221-3647"</f>
        <v>14221-3647</v>
      </c>
      <c r="AB1222" t="s">
        <v>118</v>
      </c>
      <c r="AC1222" t="s">
        <v>119</v>
      </c>
      <c r="AD1222" t="s">
        <v>113</v>
      </c>
      <c r="AE1222" t="s">
        <v>120</v>
      </c>
      <c r="AG1222" t="s">
        <v>121</v>
      </c>
    </row>
    <row r="1223" spans="1:33" x14ac:dyDescent="0.25">
      <c r="A1223" t="str">
        <f>"1386898211"</f>
        <v>1386898211</v>
      </c>
      <c r="B1223" t="str">
        <f>"03787400"</f>
        <v>03787400</v>
      </c>
      <c r="C1223" t="s">
        <v>7305</v>
      </c>
      <c r="D1223" t="s">
        <v>7306</v>
      </c>
      <c r="E1223" t="s">
        <v>7307</v>
      </c>
      <c r="G1223" t="s">
        <v>7308</v>
      </c>
      <c r="H1223" t="s">
        <v>471</v>
      </c>
      <c r="J1223" t="s">
        <v>7309</v>
      </c>
      <c r="L1223" t="s">
        <v>1033</v>
      </c>
      <c r="M1223" t="s">
        <v>113</v>
      </c>
      <c r="R1223" t="s">
        <v>7310</v>
      </c>
      <c r="W1223" t="s">
        <v>7307</v>
      </c>
      <c r="X1223" t="s">
        <v>474</v>
      </c>
      <c r="Y1223" t="s">
        <v>116</v>
      </c>
      <c r="Z1223" t="s">
        <v>117</v>
      </c>
      <c r="AA1223" t="str">
        <f>"14214-1316"</f>
        <v>14214-1316</v>
      </c>
      <c r="AB1223" t="s">
        <v>621</v>
      </c>
      <c r="AC1223" t="s">
        <v>119</v>
      </c>
      <c r="AD1223" t="s">
        <v>113</v>
      </c>
      <c r="AE1223" t="s">
        <v>120</v>
      </c>
      <c r="AG1223" t="s">
        <v>121</v>
      </c>
    </row>
    <row r="1224" spans="1:33" x14ac:dyDescent="0.25">
      <c r="A1224" t="str">
        <f>"1386900322"</f>
        <v>1386900322</v>
      </c>
      <c r="B1224" t="str">
        <f>"03444479"</f>
        <v>03444479</v>
      </c>
      <c r="C1224" t="s">
        <v>7311</v>
      </c>
      <c r="D1224" t="s">
        <v>7312</v>
      </c>
      <c r="E1224" t="s">
        <v>7313</v>
      </c>
      <c r="G1224" t="s">
        <v>7314</v>
      </c>
      <c r="J1224" t="s">
        <v>7315</v>
      </c>
      <c r="L1224" t="s">
        <v>112</v>
      </c>
      <c r="M1224" t="s">
        <v>113</v>
      </c>
      <c r="R1224" t="s">
        <v>7316</v>
      </c>
      <c r="W1224" t="s">
        <v>7313</v>
      </c>
      <c r="X1224" t="s">
        <v>253</v>
      </c>
      <c r="Y1224" t="s">
        <v>116</v>
      </c>
      <c r="Z1224" t="s">
        <v>117</v>
      </c>
      <c r="AA1224" t="str">
        <f>"14215-3021"</f>
        <v>14215-3021</v>
      </c>
      <c r="AB1224" t="s">
        <v>118</v>
      </c>
      <c r="AC1224" t="s">
        <v>119</v>
      </c>
      <c r="AD1224" t="s">
        <v>113</v>
      </c>
      <c r="AE1224" t="s">
        <v>120</v>
      </c>
      <c r="AG1224" t="s">
        <v>121</v>
      </c>
    </row>
    <row r="1225" spans="1:33" x14ac:dyDescent="0.25">
      <c r="A1225" t="str">
        <f>"1386905180"</f>
        <v>1386905180</v>
      </c>
      <c r="B1225" t="str">
        <f>"03709051"</f>
        <v>03709051</v>
      </c>
      <c r="C1225" t="s">
        <v>7317</v>
      </c>
      <c r="D1225" t="s">
        <v>7318</v>
      </c>
      <c r="E1225" t="s">
        <v>7319</v>
      </c>
      <c r="G1225" t="s">
        <v>7320</v>
      </c>
      <c r="H1225" t="s">
        <v>707</v>
      </c>
      <c r="J1225" t="s">
        <v>7321</v>
      </c>
      <c r="L1225" t="s">
        <v>112</v>
      </c>
      <c r="M1225" t="s">
        <v>113</v>
      </c>
      <c r="R1225" t="s">
        <v>7322</v>
      </c>
      <c r="W1225" t="s">
        <v>7319</v>
      </c>
      <c r="X1225" t="s">
        <v>709</v>
      </c>
      <c r="Y1225" t="s">
        <v>116</v>
      </c>
      <c r="Z1225" t="s">
        <v>117</v>
      </c>
      <c r="AA1225" t="str">
        <f>"14263-0001"</f>
        <v>14263-0001</v>
      </c>
      <c r="AB1225" t="s">
        <v>634</v>
      </c>
      <c r="AC1225" t="s">
        <v>119</v>
      </c>
      <c r="AD1225" t="s">
        <v>113</v>
      </c>
      <c r="AE1225" t="s">
        <v>120</v>
      </c>
      <c r="AG1225" t="s">
        <v>121</v>
      </c>
    </row>
    <row r="1226" spans="1:33" x14ac:dyDescent="0.25">
      <c r="A1226" t="str">
        <f>"1386913242"</f>
        <v>1386913242</v>
      </c>
      <c r="B1226" t="str">
        <f>"04404968"</f>
        <v>04404968</v>
      </c>
      <c r="C1226" t="s">
        <v>7323</v>
      </c>
      <c r="D1226" t="s">
        <v>7324</v>
      </c>
      <c r="E1226" t="s">
        <v>7325</v>
      </c>
      <c r="G1226" t="s">
        <v>7326</v>
      </c>
      <c r="H1226" t="s">
        <v>2252</v>
      </c>
      <c r="J1226" t="s">
        <v>7327</v>
      </c>
      <c r="L1226" t="s">
        <v>112</v>
      </c>
      <c r="M1226" t="s">
        <v>113</v>
      </c>
      <c r="R1226" t="s">
        <v>7328</v>
      </c>
      <c r="W1226" t="s">
        <v>7325</v>
      </c>
      <c r="X1226" t="s">
        <v>7329</v>
      </c>
      <c r="Y1226" t="s">
        <v>153</v>
      </c>
      <c r="Z1226" t="s">
        <v>117</v>
      </c>
      <c r="AA1226" t="str">
        <f>"14305-2466"</f>
        <v>14305-2466</v>
      </c>
      <c r="AB1226" t="s">
        <v>118</v>
      </c>
      <c r="AC1226" t="s">
        <v>119</v>
      </c>
      <c r="AD1226" t="s">
        <v>113</v>
      </c>
      <c r="AE1226" t="s">
        <v>120</v>
      </c>
      <c r="AG1226" t="s">
        <v>121</v>
      </c>
    </row>
    <row r="1227" spans="1:33" x14ac:dyDescent="0.25">
      <c r="A1227" t="str">
        <f>"1386914299"</f>
        <v>1386914299</v>
      </c>
      <c r="B1227" t="str">
        <f>"04626844"</f>
        <v>04626844</v>
      </c>
      <c r="C1227" t="s">
        <v>7330</v>
      </c>
      <c r="D1227" t="s">
        <v>7331</v>
      </c>
      <c r="E1227" t="s">
        <v>7332</v>
      </c>
      <c r="G1227" t="s">
        <v>7330</v>
      </c>
      <c r="H1227" t="s">
        <v>7333</v>
      </c>
      <c r="J1227" t="s">
        <v>7334</v>
      </c>
      <c r="L1227" t="s">
        <v>112</v>
      </c>
      <c r="M1227" t="s">
        <v>113</v>
      </c>
      <c r="R1227" t="s">
        <v>7335</v>
      </c>
      <c r="W1227" t="s">
        <v>7332</v>
      </c>
      <c r="AB1227" t="s">
        <v>223</v>
      </c>
      <c r="AC1227" t="s">
        <v>119</v>
      </c>
      <c r="AD1227" t="s">
        <v>113</v>
      </c>
      <c r="AE1227" t="s">
        <v>120</v>
      </c>
      <c r="AG1227" t="s">
        <v>121</v>
      </c>
    </row>
    <row r="1228" spans="1:33" x14ac:dyDescent="0.25">
      <c r="A1228" t="str">
        <f>"1386941466"</f>
        <v>1386941466</v>
      </c>
      <c r="C1228" t="s">
        <v>7336</v>
      </c>
      <c r="G1228" t="s">
        <v>7337</v>
      </c>
      <c r="J1228" t="s">
        <v>7338</v>
      </c>
      <c r="K1228" t="s">
        <v>303</v>
      </c>
      <c r="L1228" t="s">
        <v>112</v>
      </c>
      <c r="M1228" t="s">
        <v>113</v>
      </c>
      <c r="R1228" t="s">
        <v>7339</v>
      </c>
      <c r="S1228" t="s">
        <v>7340</v>
      </c>
      <c r="T1228" t="s">
        <v>116</v>
      </c>
      <c r="U1228" t="s">
        <v>117</v>
      </c>
      <c r="V1228" t="str">
        <f>"142011420"</f>
        <v>142011420</v>
      </c>
      <c r="AC1228" t="s">
        <v>119</v>
      </c>
      <c r="AD1228" t="s">
        <v>113</v>
      </c>
      <c r="AE1228" t="s">
        <v>306</v>
      </c>
      <c r="AG1228" t="s">
        <v>121</v>
      </c>
    </row>
    <row r="1229" spans="1:33" x14ac:dyDescent="0.25">
      <c r="A1229" t="str">
        <f>"1386948024"</f>
        <v>1386948024</v>
      </c>
      <c r="C1229" t="s">
        <v>7341</v>
      </c>
      <c r="G1229" t="s">
        <v>7342</v>
      </c>
      <c r="H1229" t="s">
        <v>590</v>
      </c>
      <c r="J1229" t="s">
        <v>7343</v>
      </c>
      <c r="K1229" t="s">
        <v>303</v>
      </c>
      <c r="L1229" t="s">
        <v>229</v>
      </c>
      <c r="M1229" t="s">
        <v>113</v>
      </c>
      <c r="R1229" t="s">
        <v>7344</v>
      </c>
      <c r="S1229" t="s">
        <v>605</v>
      </c>
      <c r="T1229" t="s">
        <v>326</v>
      </c>
      <c r="U1229" t="s">
        <v>117</v>
      </c>
      <c r="V1229" t="str">
        <f>"141272600"</f>
        <v>141272600</v>
      </c>
      <c r="AC1229" t="s">
        <v>119</v>
      </c>
      <c r="AD1229" t="s">
        <v>113</v>
      </c>
      <c r="AE1229" t="s">
        <v>306</v>
      </c>
      <c r="AG1229" t="s">
        <v>121</v>
      </c>
    </row>
    <row r="1230" spans="1:33" x14ac:dyDescent="0.25">
      <c r="A1230" t="str">
        <f>"1386955748"</f>
        <v>1386955748</v>
      </c>
      <c r="B1230" t="str">
        <f>"03326510"</f>
        <v>03326510</v>
      </c>
      <c r="C1230" t="s">
        <v>7345</v>
      </c>
      <c r="D1230" t="s">
        <v>7346</v>
      </c>
      <c r="E1230" t="s">
        <v>7347</v>
      </c>
      <c r="H1230" t="s">
        <v>7348</v>
      </c>
      <c r="L1230" t="s">
        <v>142</v>
      </c>
      <c r="M1230" t="s">
        <v>113</v>
      </c>
      <c r="R1230" t="s">
        <v>7349</v>
      </c>
      <c r="W1230" t="s">
        <v>7347</v>
      </c>
      <c r="X1230" t="s">
        <v>6680</v>
      </c>
      <c r="Y1230" t="s">
        <v>512</v>
      </c>
      <c r="Z1230" t="s">
        <v>117</v>
      </c>
      <c r="AA1230" t="str">
        <f>"14092-2218"</f>
        <v>14092-2218</v>
      </c>
      <c r="AB1230" t="s">
        <v>118</v>
      </c>
      <c r="AC1230" t="s">
        <v>119</v>
      </c>
      <c r="AD1230" t="s">
        <v>113</v>
      </c>
      <c r="AE1230" t="s">
        <v>120</v>
      </c>
      <c r="AG1230" t="s">
        <v>121</v>
      </c>
    </row>
    <row r="1231" spans="1:33" x14ac:dyDescent="0.25">
      <c r="A1231" t="str">
        <f>"1386957587"</f>
        <v>1386957587</v>
      </c>
      <c r="B1231" t="str">
        <f>"03298235"</f>
        <v>03298235</v>
      </c>
      <c r="C1231" t="s">
        <v>7350</v>
      </c>
      <c r="D1231" t="s">
        <v>7351</v>
      </c>
      <c r="E1231" t="s">
        <v>7352</v>
      </c>
      <c r="G1231" t="s">
        <v>330</v>
      </c>
      <c r="H1231" t="s">
        <v>7353</v>
      </c>
      <c r="J1231" t="s">
        <v>332</v>
      </c>
      <c r="L1231" t="s">
        <v>150</v>
      </c>
      <c r="M1231" t="s">
        <v>113</v>
      </c>
      <c r="R1231" t="s">
        <v>7354</v>
      </c>
      <c r="W1231" t="s">
        <v>7352</v>
      </c>
      <c r="X1231" t="s">
        <v>7355</v>
      </c>
      <c r="Y1231" t="s">
        <v>986</v>
      </c>
      <c r="Z1231" t="s">
        <v>117</v>
      </c>
      <c r="AA1231" t="str">
        <f>"14701-4972"</f>
        <v>14701-4972</v>
      </c>
      <c r="AB1231" t="s">
        <v>118</v>
      </c>
      <c r="AC1231" t="s">
        <v>119</v>
      </c>
      <c r="AD1231" t="s">
        <v>113</v>
      </c>
      <c r="AE1231" t="s">
        <v>120</v>
      </c>
      <c r="AG1231" t="s">
        <v>121</v>
      </c>
    </row>
    <row r="1232" spans="1:33" x14ac:dyDescent="0.25">
      <c r="A1232" t="str">
        <f>"1396002283"</f>
        <v>1396002283</v>
      </c>
      <c r="C1232" t="s">
        <v>7356</v>
      </c>
      <c r="G1232" t="s">
        <v>7357</v>
      </c>
      <c r="H1232" t="s">
        <v>351</v>
      </c>
      <c r="J1232" t="s">
        <v>352</v>
      </c>
      <c r="K1232" t="s">
        <v>303</v>
      </c>
      <c r="L1232" t="s">
        <v>112</v>
      </c>
      <c r="M1232" t="s">
        <v>113</v>
      </c>
      <c r="R1232" t="s">
        <v>7358</v>
      </c>
      <c r="S1232" t="s">
        <v>1117</v>
      </c>
      <c r="T1232" t="s">
        <v>116</v>
      </c>
      <c r="U1232" t="s">
        <v>117</v>
      </c>
      <c r="V1232" t="str">
        <f>"142254965"</f>
        <v>142254965</v>
      </c>
      <c r="AC1232" t="s">
        <v>119</v>
      </c>
      <c r="AD1232" t="s">
        <v>113</v>
      </c>
      <c r="AE1232" t="s">
        <v>306</v>
      </c>
      <c r="AG1232" t="s">
        <v>121</v>
      </c>
    </row>
    <row r="1233" spans="1:33" x14ac:dyDescent="0.25">
      <c r="A1233" t="str">
        <f>"1396013363"</f>
        <v>1396013363</v>
      </c>
      <c r="B1233" t="str">
        <f>"03716992"</f>
        <v>03716992</v>
      </c>
      <c r="C1233" t="s">
        <v>7359</v>
      </c>
      <c r="D1233" t="s">
        <v>7360</v>
      </c>
      <c r="E1233" t="s">
        <v>7361</v>
      </c>
      <c r="G1233" t="s">
        <v>7359</v>
      </c>
      <c r="J1233" t="s">
        <v>7362</v>
      </c>
      <c r="L1233" t="s">
        <v>112</v>
      </c>
      <c r="M1233" t="s">
        <v>113</v>
      </c>
      <c r="R1233" t="s">
        <v>7363</v>
      </c>
      <c r="W1233" t="s">
        <v>7361</v>
      </c>
      <c r="X1233" t="s">
        <v>176</v>
      </c>
      <c r="Y1233" t="s">
        <v>116</v>
      </c>
      <c r="Z1233" t="s">
        <v>117</v>
      </c>
      <c r="AA1233" t="str">
        <f>"14203-1126"</f>
        <v>14203-1126</v>
      </c>
      <c r="AB1233" t="s">
        <v>118</v>
      </c>
      <c r="AC1233" t="s">
        <v>119</v>
      </c>
      <c r="AD1233" t="s">
        <v>113</v>
      </c>
      <c r="AE1233" t="s">
        <v>120</v>
      </c>
      <c r="AG1233" t="s">
        <v>121</v>
      </c>
    </row>
    <row r="1234" spans="1:33" x14ac:dyDescent="0.25">
      <c r="A1234" t="str">
        <f>"1396018362"</f>
        <v>1396018362</v>
      </c>
      <c r="B1234" t="str">
        <f>"03453821"</f>
        <v>03453821</v>
      </c>
      <c r="C1234" t="s">
        <v>7364</v>
      </c>
      <c r="D1234" t="s">
        <v>7365</v>
      </c>
      <c r="E1234" t="s">
        <v>7366</v>
      </c>
      <c r="G1234" t="s">
        <v>7367</v>
      </c>
      <c r="H1234" t="s">
        <v>2079</v>
      </c>
      <c r="J1234" t="s">
        <v>7368</v>
      </c>
      <c r="L1234" t="s">
        <v>142</v>
      </c>
      <c r="M1234" t="s">
        <v>113</v>
      </c>
      <c r="R1234" t="s">
        <v>7366</v>
      </c>
      <c r="W1234" t="s">
        <v>7366</v>
      </c>
      <c r="X1234" t="s">
        <v>176</v>
      </c>
      <c r="Y1234" t="s">
        <v>116</v>
      </c>
      <c r="Z1234" t="s">
        <v>117</v>
      </c>
      <c r="AA1234" t="str">
        <f>"14203-1126"</f>
        <v>14203-1126</v>
      </c>
      <c r="AB1234" t="s">
        <v>118</v>
      </c>
      <c r="AC1234" t="s">
        <v>119</v>
      </c>
      <c r="AD1234" t="s">
        <v>113</v>
      </c>
      <c r="AE1234" t="s">
        <v>120</v>
      </c>
      <c r="AG1234" t="s">
        <v>121</v>
      </c>
    </row>
    <row r="1235" spans="1:33" x14ac:dyDescent="0.25">
      <c r="A1235" t="str">
        <f>"1396026662"</f>
        <v>1396026662</v>
      </c>
      <c r="C1235" t="s">
        <v>7369</v>
      </c>
      <c r="G1235" t="s">
        <v>7370</v>
      </c>
      <c r="H1235" t="s">
        <v>471</v>
      </c>
      <c r="J1235" t="s">
        <v>7371</v>
      </c>
      <c r="K1235" t="s">
        <v>303</v>
      </c>
      <c r="L1235" t="s">
        <v>112</v>
      </c>
      <c r="M1235" t="s">
        <v>113</v>
      </c>
      <c r="R1235" t="s">
        <v>7372</v>
      </c>
      <c r="S1235" t="s">
        <v>7373</v>
      </c>
      <c r="T1235" t="s">
        <v>116</v>
      </c>
      <c r="U1235" t="s">
        <v>117</v>
      </c>
      <c r="V1235" t="str">
        <f>"142111505"</f>
        <v>142111505</v>
      </c>
      <c r="AC1235" t="s">
        <v>119</v>
      </c>
      <c r="AD1235" t="s">
        <v>113</v>
      </c>
      <c r="AE1235" t="s">
        <v>306</v>
      </c>
      <c r="AG1235" t="s">
        <v>121</v>
      </c>
    </row>
    <row r="1236" spans="1:33" x14ac:dyDescent="0.25">
      <c r="A1236" t="str">
        <f>"1396057287"</f>
        <v>1396057287</v>
      </c>
      <c r="B1236" t="str">
        <f>"03565359"</f>
        <v>03565359</v>
      </c>
      <c r="C1236" t="s">
        <v>7374</v>
      </c>
      <c r="D1236" t="s">
        <v>7375</v>
      </c>
      <c r="E1236" t="s">
        <v>7376</v>
      </c>
      <c r="G1236" t="s">
        <v>7377</v>
      </c>
      <c r="H1236" t="s">
        <v>7378</v>
      </c>
      <c r="J1236" t="s">
        <v>7379</v>
      </c>
      <c r="L1236" t="s">
        <v>142</v>
      </c>
      <c r="M1236" t="s">
        <v>113</v>
      </c>
      <c r="R1236" t="s">
        <v>7380</v>
      </c>
      <c r="W1236" t="s">
        <v>7376</v>
      </c>
      <c r="X1236" t="s">
        <v>6911</v>
      </c>
      <c r="Y1236" t="s">
        <v>240</v>
      </c>
      <c r="Z1236" t="s">
        <v>117</v>
      </c>
      <c r="AA1236" t="str">
        <f>"14221-5771"</f>
        <v>14221-5771</v>
      </c>
      <c r="AB1236" t="s">
        <v>118</v>
      </c>
      <c r="AC1236" t="s">
        <v>119</v>
      </c>
      <c r="AD1236" t="s">
        <v>113</v>
      </c>
      <c r="AE1236" t="s">
        <v>120</v>
      </c>
      <c r="AG1236" t="s">
        <v>121</v>
      </c>
    </row>
    <row r="1237" spans="1:33" x14ac:dyDescent="0.25">
      <c r="A1237" t="str">
        <f>"1437116308"</f>
        <v>1437116308</v>
      </c>
      <c r="B1237" t="str">
        <f>"01623490"</f>
        <v>01623490</v>
      </c>
      <c r="C1237" t="s">
        <v>7381</v>
      </c>
      <c r="D1237" t="s">
        <v>7382</v>
      </c>
      <c r="E1237" t="s">
        <v>7383</v>
      </c>
      <c r="G1237" t="s">
        <v>7381</v>
      </c>
      <c r="H1237" t="s">
        <v>3800</v>
      </c>
      <c r="J1237" t="s">
        <v>7384</v>
      </c>
      <c r="L1237" t="s">
        <v>142</v>
      </c>
      <c r="M1237" t="s">
        <v>113</v>
      </c>
      <c r="R1237" t="s">
        <v>7385</v>
      </c>
      <c r="W1237" t="s">
        <v>7383</v>
      </c>
      <c r="X1237" t="s">
        <v>3566</v>
      </c>
      <c r="Y1237" t="s">
        <v>377</v>
      </c>
      <c r="Z1237" t="s">
        <v>117</v>
      </c>
      <c r="AA1237" t="str">
        <f>"14217-1304"</f>
        <v>14217-1304</v>
      </c>
      <c r="AB1237" t="s">
        <v>118</v>
      </c>
      <c r="AC1237" t="s">
        <v>119</v>
      </c>
      <c r="AD1237" t="s">
        <v>113</v>
      </c>
      <c r="AE1237" t="s">
        <v>120</v>
      </c>
      <c r="AG1237" t="s">
        <v>121</v>
      </c>
    </row>
    <row r="1238" spans="1:33" x14ac:dyDescent="0.25">
      <c r="A1238" t="str">
        <f>"1437117553"</f>
        <v>1437117553</v>
      </c>
      <c r="B1238" t="str">
        <f>"01924689"</f>
        <v>01924689</v>
      </c>
      <c r="C1238" t="s">
        <v>7386</v>
      </c>
      <c r="D1238" t="s">
        <v>7387</v>
      </c>
      <c r="E1238" t="s">
        <v>7388</v>
      </c>
      <c r="G1238" t="s">
        <v>7386</v>
      </c>
      <c r="H1238" t="s">
        <v>7389</v>
      </c>
      <c r="J1238" t="s">
        <v>7390</v>
      </c>
      <c r="L1238" t="s">
        <v>150</v>
      </c>
      <c r="M1238" t="s">
        <v>113</v>
      </c>
      <c r="R1238" t="s">
        <v>7391</v>
      </c>
      <c r="W1238" t="s">
        <v>7388</v>
      </c>
      <c r="X1238" t="s">
        <v>7392</v>
      </c>
      <c r="Y1238" t="s">
        <v>326</v>
      </c>
      <c r="Z1238" t="s">
        <v>117</v>
      </c>
      <c r="AA1238" t="str">
        <f>"14127-2604"</f>
        <v>14127-2604</v>
      </c>
      <c r="AB1238" t="s">
        <v>118</v>
      </c>
      <c r="AC1238" t="s">
        <v>119</v>
      </c>
      <c r="AD1238" t="s">
        <v>113</v>
      </c>
      <c r="AE1238" t="s">
        <v>120</v>
      </c>
      <c r="AG1238" t="s">
        <v>121</v>
      </c>
    </row>
    <row r="1239" spans="1:33" x14ac:dyDescent="0.25">
      <c r="A1239" t="str">
        <f>"1437117819"</f>
        <v>1437117819</v>
      </c>
      <c r="B1239" t="str">
        <f>"00702589"</f>
        <v>00702589</v>
      </c>
      <c r="C1239" t="s">
        <v>7393</v>
      </c>
      <c r="D1239" t="s">
        <v>7394</v>
      </c>
      <c r="E1239" t="s">
        <v>7395</v>
      </c>
      <c r="G1239" t="s">
        <v>7393</v>
      </c>
      <c r="H1239" t="s">
        <v>205</v>
      </c>
      <c r="J1239" t="s">
        <v>7396</v>
      </c>
      <c r="L1239" t="s">
        <v>150</v>
      </c>
      <c r="M1239" t="s">
        <v>113</v>
      </c>
      <c r="R1239" t="s">
        <v>7397</v>
      </c>
      <c r="W1239" t="s">
        <v>7395</v>
      </c>
      <c r="X1239" t="s">
        <v>2607</v>
      </c>
      <c r="Y1239" t="s">
        <v>116</v>
      </c>
      <c r="Z1239" t="s">
        <v>117</v>
      </c>
      <c r="AA1239" t="str">
        <f>"14203-1149"</f>
        <v>14203-1149</v>
      </c>
      <c r="AB1239" t="s">
        <v>118</v>
      </c>
      <c r="AC1239" t="s">
        <v>119</v>
      </c>
      <c r="AD1239" t="s">
        <v>113</v>
      </c>
      <c r="AE1239" t="s">
        <v>120</v>
      </c>
      <c r="AG1239" t="s">
        <v>121</v>
      </c>
    </row>
    <row r="1240" spans="1:33" x14ac:dyDescent="0.25">
      <c r="A1240" t="str">
        <f>"1437119427"</f>
        <v>1437119427</v>
      </c>
      <c r="B1240" t="str">
        <f>"00581315"</f>
        <v>00581315</v>
      </c>
      <c r="C1240" t="s">
        <v>7398</v>
      </c>
      <c r="D1240" t="s">
        <v>7399</v>
      </c>
      <c r="E1240" t="s">
        <v>7400</v>
      </c>
      <c r="G1240" t="s">
        <v>7398</v>
      </c>
      <c r="H1240" t="s">
        <v>2347</v>
      </c>
      <c r="J1240" t="s">
        <v>7401</v>
      </c>
      <c r="L1240" t="s">
        <v>112</v>
      </c>
      <c r="M1240" t="s">
        <v>113</v>
      </c>
      <c r="R1240" t="s">
        <v>7402</v>
      </c>
      <c r="W1240" t="s">
        <v>7400</v>
      </c>
      <c r="X1240" t="s">
        <v>888</v>
      </c>
      <c r="Y1240" t="s">
        <v>816</v>
      </c>
      <c r="Z1240" t="s">
        <v>117</v>
      </c>
      <c r="AA1240" t="str">
        <f>"14120-6196"</f>
        <v>14120-6196</v>
      </c>
      <c r="AB1240" t="s">
        <v>118</v>
      </c>
      <c r="AC1240" t="s">
        <v>119</v>
      </c>
      <c r="AD1240" t="s">
        <v>113</v>
      </c>
      <c r="AE1240" t="s">
        <v>120</v>
      </c>
      <c r="AG1240" t="s">
        <v>121</v>
      </c>
    </row>
    <row r="1241" spans="1:33" x14ac:dyDescent="0.25">
      <c r="A1241" t="str">
        <f>"1437121480"</f>
        <v>1437121480</v>
      </c>
      <c r="B1241" t="str">
        <f>"03122245"</f>
        <v>03122245</v>
      </c>
      <c r="C1241" t="s">
        <v>7403</v>
      </c>
      <c r="D1241" t="s">
        <v>7404</v>
      </c>
      <c r="E1241" t="s">
        <v>7405</v>
      </c>
      <c r="G1241" t="s">
        <v>7403</v>
      </c>
      <c r="H1241" t="s">
        <v>3994</v>
      </c>
      <c r="J1241" t="s">
        <v>7406</v>
      </c>
      <c r="L1241" t="s">
        <v>150</v>
      </c>
      <c r="M1241" t="s">
        <v>113</v>
      </c>
      <c r="R1241" t="s">
        <v>7407</v>
      </c>
      <c r="W1241" t="s">
        <v>7408</v>
      </c>
      <c r="X1241" t="s">
        <v>7409</v>
      </c>
      <c r="Y1241" t="s">
        <v>3012</v>
      </c>
      <c r="Z1241" t="s">
        <v>117</v>
      </c>
      <c r="AA1241" t="str">
        <f>"14052-2531"</f>
        <v>14052-2531</v>
      </c>
      <c r="AB1241" t="s">
        <v>118</v>
      </c>
      <c r="AC1241" t="s">
        <v>119</v>
      </c>
      <c r="AD1241" t="s">
        <v>113</v>
      </c>
      <c r="AE1241" t="s">
        <v>120</v>
      </c>
      <c r="AG1241" t="s">
        <v>121</v>
      </c>
    </row>
    <row r="1242" spans="1:33" x14ac:dyDescent="0.25">
      <c r="A1242" t="str">
        <f>"1437125705"</f>
        <v>1437125705</v>
      </c>
      <c r="B1242" t="str">
        <f>"02288686"</f>
        <v>02288686</v>
      </c>
      <c r="C1242" t="s">
        <v>7410</v>
      </c>
      <c r="D1242" t="s">
        <v>7411</v>
      </c>
      <c r="E1242" t="s">
        <v>7412</v>
      </c>
      <c r="G1242" t="s">
        <v>7410</v>
      </c>
      <c r="H1242" t="s">
        <v>7233</v>
      </c>
      <c r="J1242" t="s">
        <v>7413</v>
      </c>
      <c r="L1242" t="s">
        <v>150</v>
      </c>
      <c r="M1242" t="s">
        <v>199</v>
      </c>
      <c r="R1242" t="s">
        <v>7414</v>
      </c>
      <c r="W1242" t="s">
        <v>7412</v>
      </c>
      <c r="X1242" t="s">
        <v>3913</v>
      </c>
      <c r="Y1242" t="s">
        <v>116</v>
      </c>
      <c r="Z1242" t="s">
        <v>117</v>
      </c>
      <c r="AA1242" t="str">
        <f>"14214-1706"</f>
        <v>14214-1706</v>
      </c>
      <c r="AB1242" t="s">
        <v>118</v>
      </c>
      <c r="AC1242" t="s">
        <v>119</v>
      </c>
      <c r="AD1242" t="s">
        <v>113</v>
      </c>
      <c r="AE1242" t="s">
        <v>120</v>
      </c>
      <c r="AG1242" t="s">
        <v>121</v>
      </c>
    </row>
    <row r="1243" spans="1:33" x14ac:dyDescent="0.25">
      <c r="A1243" t="str">
        <f>"1548534001"</f>
        <v>1548534001</v>
      </c>
      <c r="B1243" t="str">
        <f>"03491123"</f>
        <v>03491123</v>
      </c>
      <c r="C1243" t="s">
        <v>7415</v>
      </c>
      <c r="D1243" t="s">
        <v>7416</v>
      </c>
      <c r="E1243" t="s">
        <v>7417</v>
      </c>
      <c r="G1243" t="s">
        <v>7415</v>
      </c>
      <c r="H1243" t="s">
        <v>7418</v>
      </c>
      <c r="J1243" t="s">
        <v>7419</v>
      </c>
      <c r="L1243" t="s">
        <v>112</v>
      </c>
      <c r="M1243" t="s">
        <v>113</v>
      </c>
      <c r="R1243" t="s">
        <v>7420</v>
      </c>
      <c r="W1243" t="s">
        <v>7417</v>
      </c>
      <c r="X1243" t="s">
        <v>176</v>
      </c>
      <c r="Y1243" t="s">
        <v>116</v>
      </c>
      <c r="Z1243" t="s">
        <v>117</v>
      </c>
      <c r="AA1243" t="str">
        <f>"14203-1126"</f>
        <v>14203-1126</v>
      </c>
      <c r="AB1243" t="s">
        <v>118</v>
      </c>
      <c r="AC1243" t="s">
        <v>119</v>
      </c>
      <c r="AD1243" t="s">
        <v>113</v>
      </c>
      <c r="AE1243" t="s">
        <v>120</v>
      </c>
      <c r="AG1243" t="s">
        <v>121</v>
      </c>
    </row>
    <row r="1244" spans="1:33" x14ac:dyDescent="0.25">
      <c r="A1244" t="str">
        <f>"1548566847"</f>
        <v>1548566847</v>
      </c>
      <c r="B1244" t="str">
        <f>"03317237"</f>
        <v>03317237</v>
      </c>
      <c r="C1244" t="s">
        <v>7421</v>
      </c>
      <c r="D1244" t="s">
        <v>7422</v>
      </c>
      <c r="E1244" t="s">
        <v>7423</v>
      </c>
      <c r="G1244" t="s">
        <v>7421</v>
      </c>
      <c r="H1244" t="s">
        <v>110</v>
      </c>
      <c r="J1244" t="s">
        <v>7424</v>
      </c>
      <c r="L1244" t="s">
        <v>112</v>
      </c>
      <c r="M1244" t="s">
        <v>113</v>
      </c>
      <c r="R1244" t="s">
        <v>7425</v>
      </c>
      <c r="W1244" t="s">
        <v>7423</v>
      </c>
      <c r="X1244" t="s">
        <v>1845</v>
      </c>
      <c r="Y1244" t="s">
        <v>889</v>
      </c>
      <c r="Z1244" t="s">
        <v>117</v>
      </c>
      <c r="AA1244" t="str">
        <f>"14120-6150"</f>
        <v>14120-6150</v>
      </c>
      <c r="AB1244" t="s">
        <v>118</v>
      </c>
      <c r="AC1244" t="s">
        <v>119</v>
      </c>
      <c r="AD1244" t="s">
        <v>113</v>
      </c>
      <c r="AE1244" t="s">
        <v>120</v>
      </c>
      <c r="AG1244" t="s">
        <v>121</v>
      </c>
    </row>
    <row r="1245" spans="1:33" x14ac:dyDescent="0.25">
      <c r="A1245" t="str">
        <f>"1548577539"</f>
        <v>1548577539</v>
      </c>
      <c r="B1245" t="str">
        <f>"03295416"</f>
        <v>03295416</v>
      </c>
      <c r="C1245" t="s">
        <v>7426</v>
      </c>
      <c r="D1245" t="s">
        <v>7427</v>
      </c>
      <c r="E1245" t="s">
        <v>7428</v>
      </c>
      <c r="G1245" t="s">
        <v>7426</v>
      </c>
      <c r="H1245" t="s">
        <v>7429</v>
      </c>
      <c r="J1245" t="s">
        <v>7430</v>
      </c>
      <c r="L1245" t="s">
        <v>142</v>
      </c>
      <c r="M1245" t="s">
        <v>113</v>
      </c>
      <c r="R1245" t="s">
        <v>7431</v>
      </c>
      <c r="W1245" t="s">
        <v>7432</v>
      </c>
      <c r="X1245" t="s">
        <v>2728</v>
      </c>
      <c r="Y1245" t="s">
        <v>116</v>
      </c>
      <c r="Z1245" t="s">
        <v>117</v>
      </c>
      <c r="AA1245" t="str">
        <f>"14201-2398"</f>
        <v>14201-2398</v>
      </c>
      <c r="AB1245" t="s">
        <v>118</v>
      </c>
      <c r="AC1245" t="s">
        <v>119</v>
      </c>
      <c r="AD1245" t="s">
        <v>113</v>
      </c>
      <c r="AE1245" t="s">
        <v>120</v>
      </c>
      <c r="AG1245" t="s">
        <v>121</v>
      </c>
    </row>
    <row r="1246" spans="1:33" x14ac:dyDescent="0.25">
      <c r="A1246" t="str">
        <f>"1548597198"</f>
        <v>1548597198</v>
      </c>
      <c r="C1246" t="s">
        <v>7433</v>
      </c>
      <c r="G1246" t="s">
        <v>1077</v>
      </c>
      <c r="H1246" t="s">
        <v>1078</v>
      </c>
      <c r="J1246" t="s">
        <v>1079</v>
      </c>
      <c r="K1246" t="s">
        <v>303</v>
      </c>
      <c r="L1246" t="s">
        <v>229</v>
      </c>
      <c r="M1246" t="s">
        <v>113</v>
      </c>
      <c r="R1246" t="s">
        <v>7433</v>
      </c>
      <c r="S1246" t="s">
        <v>709</v>
      </c>
      <c r="T1246" t="s">
        <v>116</v>
      </c>
      <c r="U1246" t="s">
        <v>117</v>
      </c>
      <c r="V1246" t="str">
        <f>"142630001"</f>
        <v>142630001</v>
      </c>
      <c r="AC1246" t="s">
        <v>119</v>
      </c>
      <c r="AD1246" t="s">
        <v>113</v>
      </c>
      <c r="AE1246" t="s">
        <v>306</v>
      </c>
      <c r="AG1246" t="s">
        <v>121</v>
      </c>
    </row>
    <row r="1247" spans="1:33" x14ac:dyDescent="0.25">
      <c r="A1247" t="str">
        <f>"1548660830"</f>
        <v>1548660830</v>
      </c>
      <c r="B1247" t="str">
        <f>"03948950"</f>
        <v>03948950</v>
      </c>
      <c r="C1247" t="s">
        <v>7434</v>
      </c>
      <c r="D1247" t="s">
        <v>7435</v>
      </c>
      <c r="E1247" t="s">
        <v>7436</v>
      </c>
      <c r="G1247" t="s">
        <v>7434</v>
      </c>
      <c r="H1247" t="s">
        <v>2125</v>
      </c>
      <c r="J1247" t="s">
        <v>7437</v>
      </c>
      <c r="L1247" t="s">
        <v>1033</v>
      </c>
      <c r="M1247" t="s">
        <v>113</v>
      </c>
      <c r="R1247" t="s">
        <v>7436</v>
      </c>
      <c r="W1247" t="s">
        <v>7436</v>
      </c>
      <c r="X1247" t="s">
        <v>2128</v>
      </c>
      <c r="Y1247" t="s">
        <v>986</v>
      </c>
      <c r="Z1247" t="s">
        <v>117</v>
      </c>
      <c r="AA1247" t="str">
        <f>"14701-5502"</f>
        <v>14701-5502</v>
      </c>
      <c r="AB1247" t="s">
        <v>621</v>
      </c>
      <c r="AC1247" t="s">
        <v>119</v>
      </c>
      <c r="AD1247" t="s">
        <v>113</v>
      </c>
      <c r="AE1247" t="s">
        <v>120</v>
      </c>
      <c r="AG1247" t="s">
        <v>121</v>
      </c>
    </row>
    <row r="1248" spans="1:33" x14ac:dyDescent="0.25">
      <c r="A1248" t="str">
        <f>"1548675895"</f>
        <v>1548675895</v>
      </c>
      <c r="C1248" t="s">
        <v>7438</v>
      </c>
      <c r="G1248" t="s">
        <v>7439</v>
      </c>
      <c r="H1248" t="s">
        <v>443</v>
      </c>
      <c r="J1248" t="s">
        <v>352</v>
      </c>
      <c r="K1248" t="s">
        <v>303</v>
      </c>
      <c r="L1248" t="s">
        <v>229</v>
      </c>
      <c r="M1248" t="s">
        <v>113</v>
      </c>
      <c r="R1248" t="s">
        <v>7440</v>
      </c>
      <c r="S1248" t="s">
        <v>409</v>
      </c>
      <c r="T1248" t="s">
        <v>116</v>
      </c>
      <c r="U1248" t="s">
        <v>117</v>
      </c>
      <c r="V1248" t="str">
        <f>"142152814"</f>
        <v>142152814</v>
      </c>
      <c r="AC1248" t="s">
        <v>119</v>
      </c>
      <c r="AD1248" t="s">
        <v>113</v>
      </c>
      <c r="AE1248" t="s">
        <v>306</v>
      </c>
      <c r="AG1248" t="s">
        <v>121</v>
      </c>
    </row>
    <row r="1249" spans="1:33" x14ac:dyDescent="0.25">
      <c r="A1249" t="str">
        <f>"1578705778"</f>
        <v>1578705778</v>
      </c>
      <c r="B1249" t="str">
        <f>"03488488"</f>
        <v>03488488</v>
      </c>
      <c r="C1249" t="s">
        <v>7441</v>
      </c>
      <c r="D1249" t="s">
        <v>7442</v>
      </c>
      <c r="E1249" t="s">
        <v>7443</v>
      </c>
      <c r="G1249" t="s">
        <v>7441</v>
      </c>
      <c r="H1249" t="s">
        <v>7444</v>
      </c>
      <c r="J1249" t="s">
        <v>7445</v>
      </c>
      <c r="L1249" t="s">
        <v>150</v>
      </c>
      <c r="M1249" t="s">
        <v>113</v>
      </c>
      <c r="R1249" t="s">
        <v>7446</v>
      </c>
      <c r="W1249" t="s">
        <v>7443</v>
      </c>
      <c r="X1249" t="s">
        <v>7447</v>
      </c>
      <c r="Y1249" t="s">
        <v>240</v>
      </c>
      <c r="Z1249" t="s">
        <v>117</v>
      </c>
      <c r="AA1249" t="str">
        <f>"14221-1200"</f>
        <v>14221-1200</v>
      </c>
      <c r="AB1249" t="s">
        <v>118</v>
      </c>
      <c r="AC1249" t="s">
        <v>119</v>
      </c>
      <c r="AD1249" t="s">
        <v>113</v>
      </c>
      <c r="AE1249" t="s">
        <v>120</v>
      </c>
      <c r="AG1249" t="s">
        <v>121</v>
      </c>
    </row>
    <row r="1250" spans="1:33" x14ac:dyDescent="0.25">
      <c r="B1250" t="str">
        <f>"02171337"</f>
        <v>02171337</v>
      </c>
      <c r="C1250" t="s">
        <v>12890</v>
      </c>
      <c r="D1250" t="s">
        <v>12891</v>
      </c>
      <c r="E1250" t="s">
        <v>12890</v>
      </c>
      <c r="H1250" t="s">
        <v>11669</v>
      </c>
      <c r="L1250" t="s">
        <v>69</v>
      </c>
      <c r="M1250" t="s">
        <v>113</v>
      </c>
      <c r="W1250" t="s">
        <v>12890</v>
      </c>
      <c r="X1250" t="s">
        <v>1623</v>
      </c>
      <c r="Y1250" t="s">
        <v>116</v>
      </c>
      <c r="Z1250" t="s">
        <v>117</v>
      </c>
      <c r="AA1250" t="str">
        <f>"14214-1323"</f>
        <v>14214-1323</v>
      </c>
      <c r="AB1250" t="s">
        <v>291</v>
      </c>
      <c r="AC1250" t="s">
        <v>119</v>
      </c>
      <c r="AD1250" t="s">
        <v>113</v>
      </c>
      <c r="AE1250" t="s">
        <v>120</v>
      </c>
      <c r="AG1250" t="s">
        <v>121</v>
      </c>
    </row>
    <row r="1251" spans="1:33" x14ac:dyDescent="0.25">
      <c r="A1251" t="str">
        <f>"1518395235"</f>
        <v>1518395235</v>
      </c>
      <c r="B1251" t="str">
        <f>"03808537"</f>
        <v>03808537</v>
      </c>
      <c r="C1251" t="s">
        <v>7453</v>
      </c>
      <c r="D1251" t="s">
        <v>7454</v>
      </c>
      <c r="E1251" t="s">
        <v>7455</v>
      </c>
      <c r="G1251" t="s">
        <v>7456</v>
      </c>
      <c r="H1251" t="s">
        <v>7457</v>
      </c>
      <c r="J1251" t="s">
        <v>7458</v>
      </c>
      <c r="L1251" t="s">
        <v>142</v>
      </c>
      <c r="M1251" t="s">
        <v>113</v>
      </c>
      <c r="R1251" t="s">
        <v>7459</v>
      </c>
      <c r="W1251" t="s">
        <v>7455</v>
      </c>
      <c r="X1251" t="s">
        <v>838</v>
      </c>
      <c r="Y1251" t="s">
        <v>240</v>
      </c>
      <c r="Z1251" t="s">
        <v>117</v>
      </c>
      <c r="AA1251" t="str">
        <f>"14221-3647"</f>
        <v>14221-3647</v>
      </c>
      <c r="AB1251" t="s">
        <v>528</v>
      </c>
      <c r="AC1251" t="s">
        <v>119</v>
      </c>
      <c r="AD1251" t="s">
        <v>113</v>
      </c>
      <c r="AE1251" t="s">
        <v>120</v>
      </c>
      <c r="AG1251" t="s">
        <v>121</v>
      </c>
    </row>
    <row r="1252" spans="1:33" x14ac:dyDescent="0.25">
      <c r="A1252" t="str">
        <f>"1518916196"</f>
        <v>1518916196</v>
      </c>
      <c r="B1252" t="str">
        <f>"02771424"</f>
        <v>02771424</v>
      </c>
      <c r="C1252" t="s">
        <v>7460</v>
      </c>
      <c r="D1252" t="s">
        <v>7461</v>
      </c>
      <c r="E1252" t="s">
        <v>7462</v>
      </c>
      <c r="G1252" t="s">
        <v>7460</v>
      </c>
      <c r="H1252" t="s">
        <v>205</v>
      </c>
      <c r="J1252" t="s">
        <v>7463</v>
      </c>
      <c r="L1252" t="s">
        <v>142</v>
      </c>
      <c r="M1252" t="s">
        <v>113</v>
      </c>
      <c r="R1252" t="s">
        <v>7464</v>
      </c>
      <c r="W1252" t="s">
        <v>7462</v>
      </c>
      <c r="X1252" t="s">
        <v>7465</v>
      </c>
      <c r="Y1252" t="s">
        <v>240</v>
      </c>
      <c r="Z1252" t="s">
        <v>117</v>
      </c>
      <c r="AA1252" t="str">
        <f>"14221-4827"</f>
        <v>14221-4827</v>
      </c>
      <c r="AB1252" t="s">
        <v>118</v>
      </c>
      <c r="AC1252" t="s">
        <v>119</v>
      </c>
      <c r="AD1252" t="s">
        <v>113</v>
      </c>
      <c r="AE1252" t="s">
        <v>120</v>
      </c>
      <c r="AG1252" t="s">
        <v>121</v>
      </c>
    </row>
    <row r="1253" spans="1:33" x14ac:dyDescent="0.25">
      <c r="A1253" t="str">
        <f>"1518922137"</f>
        <v>1518922137</v>
      </c>
      <c r="B1253" t="str">
        <f>"01614924"</f>
        <v>01614924</v>
      </c>
      <c r="C1253" t="s">
        <v>7466</v>
      </c>
      <c r="D1253" t="s">
        <v>7467</v>
      </c>
      <c r="E1253" t="s">
        <v>7468</v>
      </c>
      <c r="G1253" t="s">
        <v>7469</v>
      </c>
      <c r="H1253" t="s">
        <v>7470</v>
      </c>
      <c r="L1253" t="s">
        <v>150</v>
      </c>
      <c r="M1253" t="s">
        <v>199</v>
      </c>
      <c r="R1253" t="s">
        <v>7471</v>
      </c>
      <c r="W1253" t="s">
        <v>7472</v>
      </c>
      <c r="X1253" t="s">
        <v>4095</v>
      </c>
      <c r="Y1253" t="s">
        <v>116</v>
      </c>
      <c r="Z1253" t="s">
        <v>117</v>
      </c>
      <c r="AA1253" t="str">
        <f>"14211-1217"</f>
        <v>14211-1217</v>
      </c>
      <c r="AB1253" t="s">
        <v>118</v>
      </c>
      <c r="AC1253" t="s">
        <v>119</v>
      </c>
      <c r="AD1253" t="s">
        <v>113</v>
      </c>
      <c r="AE1253" t="s">
        <v>120</v>
      </c>
      <c r="AG1253" t="s">
        <v>121</v>
      </c>
    </row>
    <row r="1254" spans="1:33" x14ac:dyDescent="0.25">
      <c r="A1254" t="str">
        <f>"1518924935"</f>
        <v>1518924935</v>
      </c>
      <c r="B1254" t="str">
        <f>"01534261"</f>
        <v>01534261</v>
      </c>
      <c r="C1254" t="s">
        <v>859</v>
      </c>
      <c r="D1254" t="s">
        <v>7473</v>
      </c>
      <c r="E1254" t="s">
        <v>7474</v>
      </c>
      <c r="G1254" t="s">
        <v>859</v>
      </c>
      <c r="J1254" t="s">
        <v>861</v>
      </c>
      <c r="L1254" t="s">
        <v>142</v>
      </c>
      <c r="M1254" t="s">
        <v>113</v>
      </c>
      <c r="W1254" t="s">
        <v>7474</v>
      </c>
      <c r="X1254" t="s">
        <v>176</v>
      </c>
      <c r="Y1254" t="s">
        <v>116</v>
      </c>
      <c r="Z1254" t="s">
        <v>117</v>
      </c>
      <c r="AA1254" t="str">
        <f>"14203-1126"</f>
        <v>14203-1126</v>
      </c>
      <c r="AB1254" t="s">
        <v>118</v>
      </c>
      <c r="AC1254" t="s">
        <v>119</v>
      </c>
      <c r="AD1254" t="s">
        <v>113</v>
      </c>
      <c r="AE1254" t="s">
        <v>120</v>
      </c>
      <c r="AG1254" t="s">
        <v>121</v>
      </c>
    </row>
    <row r="1255" spans="1:33" x14ac:dyDescent="0.25">
      <c r="A1255" t="str">
        <f>"1518925437"</f>
        <v>1518925437</v>
      </c>
      <c r="B1255" t="str">
        <f>"02195980"</f>
        <v>02195980</v>
      </c>
      <c r="C1255" t="s">
        <v>7475</v>
      </c>
      <c r="D1255" t="s">
        <v>7476</v>
      </c>
      <c r="E1255" t="s">
        <v>7477</v>
      </c>
      <c r="G1255" t="s">
        <v>7478</v>
      </c>
      <c r="H1255" t="s">
        <v>7479</v>
      </c>
      <c r="L1255" t="s">
        <v>7480</v>
      </c>
      <c r="M1255" t="s">
        <v>113</v>
      </c>
      <c r="R1255" t="s">
        <v>7478</v>
      </c>
      <c r="W1255" t="s">
        <v>7477</v>
      </c>
      <c r="X1255" t="s">
        <v>1098</v>
      </c>
      <c r="Y1255" t="s">
        <v>305</v>
      </c>
      <c r="Z1255" t="s">
        <v>117</v>
      </c>
      <c r="AA1255" t="str">
        <f>"14760-1513"</f>
        <v>14760-1513</v>
      </c>
      <c r="AB1255" t="s">
        <v>118</v>
      </c>
      <c r="AC1255" t="s">
        <v>119</v>
      </c>
      <c r="AD1255" t="s">
        <v>113</v>
      </c>
      <c r="AE1255" t="s">
        <v>120</v>
      </c>
      <c r="AG1255" t="s">
        <v>121</v>
      </c>
    </row>
    <row r="1256" spans="1:33" x14ac:dyDescent="0.25">
      <c r="A1256" t="str">
        <f>"1518928290"</f>
        <v>1518928290</v>
      </c>
      <c r="B1256" t="str">
        <f>"01954810"</f>
        <v>01954810</v>
      </c>
      <c r="C1256" t="s">
        <v>7481</v>
      </c>
      <c r="D1256" t="s">
        <v>7482</v>
      </c>
      <c r="E1256" t="s">
        <v>7483</v>
      </c>
      <c r="G1256" t="s">
        <v>7481</v>
      </c>
      <c r="H1256" t="s">
        <v>7484</v>
      </c>
      <c r="J1256" t="s">
        <v>7485</v>
      </c>
      <c r="L1256" t="s">
        <v>150</v>
      </c>
      <c r="M1256" t="s">
        <v>113</v>
      </c>
      <c r="R1256" t="s">
        <v>7486</v>
      </c>
      <c r="W1256" t="s">
        <v>7483</v>
      </c>
      <c r="X1256" t="s">
        <v>7487</v>
      </c>
      <c r="Y1256" t="s">
        <v>116</v>
      </c>
      <c r="Z1256" t="s">
        <v>117</v>
      </c>
      <c r="AA1256" t="str">
        <f>"14207-1640"</f>
        <v>14207-1640</v>
      </c>
      <c r="AB1256" t="s">
        <v>118</v>
      </c>
      <c r="AC1256" t="s">
        <v>119</v>
      </c>
      <c r="AD1256" t="s">
        <v>113</v>
      </c>
      <c r="AE1256" t="s">
        <v>120</v>
      </c>
      <c r="AG1256" t="s">
        <v>121</v>
      </c>
    </row>
    <row r="1257" spans="1:33" x14ac:dyDescent="0.25">
      <c r="A1257" t="str">
        <f>"1518928456"</f>
        <v>1518928456</v>
      </c>
      <c r="B1257" t="str">
        <f>"01515782"</f>
        <v>01515782</v>
      </c>
      <c r="C1257" t="s">
        <v>7488</v>
      </c>
      <c r="D1257" t="s">
        <v>7489</v>
      </c>
      <c r="E1257" t="s">
        <v>7490</v>
      </c>
      <c r="G1257" t="s">
        <v>7488</v>
      </c>
      <c r="H1257" t="s">
        <v>7491</v>
      </c>
      <c r="J1257" t="s">
        <v>7492</v>
      </c>
      <c r="L1257" t="s">
        <v>150</v>
      </c>
      <c r="M1257" t="s">
        <v>113</v>
      </c>
      <c r="R1257" t="s">
        <v>7493</v>
      </c>
      <c r="W1257" t="s">
        <v>7490</v>
      </c>
      <c r="X1257" t="s">
        <v>7494</v>
      </c>
      <c r="Y1257" t="s">
        <v>2946</v>
      </c>
      <c r="Z1257" t="s">
        <v>117</v>
      </c>
      <c r="AA1257" t="str">
        <f>"14075-6200"</f>
        <v>14075-6200</v>
      </c>
      <c r="AB1257" t="s">
        <v>118</v>
      </c>
      <c r="AC1257" t="s">
        <v>119</v>
      </c>
      <c r="AD1257" t="s">
        <v>113</v>
      </c>
      <c r="AE1257" t="s">
        <v>120</v>
      </c>
      <c r="AG1257" t="s">
        <v>121</v>
      </c>
    </row>
    <row r="1258" spans="1:33" x14ac:dyDescent="0.25">
      <c r="A1258" t="str">
        <f>"1518931989"</f>
        <v>1518931989</v>
      </c>
      <c r="B1258" t="str">
        <f>"01739899"</f>
        <v>01739899</v>
      </c>
      <c r="C1258" t="s">
        <v>7495</v>
      </c>
      <c r="D1258" t="s">
        <v>7496</v>
      </c>
      <c r="E1258" t="s">
        <v>7497</v>
      </c>
      <c r="G1258" t="s">
        <v>7495</v>
      </c>
      <c r="H1258" t="s">
        <v>7498</v>
      </c>
      <c r="J1258" t="s">
        <v>7499</v>
      </c>
      <c r="L1258" t="s">
        <v>142</v>
      </c>
      <c r="M1258" t="s">
        <v>113</v>
      </c>
      <c r="R1258" t="s">
        <v>7500</v>
      </c>
      <c r="W1258" t="s">
        <v>7501</v>
      </c>
      <c r="Y1258" t="s">
        <v>116</v>
      </c>
      <c r="Z1258" t="s">
        <v>117</v>
      </c>
      <c r="AA1258" t="str">
        <f>"14214-2692"</f>
        <v>14214-2692</v>
      </c>
      <c r="AB1258" t="s">
        <v>118</v>
      </c>
      <c r="AC1258" t="s">
        <v>119</v>
      </c>
      <c r="AD1258" t="s">
        <v>113</v>
      </c>
      <c r="AE1258" t="s">
        <v>120</v>
      </c>
      <c r="AG1258" t="s">
        <v>121</v>
      </c>
    </row>
    <row r="1259" spans="1:33" x14ac:dyDescent="0.25">
      <c r="A1259" t="str">
        <f>"1518933001"</f>
        <v>1518933001</v>
      </c>
      <c r="B1259" t="str">
        <f>"02343800"</f>
        <v>02343800</v>
      </c>
      <c r="C1259" t="s">
        <v>7502</v>
      </c>
      <c r="D1259" t="s">
        <v>7503</v>
      </c>
      <c r="E1259" t="s">
        <v>7504</v>
      </c>
      <c r="L1259" t="s">
        <v>150</v>
      </c>
      <c r="M1259" t="s">
        <v>199</v>
      </c>
      <c r="R1259" t="s">
        <v>7505</v>
      </c>
      <c r="W1259" t="s">
        <v>7506</v>
      </c>
      <c r="X1259" t="s">
        <v>3913</v>
      </c>
      <c r="Y1259" t="s">
        <v>116</v>
      </c>
      <c r="Z1259" t="s">
        <v>117</v>
      </c>
      <c r="AA1259" t="str">
        <f>"14214-1706"</f>
        <v>14214-1706</v>
      </c>
      <c r="AB1259" t="s">
        <v>118</v>
      </c>
      <c r="AC1259" t="s">
        <v>119</v>
      </c>
      <c r="AD1259" t="s">
        <v>113</v>
      </c>
      <c r="AE1259" t="s">
        <v>120</v>
      </c>
      <c r="AG1259" t="s">
        <v>121</v>
      </c>
    </row>
    <row r="1260" spans="1:33" x14ac:dyDescent="0.25">
      <c r="B1260" t="str">
        <f>"02692524"</f>
        <v>02692524</v>
      </c>
      <c r="C1260" t="s">
        <v>11667</v>
      </c>
      <c r="D1260" t="s">
        <v>11668</v>
      </c>
      <c r="E1260" t="s">
        <v>11667</v>
      </c>
      <c r="F1260">
        <v>161003618</v>
      </c>
      <c r="H1260" t="s">
        <v>11669</v>
      </c>
      <c r="L1260" t="s">
        <v>69</v>
      </c>
      <c r="M1260" t="s">
        <v>113</v>
      </c>
      <c r="W1260" t="s">
        <v>11667</v>
      </c>
      <c r="X1260" t="s">
        <v>11666</v>
      </c>
      <c r="Y1260" t="s">
        <v>116</v>
      </c>
      <c r="Z1260" t="s">
        <v>117</v>
      </c>
      <c r="AA1260" t="str">
        <f>"14214-1323"</f>
        <v>14214-1323</v>
      </c>
      <c r="AB1260" t="s">
        <v>291</v>
      </c>
      <c r="AC1260" t="s">
        <v>119</v>
      </c>
      <c r="AD1260" t="s">
        <v>113</v>
      </c>
      <c r="AE1260" t="s">
        <v>120</v>
      </c>
      <c r="AG1260" t="s">
        <v>121</v>
      </c>
    </row>
    <row r="1261" spans="1:33" x14ac:dyDescent="0.25">
      <c r="A1261" t="str">
        <f>"1669539029"</f>
        <v>1669539029</v>
      </c>
      <c r="B1261" t="str">
        <f>"01398365"</f>
        <v>01398365</v>
      </c>
      <c r="C1261" t="s">
        <v>7512</v>
      </c>
      <c r="D1261" t="s">
        <v>7513</v>
      </c>
      <c r="E1261" t="s">
        <v>7514</v>
      </c>
      <c r="G1261" t="s">
        <v>7512</v>
      </c>
      <c r="J1261" t="s">
        <v>7515</v>
      </c>
      <c r="L1261" t="s">
        <v>229</v>
      </c>
      <c r="M1261" t="s">
        <v>113</v>
      </c>
      <c r="R1261" t="s">
        <v>7516</v>
      </c>
      <c r="W1261" t="s">
        <v>7514</v>
      </c>
      <c r="X1261" t="s">
        <v>7517</v>
      </c>
      <c r="Y1261" t="s">
        <v>116</v>
      </c>
      <c r="Z1261" t="s">
        <v>117</v>
      </c>
      <c r="AA1261" t="str">
        <f>"14202-1110"</f>
        <v>14202-1110</v>
      </c>
      <c r="AB1261" t="s">
        <v>118</v>
      </c>
      <c r="AC1261" t="s">
        <v>119</v>
      </c>
      <c r="AD1261" t="s">
        <v>113</v>
      </c>
      <c r="AE1261" t="s">
        <v>120</v>
      </c>
      <c r="AG1261" t="s">
        <v>121</v>
      </c>
    </row>
    <row r="1262" spans="1:33" x14ac:dyDescent="0.25">
      <c r="A1262" t="str">
        <f>"1811336357"</f>
        <v>1811336357</v>
      </c>
      <c r="C1262" t="s">
        <v>7518</v>
      </c>
      <c r="G1262" t="s">
        <v>7519</v>
      </c>
      <c r="H1262" t="s">
        <v>471</v>
      </c>
      <c r="J1262" t="s">
        <v>7520</v>
      </c>
      <c r="K1262" t="s">
        <v>303</v>
      </c>
      <c r="L1262" t="s">
        <v>112</v>
      </c>
      <c r="M1262" t="s">
        <v>113</v>
      </c>
      <c r="R1262" t="s">
        <v>7521</v>
      </c>
      <c r="S1262" t="s">
        <v>3331</v>
      </c>
      <c r="T1262" t="s">
        <v>116</v>
      </c>
      <c r="U1262" t="s">
        <v>117</v>
      </c>
      <c r="V1262" t="str">
        <f>"142011886"</f>
        <v>142011886</v>
      </c>
      <c r="AC1262" t="s">
        <v>119</v>
      </c>
      <c r="AD1262" t="s">
        <v>113</v>
      </c>
      <c r="AE1262" t="s">
        <v>306</v>
      </c>
      <c r="AG1262" t="s">
        <v>121</v>
      </c>
    </row>
    <row r="1263" spans="1:33" x14ac:dyDescent="0.25">
      <c r="A1263" t="str">
        <f>"1811919988"</f>
        <v>1811919988</v>
      </c>
      <c r="B1263" t="str">
        <f>"01679881"</f>
        <v>01679881</v>
      </c>
      <c r="C1263" t="s">
        <v>7522</v>
      </c>
      <c r="D1263" t="s">
        <v>7523</v>
      </c>
      <c r="E1263" t="s">
        <v>7524</v>
      </c>
      <c r="G1263" t="s">
        <v>7522</v>
      </c>
      <c r="H1263" t="s">
        <v>3544</v>
      </c>
      <c r="J1263" t="s">
        <v>7525</v>
      </c>
      <c r="L1263" t="s">
        <v>142</v>
      </c>
      <c r="M1263" t="s">
        <v>113</v>
      </c>
      <c r="R1263" t="s">
        <v>7526</v>
      </c>
      <c r="W1263" t="s">
        <v>7524</v>
      </c>
      <c r="X1263" t="s">
        <v>7527</v>
      </c>
      <c r="Y1263" t="s">
        <v>116</v>
      </c>
      <c r="Z1263" t="s">
        <v>117</v>
      </c>
      <c r="AA1263" t="str">
        <f>"14203-1126"</f>
        <v>14203-1126</v>
      </c>
      <c r="AB1263" t="s">
        <v>118</v>
      </c>
      <c r="AC1263" t="s">
        <v>119</v>
      </c>
      <c r="AD1263" t="s">
        <v>113</v>
      </c>
      <c r="AE1263" t="s">
        <v>120</v>
      </c>
      <c r="AG1263" t="s">
        <v>121</v>
      </c>
    </row>
    <row r="1264" spans="1:33" x14ac:dyDescent="0.25">
      <c r="A1264" t="str">
        <f>"1811926124"</f>
        <v>1811926124</v>
      </c>
      <c r="B1264" t="str">
        <f>"00959462"</f>
        <v>00959462</v>
      </c>
      <c r="C1264" t="s">
        <v>7528</v>
      </c>
      <c r="D1264" t="s">
        <v>7529</v>
      </c>
      <c r="E1264" t="s">
        <v>7530</v>
      </c>
      <c r="G1264" t="s">
        <v>330</v>
      </c>
      <c r="H1264" t="s">
        <v>7531</v>
      </c>
      <c r="J1264" t="s">
        <v>332</v>
      </c>
      <c r="L1264" t="s">
        <v>150</v>
      </c>
      <c r="M1264" t="s">
        <v>113</v>
      </c>
      <c r="R1264" t="s">
        <v>7532</v>
      </c>
      <c r="W1264" t="s">
        <v>7530</v>
      </c>
      <c r="X1264" t="s">
        <v>2705</v>
      </c>
      <c r="Y1264" t="s">
        <v>116</v>
      </c>
      <c r="Z1264" t="s">
        <v>117</v>
      </c>
      <c r="AA1264" t="str">
        <f>"14215-1433"</f>
        <v>14215-1433</v>
      </c>
      <c r="AB1264" t="s">
        <v>118</v>
      </c>
      <c r="AC1264" t="s">
        <v>119</v>
      </c>
      <c r="AD1264" t="s">
        <v>113</v>
      </c>
      <c r="AE1264" t="s">
        <v>120</v>
      </c>
      <c r="AG1264" t="s">
        <v>121</v>
      </c>
    </row>
    <row r="1265" spans="1:33" x14ac:dyDescent="0.25">
      <c r="A1265" t="str">
        <f>"1811928682"</f>
        <v>1811928682</v>
      </c>
      <c r="B1265" t="str">
        <f>"01230955"</f>
        <v>01230955</v>
      </c>
      <c r="C1265" t="s">
        <v>7533</v>
      </c>
      <c r="D1265" t="s">
        <v>7534</v>
      </c>
      <c r="E1265" t="s">
        <v>7535</v>
      </c>
      <c r="G1265" t="s">
        <v>7533</v>
      </c>
      <c r="H1265" t="s">
        <v>7536</v>
      </c>
      <c r="J1265" t="s">
        <v>7537</v>
      </c>
      <c r="L1265" t="s">
        <v>142</v>
      </c>
      <c r="M1265" t="s">
        <v>113</v>
      </c>
      <c r="R1265" t="s">
        <v>7538</v>
      </c>
      <c r="W1265" t="s">
        <v>7535</v>
      </c>
      <c r="X1265" t="s">
        <v>253</v>
      </c>
      <c r="Y1265" t="s">
        <v>116</v>
      </c>
      <c r="Z1265" t="s">
        <v>117</v>
      </c>
      <c r="AA1265" t="str">
        <f>"14215-3021"</f>
        <v>14215-3021</v>
      </c>
      <c r="AB1265" t="s">
        <v>118</v>
      </c>
      <c r="AC1265" t="s">
        <v>119</v>
      </c>
      <c r="AD1265" t="s">
        <v>113</v>
      </c>
      <c r="AE1265" t="s">
        <v>120</v>
      </c>
      <c r="AG1265" t="s">
        <v>121</v>
      </c>
    </row>
    <row r="1266" spans="1:33" x14ac:dyDescent="0.25">
      <c r="A1266" t="str">
        <f>"1811951031"</f>
        <v>1811951031</v>
      </c>
      <c r="B1266" t="str">
        <f>"02613005"</f>
        <v>02613005</v>
      </c>
      <c r="C1266" t="s">
        <v>7539</v>
      </c>
      <c r="D1266" t="s">
        <v>7540</v>
      </c>
      <c r="E1266" t="s">
        <v>7541</v>
      </c>
      <c r="G1266" t="s">
        <v>7542</v>
      </c>
      <c r="H1266" t="s">
        <v>7543</v>
      </c>
      <c r="J1266" t="s">
        <v>7544</v>
      </c>
      <c r="L1266" t="s">
        <v>142</v>
      </c>
      <c r="M1266" t="s">
        <v>113</v>
      </c>
      <c r="R1266" t="s">
        <v>7541</v>
      </c>
      <c r="W1266" t="s">
        <v>7541</v>
      </c>
      <c r="X1266" t="s">
        <v>5577</v>
      </c>
      <c r="Y1266" t="s">
        <v>116</v>
      </c>
      <c r="Z1266" t="s">
        <v>117</v>
      </c>
      <c r="AA1266" t="str">
        <f>"14208-2221"</f>
        <v>14208-2221</v>
      </c>
      <c r="AB1266" t="s">
        <v>118</v>
      </c>
      <c r="AC1266" t="s">
        <v>119</v>
      </c>
      <c r="AD1266" t="s">
        <v>113</v>
      </c>
      <c r="AE1266" t="s">
        <v>120</v>
      </c>
      <c r="AG1266" t="s">
        <v>121</v>
      </c>
    </row>
    <row r="1267" spans="1:33" x14ac:dyDescent="0.25">
      <c r="A1267" t="str">
        <f>"1811953409"</f>
        <v>1811953409</v>
      </c>
      <c r="B1267" t="str">
        <f>"01525704"</f>
        <v>01525704</v>
      </c>
      <c r="C1267" t="s">
        <v>7545</v>
      </c>
      <c r="D1267" t="s">
        <v>7546</v>
      </c>
      <c r="E1267" t="s">
        <v>7547</v>
      </c>
      <c r="G1267" t="s">
        <v>7545</v>
      </c>
      <c r="H1267" t="s">
        <v>4553</v>
      </c>
      <c r="J1267" t="s">
        <v>7548</v>
      </c>
      <c r="L1267" t="s">
        <v>142</v>
      </c>
      <c r="M1267" t="s">
        <v>113</v>
      </c>
      <c r="R1267" t="s">
        <v>7549</v>
      </c>
      <c r="W1267" t="s">
        <v>7547</v>
      </c>
      <c r="X1267" t="s">
        <v>7550</v>
      </c>
      <c r="Y1267" t="s">
        <v>116</v>
      </c>
      <c r="Z1267" t="s">
        <v>117</v>
      </c>
      <c r="AA1267" t="str">
        <f>"14203-1126"</f>
        <v>14203-1126</v>
      </c>
      <c r="AB1267" t="s">
        <v>118</v>
      </c>
      <c r="AC1267" t="s">
        <v>119</v>
      </c>
      <c r="AD1267" t="s">
        <v>113</v>
      </c>
      <c r="AE1267" t="s">
        <v>120</v>
      </c>
      <c r="AG1267" t="s">
        <v>121</v>
      </c>
    </row>
    <row r="1268" spans="1:33" x14ac:dyDescent="0.25">
      <c r="A1268" t="str">
        <f>"1811961485"</f>
        <v>1811961485</v>
      </c>
      <c r="B1268" t="str">
        <f>"02430793"</f>
        <v>02430793</v>
      </c>
      <c r="C1268" t="s">
        <v>7551</v>
      </c>
      <c r="D1268" t="s">
        <v>7552</v>
      </c>
      <c r="E1268" t="s">
        <v>7553</v>
      </c>
      <c r="L1268" t="s">
        <v>142</v>
      </c>
      <c r="M1268" t="s">
        <v>113</v>
      </c>
      <c r="R1268" t="s">
        <v>7551</v>
      </c>
      <c r="W1268" t="s">
        <v>7553</v>
      </c>
      <c r="X1268" t="s">
        <v>7554</v>
      </c>
      <c r="Y1268" t="s">
        <v>326</v>
      </c>
      <c r="Z1268" t="s">
        <v>117</v>
      </c>
      <c r="AA1268" t="str">
        <f>"12127-1209"</f>
        <v>12127-1209</v>
      </c>
      <c r="AB1268" t="s">
        <v>118</v>
      </c>
      <c r="AC1268" t="s">
        <v>119</v>
      </c>
      <c r="AD1268" t="s">
        <v>113</v>
      </c>
      <c r="AE1268" t="s">
        <v>120</v>
      </c>
      <c r="AG1268" t="s">
        <v>121</v>
      </c>
    </row>
    <row r="1269" spans="1:33" x14ac:dyDescent="0.25">
      <c r="A1269" t="str">
        <f>"1811963200"</f>
        <v>1811963200</v>
      </c>
      <c r="B1269" t="str">
        <f>"03026464"</f>
        <v>03026464</v>
      </c>
      <c r="C1269" t="s">
        <v>7555</v>
      </c>
      <c r="D1269" t="s">
        <v>7556</v>
      </c>
      <c r="E1269" t="s">
        <v>7557</v>
      </c>
      <c r="G1269" t="s">
        <v>7555</v>
      </c>
      <c r="H1269" t="s">
        <v>7558</v>
      </c>
      <c r="J1269" t="s">
        <v>7559</v>
      </c>
      <c r="L1269" t="s">
        <v>142</v>
      </c>
      <c r="M1269" t="s">
        <v>113</v>
      </c>
      <c r="R1269" t="s">
        <v>7557</v>
      </c>
      <c r="W1269" t="s">
        <v>7560</v>
      </c>
      <c r="X1269" t="s">
        <v>176</v>
      </c>
      <c r="Y1269" t="s">
        <v>116</v>
      </c>
      <c r="Z1269" t="s">
        <v>117</v>
      </c>
      <c r="AA1269" t="str">
        <f>"14203-1126"</f>
        <v>14203-1126</v>
      </c>
      <c r="AB1269" t="s">
        <v>118</v>
      </c>
      <c r="AC1269" t="s">
        <v>119</v>
      </c>
      <c r="AD1269" t="s">
        <v>113</v>
      </c>
      <c r="AE1269" t="s">
        <v>120</v>
      </c>
      <c r="AG1269" t="s">
        <v>121</v>
      </c>
    </row>
    <row r="1270" spans="1:33" x14ac:dyDescent="0.25">
      <c r="A1270" t="str">
        <f>"1811963879"</f>
        <v>1811963879</v>
      </c>
      <c r="B1270" t="str">
        <f>"02273247"</f>
        <v>02273247</v>
      </c>
      <c r="C1270" t="s">
        <v>7561</v>
      </c>
      <c r="D1270" t="s">
        <v>7562</v>
      </c>
      <c r="E1270" t="s">
        <v>7563</v>
      </c>
      <c r="G1270" t="s">
        <v>7561</v>
      </c>
      <c r="H1270" t="s">
        <v>559</v>
      </c>
      <c r="J1270" t="s">
        <v>7564</v>
      </c>
      <c r="L1270" t="s">
        <v>142</v>
      </c>
      <c r="M1270" t="s">
        <v>113</v>
      </c>
      <c r="R1270" t="s">
        <v>7563</v>
      </c>
      <c r="W1270" t="s">
        <v>7563</v>
      </c>
      <c r="X1270" t="s">
        <v>7563</v>
      </c>
      <c r="Y1270" t="s">
        <v>116</v>
      </c>
      <c r="Z1270" t="s">
        <v>117</v>
      </c>
      <c r="AA1270" t="str">
        <f>"14203-1126"</f>
        <v>14203-1126</v>
      </c>
      <c r="AB1270" t="s">
        <v>118</v>
      </c>
      <c r="AC1270" t="s">
        <v>119</v>
      </c>
      <c r="AD1270" t="s">
        <v>113</v>
      </c>
      <c r="AE1270" t="s">
        <v>120</v>
      </c>
      <c r="AG1270" t="s">
        <v>121</v>
      </c>
    </row>
    <row r="1271" spans="1:33" x14ac:dyDescent="0.25">
      <c r="A1271" t="str">
        <f>"1811966799"</f>
        <v>1811966799</v>
      </c>
      <c r="B1271" t="str">
        <f>"01129524"</f>
        <v>01129524</v>
      </c>
      <c r="C1271" t="s">
        <v>7565</v>
      </c>
      <c r="D1271" t="s">
        <v>7566</v>
      </c>
      <c r="E1271" t="s">
        <v>7567</v>
      </c>
      <c r="G1271" t="s">
        <v>7565</v>
      </c>
      <c r="H1271" t="s">
        <v>2347</v>
      </c>
      <c r="J1271" t="s">
        <v>7568</v>
      </c>
      <c r="L1271" t="s">
        <v>142</v>
      </c>
      <c r="M1271" t="s">
        <v>113</v>
      </c>
      <c r="R1271" t="s">
        <v>7569</v>
      </c>
      <c r="W1271" t="s">
        <v>7570</v>
      </c>
      <c r="Y1271" t="s">
        <v>512</v>
      </c>
      <c r="Z1271" t="s">
        <v>117</v>
      </c>
      <c r="AA1271" t="str">
        <f>"14092-1997"</f>
        <v>14092-1997</v>
      </c>
      <c r="AB1271" t="s">
        <v>118</v>
      </c>
      <c r="AC1271" t="s">
        <v>119</v>
      </c>
      <c r="AD1271" t="s">
        <v>113</v>
      </c>
      <c r="AE1271" t="s">
        <v>120</v>
      </c>
      <c r="AG1271" t="s">
        <v>121</v>
      </c>
    </row>
    <row r="1272" spans="1:33" x14ac:dyDescent="0.25">
      <c r="A1272" t="str">
        <f>"1811966880"</f>
        <v>1811966880</v>
      </c>
      <c r="B1272" t="str">
        <f>"01721420"</f>
        <v>01721420</v>
      </c>
      <c r="C1272" t="s">
        <v>7571</v>
      </c>
      <c r="D1272" t="s">
        <v>7572</v>
      </c>
      <c r="E1272" t="s">
        <v>7573</v>
      </c>
      <c r="G1272" t="s">
        <v>7574</v>
      </c>
      <c r="H1272" t="s">
        <v>7575</v>
      </c>
      <c r="L1272" t="s">
        <v>142</v>
      </c>
      <c r="M1272" t="s">
        <v>113</v>
      </c>
      <c r="R1272" t="s">
        <v>7574</v>
      </c>
      <c r="W1272" t="s">
        <v>7573</v>
      </c>
      <c r="X1272" t="s">
        <v>7576</v>
      </c>
      <c r="Y1272" t="s">
        <v>978</v>
      </c>
      <c r="Z1272" t="s">
        <v>117</v>
      </c>
      <c r="AA1272" t="str">
        <f>"14081"</f>
        <v>14081</v>
      </c>
      <c r="AB1272" t="s">
        <v>118</v>
      </c>
      <c r="AC1272" t="s">
        <v>119</v>
      </c>
      <c r="AD1272" t="s">
        <v>113</v>
      </c>
      <c r="AE1272" t="s">
        <v>120</v>
      </c>
      <c r="AG1272" t="s">
        <v>121</v>
      </c>
    </row>
    <row r="1273" spans="1:33" x14ac:dyDescent="0.25">
      <c r="A1273" t="str">
        <f>"1811969926"</f>
        <v>1811969926</v>
      </c>
      <c r="B1273" t="str">
        <f>"02595971"</f>
        <v>02595971</v>
      </c>
      <c r="C1273" t="s">
        <v>7577</v>
      </c>
      <c r="D1273" t="s">
        <v>7578</v>
      </c>
      <c r="E1273" t="s">
        <v>7579</v>
      </c>
      <c r="G1273" t="s">
        <v>7577</v>
      </c>
      <c r="H1273" t="s">
        <v>707</v>
      </c>
      <c r="J1273" t="s">
        <v>7580</v>
      </c>
      <c r="L1273" t="s">
        <v>142</v>
      </c>
      <c r="M1273" t="s">
        <v>113</v>
      </c>
      <c r="R1273" t="s">
        <v>7581</v>
      </c>
      <c r="W1273" t="s">
        <v>7582</v>
      </c>
      <c r="X1273" t="s">
        <v>1727</v>
      </c>
      <c r="Y1273" t="s">
        <v>192</v>
      </c>
      <c r="Z1273" t="s">
        <v>117</v>
      </c>
      <c r="AA1273" t="str">
        <f>"14020-1631"</f>
        <v>14020-1631</v>
      </c>
      <c r="AB1273" t="s">
        <v>118</v>
      </c>
      <c r="AC1273" t="s">
        <v>119</v>
      </c>
      <c r="AD1273" t="s">
        <v>113</v>
      </c>
      <c r="AE1273" t="s">
        <v>120</v>
      </c>
      <c r="AG1273" t="s">
        <v>121</v>
      </c>
    </row>
    <row r="1274" spans="1:33" x14ac:dyDescent="0.25">
      <c r="A1274" t="str">
        <f>"1811970031"</f>
        <v>1811970031</v>
      </c>
      <c r="B1274" t="str">
        <f>"02132772"</f>
        <v>02132772</v>
      </c>
      <c r="C1274" t="s">
        <v>7583</v>
      </c>
      <c r="D1274" t="s">
        <v>7584</v>
      </c>
      <c r="E1274" t="s">
        <v>7585</v>
      </c>
      <c r="G1274" t="s">
        <v>7586</v>
      </c>
      <c r="H1274" t="s">
        <v>1006</v>
      </c>
      <c r="J1274" t="s">
        <v>7587</v>
      </c>
      <c r="L1274" t="s">
        <v>142</v>
      </c>
      <c r="M1274" t="s">
        <v>113</v>
      </c>
      <c r="R1274" t="s">
        <v>7588</v>
      </c>
      <c r="W1274" t="s">
        <v>7589</v>
      </c>
      <c r="X1274" t="s">
        <v>6289</v>
      </c>
      <c r="Y1274" t="s">
        <v>240</v>
      </c>
      <c r="Z1274" t="s">
        <v>117</v>
      </c>
      <c r="AA1274" t="str">
        <f>"14221-8216"</f>
        <v>14221-8216</v>
      </c>
      <c r="AB1274" t="s">
        <v>118</v>
      </c>
      <c r="AC1274" t="s">
        <v>119</v>
      </c>
      <c r="AD1274" t="s">
        <v>113</v>
      </c>
      <c r="AE1274" t="s">
        <v>120</v>
      </c>
      <c r="AG1274" t="s">
        <v>121</v>
      </c>
    </row>
    <row r="1275" spans="1:33" x14ac:dyDescent="0.25">
      <c r="A1275" t="str">
        <f>"1811979487"</f>
        <v>1811979487</v>
      </c>
      <c r="B1275" t="str">
        <f>"01025814"</f>
        <v>01025814</v>
      </c>
      <c r="C1275" t="s">
        <v>7590</v>
      </c>
      <c r="D1275" t="s">
        <v>7591</v>
      </c>
      <c r="E1275" t="s">
        <v>7592</v>
      </c>
      <c r="G1275" t="s">
        <v>7590</v>
      </c>
      <c r="H1275" t="s">
        <v>1308</v>
      </c>
      <c r="J1275" t="s">
        <v>7593</v>
      </c>
      <c r="L1275" t="s">
        <v>142</v>
      </c>
      <c r="M1275" t="s">
        <v>113</v>
      </c>
      <c r="R1275" t="s">
        <v>7594</v>
      </c>
      <c r="W1275" t="s">
        <v>7592</v>
      </c>
      <c r="X1275" t="s">
        <v>176</v>
      </c>
      <c r="Y1275" t="s">
        <v>116</v>
      </c>
      <c r="Z1275" t="s">
        <v>117</v>
      </c>
      <c r="AA1275" t="str">
        <f>"14203-1126"</f>
        <v>14203-1126</v>
      </c>
      <c r="AB1275" t="s">
        <v>118</v>
      </c>
      <c r="AC1275" t="s">
        <v>119</v>
      </c>
      <c r="AD1275" t="s">
        <v>113</v>
      </c>
      <c r="AE1275" t="s">
        <v>120</v>
      </c>
      <c r="AG1275" t="s">
        <v>121</v>
      </c>
    </row>
    <row r="1276" spans="1:33" x14ac:dyDescent="0.25">
      <c r="A1276" t="str">
        <f>"1811988249"</f>
        <v>1811988249</v>
      </c>
      <c r="B1276" t="str">
        <f>"02659034"</f>
        <v>02659034</v>
      </c>
      <c r="C1276" t="s">
        <v>7595</v>
      </c>
      <c r="D1276" t="s">
        <v>7596</v>
      </c>
      <c r="E1276" t="s">
        <v>7597</v>
      </c>
      <c r="G1276" t="s">
        <v>7595</v>
      </c>
      <c r="H1276" t="s">
        <v>707</v>
      </c>
      <c r="J1276" t="s">
        <v>7598</v>
      </c>
      <c r="L1276" t="s">
        <v>142</v>
      </c>
      <c r="M1276" t="s">
        <v>113</v>
      </c>
      <c r="R1276" t="s">
        <v>7599</v>
      </c>
      <c r="W1276" t="s">
        <v>7597</v>
      </c>
      <c r="X1276" t="s">
        <v>709</v>
      </c>
      <c r="Y1276" t="s">
        <v>116</v>
      </c>
      <c r="Z1276" t="s">
        <v>117</v>
      </c>
      <c r="AA1276" t="str">
        <f>"14263-0001"</f>
        <v>14263-0001</v>
      </c>
      <c r="AB1276" t="s">
        <v>118</v>
      </c>
      <c r="AC1276" t="s">
        <v>119</v>
      </c>
      <c r="AD1276" t="s">
        <v>113</v>
      </c>
      <c r="AE1276" t="s">
        <v>120</v>
      </c>
      <c r="AG1276" t="s">
        <v>121</v>
      </c>
    </row>
    <row r="1277" spans="1:33" x14ac:dyDescent="0.25">
      <c r="A1277" t="str">
        <f>"1811988801"</f>
        <v>1811988801</v>
      </c>
      <c r="B1277" t="str">
        <f>"02341977"</f>
        <v>02341977</v>
      </c>
      <c r="C1277" t="s">
        <v>7600</v>
      </c>
      <c r="D1277" t="s">
        <v>7601</v>
      </c>
      <c r="E1277" t="s">
        <v>7602</v>
      </c>
      <c r="G1277" t="s">
        <v>7603</v>
      </c>
      <c r="H1277" t="s">
        <v>7604</v>
      </c>
      <c r="L1277" t="s">
        <v>1033</v>
      </c>
      <c r="M1277" t="s">
        <v>113</v>
      </c>
      <c r="R1277" t="s">
        <v>7603</v>
      </c>
      <c r="W1277" t="s">
        <v>7605</v>
      </c>
      <c r="X1277" t="s">
        <v>3599</v>
      </c>
      <c r="Y1277" t="s">
        <v>986</v>
      </c>
      <c r="Z1277" t="s">
        <v>117</v>
      </c>
      <c r="AA1277" t="str">
        <f>"14701-7077"</f>
        <v>14701-7077</v>
      </c>
      <c r="AB1277" t="s">
        <v>118</v>
      </c>
      <c r="AC1277" t="s">
        <v>119</v>
      </c>
      <c r="AD1277" t="s">
        <v>113</v>
      </c>
      <c r="AE1277" t="s">
        <v>120</v>
      </c>
      <c r="AG1277" t="s">
        <v>121</v>
      </c>
    </row>
    <row r="1278" spans="1:33" x14ac:dyDescent="0.25">
      <c r="A1278" t="str">
        <f>"1811989015"</f>
        <v>1811989015</v>
      </c>
      <c r="B1278" t="str">
        <f>"00664140"</f>
        <v>00664140</v>
      </c>
      <c r="C1278" t="s">
        <v>7606</v>
      </c>
      <c r="D1278" t="s">
        <v>7607</v>
      </c>
      <c r="E1278" t="s">
        <v>7608</v>
      </c>
      <c r="G1278" t="s">
        <v>1393</v>
      </c>
      <c r="H1278" t="s">
        <v>7609</v>
      </c>
      <c r="J1278" t="s">
        <v>1395</v>
      </c>
      <c r="L1278" t="s">
        <v>150</v>
      </c>
      <c r="M1278" t="s">
        <v>113</v>
      </c>
      <c r="R1278" t="s">
        <v>7610</v>
      </c>
      <c r="W1278" t="s">
        <v>7608</v>
      </c>
      <c r="X1278" t="s">
        <v>7611</v>
      </c>
      <c r="Y1278" t="s">
        <v>7612</v>
      </c>
      <c r="Z1278" t="s">
        <v>117</v>
      </c>
      <c r="AA1278" t="str">
        <f>"14530-1342"</f>
        <v>14530-1342</v>
      </c>
      <c r="AB1278" t="s">
        <v>118</v>
      </c>
      <c r="AC1278" t="s">
        <v>119</v>
      </c>
      <c r="AD1278" t="s">
        <v>113</v>
      </c>
      <c r="AE1278" t="s">
        <v>120</v>
      </c>
      <c r="AG1278" t="s">
        <v>121</v>
      </c>
    </row>
    <row r="1279" spans="1:33" x14ac:dyDescent="0.25">
      <c r="A1279" t="str">
        <f>"1821008293"</f>
        <v>1821008293</v>
      </c>
      <c r="B1279" t="str">
        <f>"02798552"</f>
        <v>02798552</v>
      </c>
      <c r="C1279" t="s">
        <v>7613</v>
      </c>
      <c r="D1279" t="s">
        <v>7614</v>
      </c>
      <c r="E1279" t="s">
        <v>7615</v>
      </c>
      <c r="G1279" t="s">
        <v>7613</v>
      </c>
      <c r="H1279" t="s">
        <v>7616</v>
      </c>
      <c r="J1279" t="s">
        <v>7617</v>
      </c>
      <c r="L1279" t="s">
        <v>142</v>
      </c>
      <c r="M1279" t="s">
        <v>199</v>
      </c>
      <c r="R1279" t="s">
        <v>7618</v>
      </c>
      <c r="W1279" t="s">
        <v>7615</v>
      </c>
      <c r="X1279" t="s">
        <v>7619</v>
      </c>
      <c r="Y1279" t="s">
        <v>362</v>
      </c>
      <c r="Z1279" t="s">
        <v>117</v>
      </c>
      <c r="AA1279" t="str">
        <f>"14108-1026"</f>
        <v>14108-1026</v>
      </c>
      <c r="AB1279" t="s">
        <v>118</v>
      </c>
      <c r="AC1279" t="s">
        <v>119</v>
      </c>
      <c r="AD1279" t="s">
        <v>113</v>
      </c>
      <c r="AE1279" t="s">
        <v>120</v>
      </c>
      <c r="AG1279" t="s">
        <v>121</v>
      </c>
    </row>
    <row r="1280" spans="1:33" x14ac:dyDescent="0.25">
      <c r="A1280" t="str">
        <f>"1821035593"</f>
        <v>1821035593</v>
      </c>
      <c r="B1280" t="str">
        <f>"01136070"</f>
        <v>01136070</v>
      </c>
      <c r="C1280" t="s">
        <v>7620</v>
      </c>
      <c r="D1280" t="s">
        <v>7621</v>
      </c>
      <c r="E1280" t="s">
        <v>7622</v>
      </c>
      <c r="G1280" t="s">
        <v>7620</v>
      </c>
      <c r="H1280" t="s">
        <v>7623</v>
      </c>
      <c r="J1280" t="s">
        <v>7624</v>
      </c>
      <c r="L1280" t="s">
        <v>150</v>
      </c>
      <c r="M1280" t="s">
        <v>113</v>
      </c>
      <c r="R1280" t="s">
        <v>7625</v>
      </c>
      <c r="W1280" t="s">
        <v>7626</v>
      </c>
      <c r="X1280" t="s">
        <v>7627</v>
      </c>
      <c r="Y1280" t="s">
        <v>326</v>
      </c>
      <c r="Z1280" t="s">
        <v>117</v>
      </c>
      <c r="AA1280" t="str">
        <f>"14127-1853"</f>
        <v>14127-1853</v>
      </c>
      <c r="AB1280" t="s">
        <v>118</v>
      </c>
      <c r="AC1280" t="s">
        <v>119</v>
      </c>
      <c r="AD1280" t="s">
        <v>113</v>
      </c>
      <c r="AE1280" t="s">
        <v>120</v>
      </c>
      <c r="AG1280" t="s">
        <v>121</v>
      </c>
    </row>
    <row r="1281" spans="1:33" x14ac:dyDescent="0.25">
      <c r="A1281" t="str">
        <f>"1821041518"</f>
        <v>1821041518</v>
      </c>
      <c r="B1281" t="str">
        <f>"00681627"</f>
        <v>00681627</v>
      </c>
      <c r="C1281" t="s">
        <v>7628</v>
      </c>
      <c r="D1281" t="s">
        <v>7629</v>
      </c>
      <c r="E1281" t="s">
        <v>7630</v>
      </c>
      <c r="G1281" t="s">
        <v>7628</v>
      </c>
      <c r="H1281" t="s">
        <v>7631</v>
      </c>
      <c r="J1281" t="s">
        <v>7632</v>
      </c>
      <c r="L1281" t="s">
        <v>150</v>
      </c>
      <c r="M1281" t="s">
        <v>113</v>
      </c>
      <c r="R1281" t="s">
        <v>7633</v>
      </c>
      <c r="W1281" t="s">
        <v>7630</v>
      </c>
      <c r="X1281" t="s">
        <v>7634</v>
      </c>
      <c r="Y1281" t="s">
        <v>192</v>
      </c>
      <c r="Z1281" t="s">
        <v>117</v>
      </c>
      <c r="AA1281" t="str">
        <f>"14020-1291"</f>
        <v>14020-1291</v>
      </c>
      <c r="AB1281" t="s">
        <v>118</v>
      </c>
      <c r="AC1281" t="s">
        <v>119</v>
      </c>
      <c r="AD1281" t="s">
        <v>113</v>
      </c>
      <c r="AE1281" t="s">
        <v>120</v>
      </c>
      <c r="AG1281" t="s">
        <v>121</v>
      </c>
    </row>
    <row r="1282" spans="1:33" x14ac:dyDescent="0.25">
      <c r="A1282" t="str">
        <f>"1902923923"</f>
        <v>1902923923</v>
      </c>
      <c r="B1282" t="str">
        <f>"00899032"</f>
        <v>00899032</v>
      </c>
      <c r="C1282" t="s">
        <v>7635</v>
      </c>
      <c r="D1282" t="s">
        <v>7636</v>
      </c>
      <c r="E1282" t="s">
        <v>7637</v>
      </c>
      <c r="G1282" t="s">
        <v>7635</v>
      </c>
      <c r="H1282" t="s">
        <v>7638</v>
      </c>
      <c r="J1282" t="s">
        <v>7639</v>
      </c>
      <c r="L1282" t="s">
        <v>112</v>
      </c>
      <c r="M1282" t="s">
        <v>113</v>
      </c>
      <c r="R1282" t="s">
        <v>7640</v>
      </c>
      <c r="W1282" t="s">
        <v>7637</v>
      </c>
      <c r="X1282" t="s">
        <v>7641</v>
      </c>
      <c r="Y1282" t="s">
        <v>240</v>
      </c>
      <c r="Z1282" t="s">
        <v>117</v>
      </c>
      <c r="AA1282" t="str">
        <f>"14221"</f>
        <v>14221</v>
      </c>
      <c r="AB1282" t="s">
        <v>118</v>
      </c>
      <c r="AC1282" t="s">
        <v>119</v>
      </c>
      <c r="AD1282" t="s">
        <v>113</v>
      </c>
      <c r="AE1282" t="s">
        <v>120</v>
      </c>
      <c r="AG1282" t="s">
        <v>121</v>
      </c>
    </row>
    <row r="1283" spans="1:33" x14ac:dyDescent="0.25">
      <c r="A1283" t="str">
        <f>"1902967656"</f>
        <v>1902967656</v>
      </c>
      <c r="C1283" t="s">
        <v>7642</v>
      </c>
      <c r="G1283" t="s">
        <v>7642</v>
      </c>
      <c r="H1283" t="s">
        <v>590</v>
      </c>
      <c r="J1283" t="s">
        <v>7643</v>
      </c>
      <c r="K1283" t="s">
        <v>303</v>
      </c>
      <c r="L1283" t="s">
        <v>229</v>
      </c>
      <c r="M1283" t="s">
        <v>113</v>
      </c>
      <c r="R1283" t="s">
        <v>7644</v>
      </c>
      <c r="S1283" t="s">
        <v>7645</v>
      </c>
      <c r="T1283" t="s">
        <v>129</v>
      </c>
      <c r="U1283" t="s">
        <v>117</v>
      </c>
      <c r="V1283" t="str">
        <f>"142242635"</f>
        <v>142242635</v>
      </c>
      <c r="AC1283" t="s">
        <v>119</v>
      </c>
      <c r="AD1283" t="s">
        <v>113</v>
      </c>
      <c r="AE1283" t="s">
        <v>306</v>
      </c>
      <c r="AG1283" t="s">
        <v>121</v>
      </c>
    </row>
    <row r="1284" spans="1:33" x14ac:dyDescent="0.25">
      <c r="A1284" t="str">
        <f>"1902986177"</f>
        <v>1902986177</v>
      </c>
      <c r="B1284" t="str">
        <f>"03680444"</f>
        <v>03680444</v>
      </c>
      <c r="C1284" t="s">
        <v>7646</v>
      </c>
      <c r="D1284" t="s">
        <v>7647</v>
      </c>
      <c r="E1284" t="s">
        <v>7648</v>
      </c>
      <c r="G1284" t="s">
        <v>7649</v>
      </c>
      <c r="H1284" t="s">
        <v>7650</v>
      </c>
      <c r="J1284" t="s">
        <v>7651</v>
      </c>
      <c r="L1284" t="s">
        <v>112</v>
      </c>
      <c r="M1284" t="s">
        <v>113</v>
      </c>
      <c r="R1284" t="s">
        <v>7652</v>
      </c>
      <c r="W1284" t="s">
        <v>7648</v>
      </c>
      <c r="X1284" t="s">
        <v>740</v>
      </c>
      <c r="Y1284" t="s">
        <v>116</v>
      </c>
      <c r="Z1284" t="s">
        <v>117</v>
      </c>
      <c r="AA1284" t="str">
        <f>"14202-1804"</f>
        <v>14202-1804</v>
      </c>
      <c r="AB1284" t="s">
        <v>621</v>
      </c>
      <c r="AC1284" t="s">
        <v>119</v>
      </c>
      <c r="AD1284" t="s">
        <v>113</v>
      </c>
      <c r="AE1284" t="s">
        <v>120</v>
      </c>
      <c r="AG1284" t="s">
        <v>121</v>
      </c>
    </row>
    <row r="1285" spans="1:33" x14ac:dyDescent="0.25">
      <c r="A1285" t="str">
        <f>"1902996903"</f>
        <v>1902996903</v>
      </c>
      <c r="B1285" t="str">
        <f>"02952638"</f>
        <v>02952638</v>
      </c>
      <c r="C1285" t="s">
        <v>7653</v>
      </c>
      <c r="D1285" t="s">
        <v>7654</v>
      </c>
      <c r="E1285" t="s">
        <v>7655</v>
      </c>
      <c r="G1285" t="s">
        <v>7656</v>
      </c>
      <c r="H1285" t="s">
        <v>7657</v>
      </c>
      <c r="L1285" t="s">
        <v>142</v>
      </c>
      <c r="M1285" t="s">
        <v>113</v>
      </c>
      <c r="R1285" t="s">
        <v>7656</v>
      </c>
      <c r="W1285" t="s">
        <v>7655</v>
      </c>
      <c r="X1285" t="s">
        <v>7658</v>
      </c>
      <c r="Y1285" t="s">
        <v>387</v>
      </c>
      <c r="Z1285" t="s">
        <v>117</v>
      </c>
      <c r="AA1285" t="str">
        <f>"14787-1104"</f>
        <v>14787-1104</v>
      </c>
      <c r="AB1285" t="s">
        <v>118</v>
      </c>
      <c r="AC1285" t="s">
        <v>119</v>
      </c>
      <c r="AD1285" t="s">
        <v>113</v>
      </c>
      <c r="AE1285" t="s">
        <v>120</v>
      </c>
      <c r="AG1285" t="s">
        <v>121</v>
      </c>
    </row>
    <row r="1286" spans="1:33" x14ac:dyDescent="0.25">
      <c r="A1286" t="str">
        <f>"1902998974"</f>
        <v>1902998974</v>
      </c>
      <c r="B1286" t="str">
        <f>"03031436"</f>
        <v>03031436</v>
      </c>
      <c r="C1286" t="s">
        <v>7659</v>
      </c>
      <c r="D1286" t="s">
        <v>7660</v>
      </c>
      <c r="E1286" t="s">
        <v>7661</v>
      </c>
      <c r="H1286" t="s">
        <v>7662</v>
      </c>
      <c r="L1286" t="s">
        <v>142</v>
      </c>
      <c r="M1286" t="s">
        <v>113</v>
      </c>
      <c r="R1286" t="s">
        <v>7663</v>
      </c>
      <c r="W1286" t="s">
        <v>7664</v>
      </c>
      <c r="X1286" t="s">
        <v>1098</v>
      </c>
      <c r="Y1286" t="s">
        <v>305</v>
      </c>
      <c r="Z1286" t="s">
        <v>117</v>
      </c>
      <c r="AA1286" t="str">
        <f>"14760-1513"</f>
        <v>14760-1513</v>
      </c>
      <c r="AB1286" t="s">
        <v>118</v>
      </c>
      <c r="AC1286" t="s">
        <v>119</v>
      </c>
      <c r="AD1286" t="s">
        <v>113</v>
      </c>
      <c r="AE1286" t="s">
        <v>120</v>
      </c>
      <c r="AG1286" t="s">
        <v>121</v>
      </c>
    </row>
    <row r="1287" spans="1:33" x14ac:dyDescent="0.25">
      <c r="A1287" t="str">
        <f>"1912003096"</f>
        <v>1912003096</v>
      </c>
      <c r="C1287" t="s">
        <v>7665</v>
      </c>
      <c r="G1287" t="s">
        <v>7666</v>
      </c>
      <c r="H1287" t="s">
        <v>351</v>
      </c>
      <c r="J1287" t="s">
        <v>352</v>
      </c>
      <c r="K1287" t="s">
        <v>303</v>
      </c>
      <c r="L1287" t="s">
        <v>229</v>
      </c>
      <c r="M1287" t="s">
        <v>113</v>
      </c>
      <c r="R1287" t="s">
        <v>7667</v>
      </c>
      <c r="S1287" t="s">
        <v>2052</v>
      </c>
      <c r="T1287" t="s">
        <v>116</v>
      </c>
      <c r="U1287" t="s">
        <v>117</v>
      </c>
      <c r="V1287" t="str">
        <f>"142072341"</f>
        <v>142072341</v>
      </c>
      <c r="AC1287" t="s">
        <v>119</v>
      </c>
      <c r="AD1287" t="s">
        <v>113</v>
      </c>
      <c r="AE1287" t="s">
        <v>306</v>
      </c>
      <c r="AG1287" t="s">
        <v>121</v>
      </c>
    </row>
    <row r="1288" spans="1:33" x14ac:dyDescent="0.25">
      <c r="A1288" t="str">
        <f>"1912008830"</f>
        <v>1912008830</v>
      </c>
      <c r="B1288" t="str">
        <f>"03488048"</f>
        <v>03488048</v>
      </c>
      <c r="C1288" t="s">
        <v>7668</v>
      </c>
      <c r="D1288" t="s">
        <v>7669</v>
      </c>
      <c r="E1288" t="s">
        <v>7670</v>
      </c>
      <c r="H1288" t="s">
        <v>7671</v>
      </c>
      <c r="L1288" t="s">
        <v>142</v>
      </c>
      <c r="M1288" t="s">
        <v>113</v>
      </c>
      <c r="R1288" t="s">
        <v>7672</v>
      </c>
      <c r="W1288" t="s">
        <v>7670</v>
      </c>
      <c r="X1288" t="s">
        <v>7673</v>
      </c>
      <c r="Y1288" t="s">
        <v>116</v>
      </c>
      <c r="Z1288" t="s">
        <v>117</v>
      </c>
      <c r="AA1288" t="str">
        <f>"14214-1701"</f>
        <v>14214-1701</v>
      </c>
      <c r="AB1288" t="s">
        <v>118</v>
      </c>
      <c r="AC1288" t="s">
        <v>119</v>
      </c>
      <c r="AD1288" t="s">
        <v>113</v>
      </c>
      <c r="AE1288" t="s">
        <v>120</v>
      </c>
      <c r="AG1288" t="s">
        <v>121</v>
      </c>
    </row>
    <row r="1289" spans="1:33" x14ac:dyDescent="0.25">
      <c r="A1289" t="str">
        <f>"1912029653"</f>
        <v>1912029653</v>
      </c>
      <c r="B1289" t="str">
        <f>"01842819"</f>
        <v>01842819</v>
      </c>
      <c r="C1289" t="s">
        <v>7674</v>
      </c>
      <c r="D1289" t="s">
        <v>7675</v>
      </c>
      <c r="E1289" t="s">
        <v>7676</v>
      </c>
      <c r="G1289" t="s">
        <v>7674</v>
      </c>
      <c r="H1289" t="s">
        <v>7677</v>
      </c>
      <c r="J1289" t="s">
        <v>7678</v>
      </c>
      <c r="L1289" t="s">
        <v>112</v>
      </c>
      <c r="M1289" t="s">
        <v>113</v>
      </c>
      <c r="R1289" t="s">
        <v>7679</v>
      </c>
      <c r="W1289" t="s">
        <v>7676</v>
      </c>
      <c r="X1289" t="s">
        <v>4127</v>
      </c>
      <c r="Y1289" t="s">
        <v>958</v>
      </c>
      <c r="Z1289" t="s">
        <v>117</v>
      </c>
      <c r="AA1289" t="str">
        <f>"14226-1039"</f>
        <v>14226-1039</v>
      </c>
      <c r="AB1289" t="s">
        <v>118</v>
      </c>
      <c r="AC1289" t="s">
        <v>119</v>
      </c>
      <c r="AD1289" t="s">
        <v>113</v>
      </c>
      <c r="AE1289" t="s">
        <v>120</v>
      </c>
      <c r="AG1289" t="s">
        <v>121</v>
      </c>
    </row>
    <row r="1290" spans="1:33" x14ac:dyDescent="0.25">
      <c r="B1290" t="str">
        <f>"01790858"</f>
        <v>01790858</v>
      </c>
      <c r="C1290" t="s">
        <v>18525</v>
      </c>
      <c r="D1290" t="s">
        <v>18526</v>
      </c>
      <c r="E1290" t="s">
        <v>18525</v>
      </c>
      <c r="H1290" t="s">
        <v>11669</v>
      </c>
      <c r="L1290" t="s">
        <v>69</v>
      </c>
      <c r="M1290" t="s">
        <v>113</v>
      </c>
      <c r="W1290" t="s">
        <v>18525</v>
      </c>
      <c r="X1290" t="s">
        <v>18527</v>
      </c>
      <c r="Y1290" t="s">
        <v>116</v>
      </c>
      <c r="Z1290" t="s">
        <v>117</v>
      </c>
      <c r="AA1290" t="str">
        <f>"14214-1323"</f>
        <v>14214-1323</v>
      </c>
      <c r="AB1290" t="s">
        <v>291</v>
      </c>
      <c r="AC1290" t="s">
        <v>119</v>
      </c>
      <c r="AD1290" t="s">
        <v>113</v>
      </c>
      <c r="AE1290" t="s">
        <v>120</v>
      </c>
      <c r="AG1290" t="s">
        <v>121</v>
      </c>
    </row>
    <row r="1291" spans="1:33" x14ac:dyDescent="0.25">
      <c r="B1291" t="str">
        <f>"03035572"</f>
        <v>03035572</v>
      </c>
      <c r="C1291" t="s">
        <v>23921</v>
      </c>
      <c r="D1291" t="s">
        <v>23922</v>
      </c>
      <c r="E1291" t="s">
        <v>23921</v>
      </c>
      <c r="H1291" t="s">
        <v>17998</v>
      </c>
      <c r="L1291" t="s">
        <v>69</v>
      </c>
      <c r="M1291" t="s">
        <v>113</v>
      </c>
      <c r="W1291" t="s">
        <v>23921</v>
      </c>
      <c r="X1291" t="s">
        <v>23920</v>
      </c>
      <c r="Y1291" t="s">
        <v>116</v>
      </c>
      <c r="Z1291" t="s">
        <v>117</v>
      </c>
      <c r="AA1291" t="str">
        <f>"14203-2509"</f>
        <v>14203-2509</v>
      </c>
      <c r="AB1291" t="s">
        <v>291</v>
      </c>
      <c r="AC1291" t="s">
        <v>119</v>
      </c>
      <c r="AD1291" t="s">
        <v>113</v>
      </c>
      <c r="AE1291" t="s">
        <v>120</v>
      </c>
      <c r="AG1291" t="s">
        <v>121</v>
      </c>
    </row>
    <row r="1292" spans="1:33" x14ac:dyDescent="0.25">
      <c r="A1292" t="str">
        <f>"1831321140"</f>
        <v>1831321140</v>
      </c>
      <c r="B1292" t="str">
        <f>"04464577"</f>
        <v>04464577</v>
      </c>
      <c r="C1292" t="s">
        <v>7684</v>
      </c>
      <c r="D1292" t="s">
        <v>7685</v>
      </c>
      <c r="E1292" t="s">
        <v>7686</v>
      </c>
      <c r="G1292" t="s">
        <v>7687</v>
      </c>
      <c r="H1292" t="s">
        <v>7688</v>
      </c>
      <c r="J1292" t="s">
        <v>7689</v>
      </c>
      <c r="L1292" t="s">
        <v>229</v>
      </c>
      <c r="M1292" t="s">
        <v>113</v>
      </c>
      <c r="R1292" t="s">
        <v>7690</v>
      </c>
      <c r="W1292" t="s">
        <v>7686</v>
      </c>
      <c r="AB1292" t="s">
        <v>118</v>
      </c>
      <c r="AC1292" t="s">
        <v>119</v>
      </c>
      <c r="AD1292" t="s">
        <v>113</v>
      </c>
      <c r="AE1292" t="s">
        <v>120</v>
      </c>
      <c r="AG1292" t="s">
        <v>121</v>
      </c>
    </row>
    <row r="1293" spans="1:33" x14ac:dyDescent="0.25">
      <c r="A1293" t="str">
        <f>"1831339902"</f>
        <v>1831339902</v>
      </c>
      <c r="B1293" t="str">
        <f>"03478228"</f>
        <v>03478228</v>
      </c>
      <c r="C1293" t="s">
        <v>7691</v>
      </c>
      <c r="D1293" t="s">
        <v>7692</v>
      </c>
      <c r="E1293" t="s">
        <v>7693</v>
      </c>
      <c r="G1293" t="s">
        <v>7694</v>
      </c>
      <c r="H1293" t="s">
        <v>7695</v>
      </c>
      <c r="L1293" t="s">
        <v>142</v>
      </c>
      <c r="M1293" t="s">
        <v>199</v>
      </c>
      <c r="R1293" t="s">
        <v>7694</v>
      </c>
      <c r="W1293" t="s">
        <v>7693</v>
      </c>
      <c r="X1293" t="s">
        <v>7696</v>
      </c>
      <c r="Y1293" t="s">
        <v>129</v>
      </c>
      <c r="Z1293" t="s">
        <v>117</v>
      </c>
      <c r="AA1293" t="str">
        <f>"14224-3434"</f>
        <v>14224-3434</v>
      </c>
      <c r="AB1293" t="s">
        <v>118</v>
      </c>
      <c r="AC1293" t="s">
        <v>119</v>
      </c>
      <c r="AD1293" t="s">
        <v>113</v>
      </c>
      <c r="AE1293" t="s">
        <v>120</v>
      </c>
      <c r="AG1293" t="s">
        <v>121</v>
      </c>
    </row>
    <row r="1294" spans="1:33" x14ac:dyDescent="0.25">
      <c r="A1294" t="str">
        <f>"1831354869"</f>
        <v>1831354869</v>
      </c>
      <c r="C1294" t="s">
        <v>7697</v>
      </c>
      <c r="G1294" t="s">
        <v>7697</v>
      </c>
      <c r="J1294" t="s">
        <v>438</v>
      </c>
      <c r="K1294" t="s">
        <v>303</v>
      </c>
      <c r="L1294" t="s">
        <v>229</v>
      </c>
      <c r="M1294" t="s">
        <v>113</v>
      </c>
      <c r="R1294" t="s">
        <v>7698</v>
      </c>
      <c r="S1294" t="s">
        <v>7699</v>
      </c>
      <c r="T1294" t="s">
        <v>318</v>
      </c>
      <c r="U1294" t="s">
        <v>117</v>
      </c>
      <c r="V1294" t="str">
        <f>"142254904"</f>
        <v>142254904</v>
      </c>
      <c r="AC1294" t="s">
        <v>119</v>
      </c>
      <c r="AD1294" t="s">
        <v>113</v>
      </c>
      <c r="AE1294" t="s">
        <v>306</v>
      </c>
      <c r="AG1294" t="s">
        <v>121</v>
      </c>
    </row>
    <row r="1295" spans="1:33" x14ac:dyDescent="0.25">
      <c r="A1295" t="str">
        <f>"1831359207"</f>
        <v>1831359207</v>
      </c>
      <c r="B1295" t="str">
        <f>"03014486"</f>
        <v>03014486</v>
      </c>
      <c r="C1295" t="s">
        <v>7700</v>
      </c>
      <c r="D1295" t="s">
        <v>7701</v>
      </c>
      <c r="E1295" t="s">
        <v>7702</v>
      </c>
      <c r="G1295" t="s">
        <v>7700</v>
      </c>
      <c r="H1295" t="s">
        <v>213</v>
      </c>
      <c r="J1295" t="s">
        <v>7703</v>
      </c>
      <c r="L1295" t="s">
        <v>112</v>
      </c>
      <c r="M1295" t="s">
        <v>113</v>
      </c>
      <c r="R1295" t="s">
        <v>7702</v>
      </c>
      <c r="W1295" t="s">
        <v>7702</v>
      </c>
      <c r="X1295" t="s">
        <v>7704</v>
      </c>
      <c r="Y1295" t="s">
        <v>116</v>
      </c>
      <c r="Z1295" t="s">
        <v>117</v>
      </c>
      <c r="AA1295" t="str">
        <f>"14222-2006"</f>
        <v>14222-2006</v>
      </c>
      <c r="AB1295" t="s">
        <v>118</v>
      </c>
      <c r="AC1295" t="s">
        <v>119</v>
      </c>
      <c r="AD1295" t="s">
        <v>113</v>
      </c>
      <c r="AE1295" t="s">
        <v>120</v>
      </c>
      <c r="AG1295" t="s">
        <v>121</v>
      </c>
    </row>
    <row r="1296" spans="1:33" x14ac:dyDescent="0.25">
      <c r="A1296" t="str">
        <f>"1831382878"</f>
        <v>1831382878</v>
      </c>
      <c r="B1296" t="str">
        <f>"02564872"</f>
        <v>02564872</v>
      </c>
      <c r="C1296" t="s">
        <v>7705</v>
      </c>
      <c r="D1296" t="s">
        <v>7706</v>
      </c>
      <c r="E1296" t="s">
        <v>7707</v>
      </c>
      <c r="H1296" t="s">
        <v>7708</v>
      </c>
      <c r="L1296" t="s">
        <v>150</v>
      </c>
      <c r="M1296" t="s">
        <v>113</v>
      </c>
      <c r="R1296" t="s">
        <v>7709</v>
      </c>
      <c r="W1296" t="s">
        <v>7707</v>
      </c>
      <c r="X1296" t="s">
        <v>526</v>
      </c>
      <c r="Y1296" t="s">
        <v>527</v>
      </c>
      <c r="Z1296" t="s">
        <v>117</v>
      </c>
      <c r="AA1296" t="str">
        <f>"14103-1191"</f>
        <v>14103-1191</v>
      </c>
      <c r="AB1296" t="s">
        <v>118</v>
      </c>
      <c r="AC1296" t="s">
        <v>119</v>
      </c>
      <c r="AD1296" t="s">
        <v>113</v>
      </c>
      <c r="AE1296" t="s">
        <v>120</v>
      </c>
      <c r="AG1296" t="s">
        <v>121</v>
      </c>
    </row>
    <row r="1297" spans="1:33" x14ac:dyDescent="0.25">
      <c r="A1297" t="str">
        <f>"1831419654"</f>
        <v>1831419654</v>
      </c>
      <c r="B1297" t="str">
        <f>"03643107"</f>
        <v>03643107</v>
      </c>
      <c r="C1297" t="s">
        <v>7710</v>
      </c>
      <c r="D1297" t="s">
        <v>7711</v>
      </c>
      <c r="E1297" t="s">
        <v>7712</v>
      </c>
      <c r="G1297" t="s">
        <v>7713</v>
      </c>
      <c r="H1297" t="s">
        <v>4813</v>
      </c>
      <c r="L1297" t="s">
        <v>150</v>
      </c>
      <c r="M1297" t="s">
        <v>113</v>
      </c>
      <c r="R1297" t="s">
        <v>7713</v>
      </c>
      <c r="W1297" t="s">
        <v>7712</v>
      </c>
      <c r="X1297" t="s">
        <v>7714</v>
      </c>
      <c r="Y1297" t="s">
        <v>153</v>
      </c>
      <c r="Z1297" t="s">
        <v>117</v>
      </c>
      <c r="AA1297" t="str">
        <f>"14301-1813"</f>
        <v>14301-1813</v>
      </c>
      <c r="AB1297" t="s">
        <v>118</v>
      </c>
      <c r="AC1297" t="s">
        <v>119</v>
      </c>
      <c r="AD1297" t="s">
        <v>113</v>
      </c>
      <c r="AE1297" t="s">
        <v>120</v>
      </c>
      <c r="AG1297" t="s">
        <v>121</v>
      </c>
    </row>
    <row r="1298" spans="1:33" x14ac:dyDescent="0.25">
      <c r="A1298" t="str">
        <f>"1831429133"</f>
        <v>1831429133</v>
      </c>
      <c r="C1298" t="s">
        <v>7715</v>
      </c>
      <c r="G1298" t="s">
        <v>7715</v>
      </c>
      <c r="J1298" t="s">
        <v>438</v>
      </c>
      <c r="K1298" t="s">
        <v>303</v>
      </c>
      <c r="L1298" t="s">
        <v>229</v>
      </c>
      <c r="M1298" t="s">
        <v>113</v>
      </c>
      <c r="R1298" t="s">
        <v>7716</v>
      </c>
      <c r="S1298" t="s">
        <v>3611</v>
      </c>
      <c r="T1298" t="s">
        <v>116</v>
      </c>
      <c r="U1298" t="s">
        <v>117</v>
      </c>
      <c r="V1298" t="str">
        <f>"142121501"</f>
        <v>142121501</v>
      </c>
      <c r="AC1298" t="s">
        <v>119</v>
      </c>
      <c r="AD1298" t="s">
        <v>113</v>
      </c>
      <c r="AE1298" t="s">
        <v>306</v>
      </c>
      <c r="AG1298" t="s">
        <v>121</v>
      </c>
    </row>
    <row r="1299" spans="1:33" x14ac:dyDescent="0.25">
      <c r="A1299" t="str">
        <f>"1831445089"</f>
        <v>1831445089</v>
      </c>
      <c r="C1299" t="s">
        <v>7717</v>
      </c>
      <c r="G1299" t="s">
        <v>7718</v>
      </c>
      <c r="H1299" t="s">
        <v>471</v>
      </c>
      <c r="J1299" t="s">
        <v>7719</v>
      </c>
      <c r="K1299" t="s">
        <v>303</v>
      </c>
      <c r="L1299" t="s">
        <v>112</v>
      </c>
      <c r="M1299" t="s">
        <v>113</v>
      </c>
      <c r="R1299" t="s">
        <v>7720</v>
      </c>
      <c r="S1299" t="s">
        <v>474</v>
      </c>
      <c r="T1299" t="s">
        <v>116</v>
      </c>
      <c r="U1299" t="s">
        <v>117</v>
      </c>
      <c r="V1299" t="str">
        <f>"142141316"</f>
        <v>142141316</v>
      </c>
      <c r="AC1299" t="s">
        <v>119</v>
      </c>
      <c r="AD1299" t="s">
        <v>113</v>
      </c>
      <c r="AE1299" t="s">
        <v>306</v>
      </c>
      <c r="AG1299" t="s">
        <v>121</v>
      </c>
    </row>
    <row r="1300" spans="1:33" x14ac:dyDescent="0.25">
      <c r="A1300" t="str">
        <f>"1831456334"</f>
        <v>1831456334</v>
      </c>
      <c r="C1300" t="s">
        <v>7721</v>
      </c>
      <c r="G1300" t="s">
        <v>7722</v>
      </c>
      <c r="H1300" t="s">
        <v>351</v>
      </c>
      <c r="J1300" t="s">
        <v>352</v>
      </c>
      <c r="K1300" t="s">
        <v>303</v>
      </c>
      <c r="L1300" t="s">
        <v>229</v>
      </c>
      <c r="M1300" t="s">
        <v>113</v>
      </c>
      <c r="R1300" t="s">
        <v>7723</v>
      </c>
      <c r="S1300" t="s">
        <v>354</v>
      </c>
      <c r="T1300" t="s">
        <v>116</v>
      </c>
      <c r="U1300" t="s">
        <v>117</v>
      </c>
      <c r="V1300" t="str">
        <f>"142152814"</f>
        <v>142152814</v>
      </c>
      <c r="AC1300" t="s">
        <v>119</v>
      </c>
      <c r="AD1300" t="s">
        <v>113</v>
      </c>
      <c r="AE1300" t="s">
        <v>306</v>
      </c>
      <c r="AG1300" t="s">
        <v>121</v>
      </c>
    </row>
    <row r="1301" spans="1:33" x14ac:dyDescent="0.25">
      <c r="A1301" t="str">
        <f>"1831458603"</f>
        <v>1831458603</v>
      </c>
      <c r="B1301" t="str">
        <f>"03496962"</f>
        <v>03496962</v>
      </c>
      <c r="C1301" t="s">
        <v>7724</v>
      </c>
      <c r="D1301" t="s">
        <v>7725</v>
      </c>
      <c r="E1301" t="s">
        <v>7726</v>
      </c>
      <c r="G1301" t="s">
        <v>7724</v>
      </c>
      <c r="H1301" t="s">
        <v>1272</v>
      </c>
      <c r="J1301" t="s">
        <v>7727</v>
      </c>
      <c r="L1301" t="s">
        <v>142</v>
      </c>
      <c r="M1301" t="s">
        <v>113</v>
      </c>
      <c r="R1301" t="s">
        <v>7728</v>
      </c>
      <c r="W1301" t="s">
        <v>7729</v>
      </c>
      <c r="X1301" t="s">
        <v>7730</v>
      </c>
      <c r="Y1301" t="s">
        <v>958</v>
      </c>
      <c r="Z1301" t="s">
        <v>117</v>
      </c>
      <c r="AA1301" t="str">
        <f>"14226-2500"</f>
        <v>14226-2500</v>
      </c>
      <c r="AB1301" t="s">
        <v>118</v>
      </c>
      <c r="AC1301" t="s">
        <v>119</v>
      </c>
      <c r="AD1301" t="s">
        <v>113</v>
      </c>
      <c r="AE1301" t="s">
        <v>120</v>
      </c>
      <c r="AG1301" t="s">
        <v>121</v>
      </c>
    </row>
    <row r="1302" spans="1:33" x14ac:dyDescent="0.25">
      <c r="A1302" t="str">
        <f>"1831487578"</f>
        <v>1831487578</v>
      </c>
      <c r="C1302" t="s">
        <v>7731</v>
      </c>
      <c r="G1302" t="s">
        <v>7732</v>
      </c>
      <c r="H1302" t="s">
        <v>471</v>
      </c>
      <c r="J1302" t="s">
        <v>7733</v>
      </c>
      <c r="K1302" t="s">
        <v>303</v>
      </c>
      <c r="L1302" t="s">
        <v>112</v>
      </c>
      <c r="M1302" t="s">
        <v>113</v>
      </c>
      <c r="R1302" t="s">
        <v>7734</v>
      </c>
      <c r="S1302" t="s">
        <v>474</v>
      </c>
      <c r="T1302" t="s">
        <v>116</v>
      </c>
      <c r="U1302" t="s">
        <v>117</v>
      </c>
      <c r="V1302" t="str">
        <f>"142141316"</f>
        <v>142141316</v>
      </c>
      <c r="AC1302" t="s">
        <v>119</v>
      </c>
      <c r="AD1302" t="s">
        <v>113</v>
      </c>
      <c r="AE1302" t="s">
        <v>306</v>
      </c>
      <c r="AG1302" t="s">
        <v>121</v>
      </c>
    </row>
    <row r="1303" spans="1:33" x14ac:dyDescent="0.25">
      <c r="A1303" t="str">
        <f>"1831495126"</f>
        <v>1831495126</v>
      </c>
      <c r="B1303" t="str">
        <f>"03823383"</f>
        <v>03823383</v>
      </c>
      <c r="C1303" t="s">
        <v>7735</v>
      </c>
      <c r="D1303" t="s">
        <v>7736</v>
      </c>
      <c r="E1303" t="s">
        <v>7737</v>
      </c>
      <c r="G1303" t="s">
        <v>7738</v>
      </c>
      <c r="J1303" t="s">
        <v>7739</v>
      </c>
      <c r="L1303" t="s">
        <v>1033</v>
      </c>
      <c r="M1303" t="s">
        <v>113</v>
      </c>
      <c r="R1303" t="s">
        <v>7737</v>
      </c>
      <c r="W1303" t="s">
        <v>7737</v>
      </c>
      <c r="X1303" t="s">
        <v>2128</v>
      </c>
      <c r="Y1303" t="s">
        <v>986</v>
      </c>
      <c r="Z1303" t="s">
        <v>117</v>
      </c>
      <c r="AA1303" t="str">
        <f>"14701-5502"</f>
        <v>14701-5502</v>
      </c>
      <c r="AB1303" t="s">
        <v>621</v>
      </c>
      <c r="AC1303" t="s">
        <v>119</v>
      </c>
      <c r="AD1303" t="s">
        <v>113</v>
      </c>
      <c r="AE1303" t="s">
        <v>120</v>
      </c>
      <c r="AG1303" t="s">
        <v>121</v>
      </c>
    </row>
    <row r="1304" spans="1:33" x14ac:dyDescent="0.25">
      <c r="A1304" t="str">
        <f>"1831526763"</f>
        <v>1831526763</v>
      </c>
      <c r="B1304" t="str">
        <f>"03906443"</f>
        <v>03906443</v>
      </c>
      <c r="C1304" t="s">
        <v>7740</v>
      </c>
      <c r="D1304" t="s">
        <v>7741</v>
      </c>
      <c r="E1304" t="s">
        <v>7742</v>
      </c>
      <c r="G1304" t="s">
        <v>7743</v>
      </c>
      <c r="H1304" t="s">
        <v>7744</v>
      </c>
      <c r="J1304" t="s">
        <v>438</v>
      </c>
      <c r="L1304" t="s">
        <v>112</v>
      </c>
      <c r="M1304" t="s">
        <v>113</v>
      </c>
      <c r="R1304" t="s">
        <v>7742</v>
      </c>
      <c r="W1304" t="s">
        <v>7742</v>
      </c>
      <c r="X1304" t="s">
        <v>1218</v>
      </c>
      <c r="Y1304" t="s">
        <v>318</v>
      </c>
      <c r="Z1304" t="s">
        <v>117</v>
      </c>
      <c r="AA1304" t="str">
        <f>"14225-4985"</f>
        <v>14225-4985</v>
      </c>
      <c r="AB1304" t="s">
        <v>118</v>
      </c>
      <c r="AC1304" t="s">
        <v>119</v>
      </c>
      <c r="AD1304" t="s">
        <v>113</v>
      </c>
      <c r="AE1304" t="s">
        <v>120</v>
      </c>
      <c r="AG1304" t="s">
        <v>121</v>
      </c>
    </row>
    <row r="1305" spans="1:33" x14ac:dyDescent="0.25">
      <c r="A1305" t="str">
        <f>"1841204427"</f>
        <v>1841204427</v>
      </c>
      <c r="B1305" t="str">
        <f>"01207423"</f>
        <v>01207423</v>
      </c>
      <c r="C1305" t="s">
        <v>7745</v>
      </c>
      <c r="D1305" t="s">
        <v>7746</v>
      </c>
      <c r="E1305" t="s">
        <v>7747</v>
      </c>
      <c r="G1305" t="s">
        <v>7745</v>
      </c>
      <c r="H1305" t="s">
        <v>937</v>
      </c>
      <c r="J1305" t="s">
        <v>7748</v>
      </c>
      <c r="L1305" t="s">
        <v>142</v>
      </c>
      <c r="M1305" t="s">
        <v>113</v>
      </c>
      <c r="R1305" t="s">
        <v>7749</v>
      </c>
      <c r="W1305" t="s">
        <v>7747</v>
      </c>
      <c r="X1305" t="s">
        <v>136</v>
      </c>
      <c r="Y1305" t="s">
        <v>116</v>
      </c>
      <c r="Z1305" t="s">
        <v>117</v>
      </c>
      <c r="AA1305" t="str">
        <f>"14209-1120"</f>
        <v>14209-1120</v>
      </c>
      <c r="AB1305" t="s">
        <v>118</v>
      </c>
      <c r="AC1305" t="s">
        <v>119</v>
      </c>
      <c r="AD1305" t="s">
        <v>113</v>
      </c>
      <c r="AE1305" t="s">
        <v>120</v>
      </c>
      <c r="AG1305" t="s">
        <v>121</v>
      </c>
    </row>
    <row r="1306" spans="1:33" x14ac:dyDescent="0.25">
      <c r="A1306" t="str">
        <f>"1841207016"</f>
        <v>1841207016</v>
      </c>
      <c r="B1306" t="str">
        <f>"01084179"</f>
        <v>01084179</v>
      </c>
      <c r="C1306" t="s">
        <v>7750</v>
      </c>
      <c r="D1306" t="s">
        <v>7751</v>
      </c>
      <c r="E1306" t="s">
        <v>7752</v>
      </c>
      <c r="G1306" t="s">
        <v>7750</v>
      </c>
      <c r="H1306" t="s">
        <v>532</v>
      </c>
      <c r="J1306" t="s">
        <v>7753</v>
      </c>
      <c r="L1306" t="s">
        <v>142</v>
      </c>
      <c r="M1306" t="s">
        <v>199</v>
      </c>
      <c r="R1306" t="s">
        <v>7754</v>
      </c>
      <c r="W1306" t="s">
        <v>7752</v>
      </c>
      <c r="X1306" t="s">
        <v>7755</v>
      </c>
      <c r="Y1306" t="s">
        <v>116</v>
      </c>
      <c r="Z1306" t="s">
        <v>117</v>
      </c>
      <c r="AA1306" t="str">
        <f>"14222-2006"</f>
        <v>14222-2006</v>
      </c>
      <c r="AB1306" t="s">
        <v>118</v>
      </c>
      <c r="AC1306" t="s">
        <v>119</v>
      </c>
      <c r="AD1306" t="s">
        <v>113</v>
      </c>
      <c r="AE1306" t="s">
        <v>120</v>
      </c>
      <c r="AG1306" t="s">
        <v>121</v>
      </c>
    </row>
    <row r="1307" spans="1:33" x14ac:dyDescent="0.25">
      <c r="A1307" t="str">
        <f>"1659326221"</f>
        <v>1659326221</v>
      </c>
      <c r="B1307" t="str">
        <f>"02747419"</f>
        <v>02747419</v>
      </c>
      <c r="C1307" t="s">
        <v>7756</v>
      </c>
      <c r="D1307" t="s">
        <v>7757</v>
      </c>
      <c r="E1307" t="s">
        <v>7758</v>
      </c>
      <c r="G1307" t="s">
        <v>859</v>
      </c>
      <c r="H1307" t="s">
        <v>213</v>
      </c>
      <c r="J1307" t="s">
        <v>861</v>
      </c>
      <c r="L1307" t="s">
        <v>142</v>
      </c>
      <c r="M1307" t="s">
        <v>113</v>
      </c>
      <c r="R1307" t="s">
        <v>7758</v>
      </c>
      <c r="W1307" t="s">
        <v>7758</v>
      </c>
      <c r="X1307" t="s">
        <v>216</v>
      </c>
      <c r="Y1307" t="s">
        <v>116</v>
      </c>
      <c r="Z1307" t="s">
        <v>117</v>
      </c>
      <c r="AA1307" t="str">
        <f>"14222-2006"</f>
        <v>14222-2006</v>
      </c>
      <c r="AB1307" t="s">
        <v>118</v>
      </c>
      <c r="AC1307" t="s">
        <v>119</v>
      </c>
      <c r="AD1307" t="s">
        <v>113</v>
      </c>
      <c r="AE1307" t="s">
        <v>120</v>
      </c>
      <c r="AG1307" t="s">
        <v>121</v>
      </c>
    </row>
    <row r="1308" spans="1:33" x14ac:dyDescent="0.25">
      <c r="A1308" t="str">
        <f>"1659329803"</f>
        <v>1659329803</v>
      </c>
      <c r="B1308" t="str">
        <f>"02375024"</f>
        <v>02375024</v>
      </c>
      <c r="C1308" t="s">
        <v>7759</v>
      </c>
      <c r="D1308" t="s">
        <v>7760</v>
      </c>
      <c r="E1308" t="s">
        <v>7761</v>
      </c>
      <c r="G1308" t="s">
        <v>7759</v>
      </c>
      <c r="H1308" t="s">
        <v>7762</v>
      </c>
      <c r="J1308" t="s">
        <v>7763</v>
      </c>
      <c r="L1308" t="s">
        <v>150</v>
      </c>
      <c r="M1308" t="s">
        <v>113</v>
      </c>
      <c r="R1308" t="s">
        <v>7764</v>
      </c>
      <c r="W1308" t="s">
        <v>7761</v>
      </c>
      <c r="X1308" t="s">
        <v>7765</v>
      </c>
      <c r="Y1308" t="s">
        <v>209</v>
      </c>
      <c r="Z1308" t="s">
        <v>117</v>
      </c>
      <c r="AA1308" t="str">
        <f>"14059-9634"</f>
        <v>14059-9634</v>
      </c>
      <c r="AB1308" t="s">
        <v>118</v>
      </c>
      <c r="AC1308" t="s">
        <v>119</v>
      </c>
      <c r="AD1308" t="s">
        <v>113</v>
      </c>
      <c r="AE1308" t="s">
        <v>120</v>
      </c>
      <c r="AG1308" t="s">
        <v>121</v>
      </c>
    </row>
    <row r="1309" spans="1:33" x14ac:dyDescent="0.25">
      <c r="A1309" t="str">
        <f>"1659338382"</f>
        <v>1659338382</v>
      </c>
      <c r="B1309" t="str">
        <f>"02291349"</f>
        <v>02291349</v>
      </c>
      <c r="C1309" t="s">
        <v>7766</v>
      </c>
      <c r="D1309" t="s">
        <v>7767</v>
      </c>
      <c r="E1309" t="s">
        <v>7766</v>
      </c>
      <c r="G1309" t="s">
        <v>7768</v>
      </c>
      <c r="H1309" t="s">
        <v>7769</v>
      </c>
      <c r="J1309" t="s">
        <v>7770</v>
      </c>
      <c r="L1309" t="s">
        <v>13</v>
      </c>
      <c r="M1309" t="s">
        <v>113</v>
      </c>
      <c r="R1309" t="s">
        <v>7771</v>
      </c>
      <c r="W1309" t="s">
        <v>7766</v>
      </c>
      <c r="X1309" t="s">
        <v>7772</v>
      </c>
      <c r="Y1309" t="s">
        <v>326</v>
      </c>
      <c r="Z1309" t="s">
        <v>117</v>
      </c>
      <c r="AA1309" t="str">
        <f>"14127-1570"</f>
        <v>14127-1570</v>
      </c>
      <c r="AB1309" t="s">
        <v>1146</v>
      </c>
      <c r="AC1309" t="s">
        <v>119</v>
      </c>
      <c r="AD1309" t="s">
        <v>113</v>
      </c>
      <c r="AE1309" t="s">
        <v>120</v>
      </c>
      <c r="AG1309" t="s">
        <v>121</v>
      </c>
    </row>
    <row r="1310" spans="1:33" x14ac:dyDescent="0.25">
      <c r="A1310" t="str">
        <f>"1659338580"</f>
        <v>1659338580</v>
      </c>
      <c r="B1310" t="str">
        <f>"00724841"</f>
        <v>00724841</v>
      </c>
      <c r="C1310" t="s">
        <v>7773</v>
      </c>
      <c r="D1310" t="s">
        <v>7774</v>
      </c>
      <c r="E1310" t="s">
        <v>7775</v>
      </c>
      <c r="G1310" t="s">
        <v>330</v>
      </c>
      <c r="H1310" t="s">
        <v>205</v>
      </c>
      <c r="J1310" t="s">
        <v>332</v>
      </c>
      <c r="L1310" t="s">
        <v>142</v>
      </c>
      <c r="M1310" t="s">
        <v>113</v>
      </c>
      <c r="R1310" t="s">
        <v>7776</v>
      </c>
      <c r="W1310" t="s">
        <v>7775</v>
      </c>
      <c r="X1310" t="s">
        <v>7777</v>
      </c>
      <c r="Y1310" t="s">
        <v>116</v>
      </c>
      <c r="Z1310" t="s">
        <v>117</v>
      </c>
      <c r="AA1310" t="str">
        <f>"14215-3021"</f>
        <v>14215-3021</v>
      </c>
      <c r="AB1310" t="s">
        <v>118</v>
      </c>
      <c r="AC1310" t="s">
        <v>119</v>
      </c>
      <c r="AD1310" t="s">
        <v>113</v>
      </c>
      <c r="AE1310" t="s">
        <v>120</v>
      </c>
      <c r="AG1310" t="s">
        <v>121</v>
      </c>
    </row>
    <row r="1311" spans="1:33" x14ac:dyDescent="0.25">
      <c r="A1311" t="str">
        <f>"1659339935"</f>
        <v>1659339935</v>
      </c>
      <c r="B1311" t="str">
        <f>"02960465"</f>
        <v>02960465</v>
      </c>
      <c r="C1311" t="s">
        <v>7778</v>
      </c>
      <c r="D1311" t="s">
        <v>7779</v>
      </c>
      <c r="E1311" t="s">
        <v>7780</v>
      </c>
      <c r="G1311" t="s">
        <v>7781</v>
      </c>
      <c r="H1311" t="s">
        <v>7782</v>
      </c>
      <c r="J1311" t="s">
        <v>7783</v>
      </c>
      <c r="L1311" t="s">
        <v>142</v>
      </c>
      <c r="M1311" t="s">
        <v>113</v>
      </c>
      <c r="R1311" t="s">
        <v>7784</v>
      </c>
      <c r="W1311" t="s">
        <v>7780</v>
      </c>
      <c r="X1311" t="s">
        <v>216</v>
      </c>
      <c r="Y1311" t="s">
        <v>116</v>
      </c>
      <c r="Z1311" t="s">
        <v>117</v>
      </c>
      <c r="AA1311" t="str">
        <f>"14222-2006"</f>
        <v>14222-2006</v>
      </c>
      <c r="AB1311" t="s">
        <v>118</v>
      </c>
      <c r="AC1311" t="s">
        <v>119</v>
      </c>
      <c r="AD1311" t="s">
        <v>113</v>
      </c>
      <c r="AE1311" t="s">
        <v>120</v>
      </c>
      <c r="AG1311" t="s">
        <v>121</v>
      </c>
    </row>
    <row r="1312" spans="1:33" x14ac:dyDescent="0.25">
      <c r="A1312" t="str">
        <f>"1578739793"</f>
        <v>1578739793</v>
      </c>
      <c r="B1312" t="str">
        <f>"03214899"</f>
        <v>03214899</v>
      </c>
      <c r="C1312" t="s">
        <v>7785</v>
      </c>
      <c r="D1312" t="s">
        <v>7786</v>
      </c>
      <c r="E1312" t="s">
        <v>7787</v>
      </c>
      <c r="G1312" t="s">
        <v>7785</v>
      </c>
      <c r="H1312" t="s">
        <v>7788</v>
      </c>
      <c r="J1312" t="s">
        <v>7789</v>
      </c>
      <c r="L1312" t="s">
        <v>142</v>
      </c>
      <c r="M1312" t="s">
        <v>199</v>
      </c>
      <c r="R1312" t="s">
        <v>7790</v>
      </c>
      <c r="W1312" t="s">
        <v>7791</v>
      </c>
      <c r="X1312" t="s">
        <v>7792</v>
      </c>
      <c r="Y1312" t="s">
        <v>116</v>
      </c>
      <c r="Z1312" t="s">
        <v>117</v>
      </c>
      <c r="AA1312" t="str">
        <f>"14209-2102"</f>
        <v>14209-2102</v>
      </c>
      <c r="AB1312" t="s">
        <v>118</v>
      </c>
      <c r="AC1312" t="s">
        <v>119</v>
      </c>
      <c r="AD1312" t="s">
        <v>113</v>
      </c>
      <c r="AE1312" t="s">
        <v>120</v>
      </c>
      <c r="AG1312" t="s">
        <v>121</v>
      </c>
    </row>
    <row r="1313" spans="1:33" x14ac:dyDescent="0.25">
      <c r="A1313" t="str">
        <f>"1578758215"</f>
        <v>1578758215</v>
      </c>
      <c r="B1313" t="str">
        <f>"02914029"</f>
        <v>02914029</v>
      </c>
      <c r="C1313" t="s">
        <v>7793</v>
      </c>
      <c r="D1313" t="s">
        <v>7794</v>
      </c>
      <c r="E1313" t="s">
        <v>7795</v>
      </c>
      <c r="G1313" t="s">
        <v>7796</v>
      </c>
      <c r="H1313" t="s">
        <v>1883</v>
      </c>
      <c r="J1313" t="s">
        <v>7797</v>
      </c>
      <c r="L1313" t="s">
        <v>142</v>
      </c>
      <c r="M1313" t="s">
        <v>113</v>
      </c>
      <c r="R1313" t="s">
        <v>7795</v>
      </c>
      <c r="W1313" t="s">
        <v>7795</v>
      </c>
      <c r="X1313" t="s">
        <v>3705</v>
      </c>
      <c r="Y1313" t="s">
        <v>958</v>
      </c>
      <c r="Z1313" t="s">
        <v>117</v>
      </c>
      <c r="AA1313" t="str">
        <f>"14226-1727"</f>
        <v>14226-1727</v>
      </c>
      <c r="AB1313" t="s">
        <v>118</v>
      </c>
      <c r="AC1313" t="s">
        <v>119</v>
      </c>
      <c r="AD1313" t="s">
        <v>113</v>
      </c>
      <c r="AE1313" t="s">
        <v>120</v>
      </c>
      <c r="AG1313" t="s">
        <v>121</v>
      </c>
    </row>
    <row r="1314" spans="1:33" x14ac:dyDescent="0.25">
      <c r="A1314" t="str">
        <f>"1578791992"</f>
        <v>1578791992</v>
      </c>
      <c r="B1314" t="str">
        <f>"03135760"</f>
        <v>03135760</v>
      </c>
      <c r="C1314" t="s">
        <v>7798</v>
      </c>
      <c r="D1314" t="s">
        <v>7799</v>
      </c>
      <c r="E1314" t="s">
        <v>7800</v>
      </c>
      <c r="G1314" t="s">
        <v>7798</v>
      </c>
      <c r="H1314" t="s">
        <v>205</v>
      </c>
      <c r="J1314" t="s">
        <v>7801</v>
      </c>
      <c r="L1314" t="s">
        <v>142</v>
      </c>
      <c r="M1314" t="s">
        <v>113</v>
      </c>
      <c r="R1314" t="s">
        <v>7800</v>
      </c>
      <c r="W1314" t="s">
        <v>7802</v>
      </c>
      <c r="X1314" t="s">
        <v>6289</v>
      </c>
      <c r="Y1314" t="s">
        <v>240</v>
      </c>
      <c r="Z1314" t="s">
        <v>117</v>
      </c>
      <c r="AA1314" t="str">
        <f>"14221-8216"</f>
        <v>14221-8216</v>
      </c>
      <c r="AB1314" t="s">
        <v>118</v>
      </c>
      <c r="AC1314" t="s">
        <v>119</v>
      </c>
      <c r="AD1314" t="s">
        <v>113</v>
      </c>
      <c r="AE1314" t="s">
        <v>120</v>
      </c>
      <c r="AG1314" t="s">
        <v>121</v>
      </c>
    </row>
    <row r="1315" spans="1:33" x14ac:dyDescent="0.25">
      <c r="A1315" t="str">
        <f>"1578806931"</f>
        <v>1578806931</v>
      </c>
      <c r="B1315" t="str">
        <f>"04081921"</f>
        <v>04081921</v>
      </c>
      <c r="C1315" t="s">
        <v>7803</v>
      </c>
      <c r="D1315" t="s">
        <v>7804</v>
      </c>
      <c r="E1315" t="s">
        <v>7805</v>
      </c>
      <c r="G1315" t="s">
        <v>7803</v>
      </c>
      <c r="H1315" t="s">
        <v>3800</v>
      </c>
      <c r="J1315" t="s">
        <v>7806</v>
      </c>
      <c r="L1315" t="s">
        <v>112</v>
      </c>
      <c r="M1315" t="s">
        <v>113</v>
      </c>
      <c r="R1315" t="s">
        <v>7805</v>
      </c>
      <c r="W1315" t="s">
        <v>7805</v>
      </c>
      <c r="X1315" t="s">
        <v>3963</v>
      </c>
      <c r="Y1315" t="s">
        <v>240</v>
      </c>
      <c r="Z1315" t="s">
        <v>117</v>
      </c>
      <c r="AA1315" t="str">
        <f>"14221-5771"</f>
        <v>14221-5771</v>
      </c>
      <c r="AB1315" t="s">
        <v>118</v>
      </c>
      <c r="AC1315" t="s">
        <v>119</v>
      </c>
      <c r="AD1315" t="s">
        <v>113</v>
      </c>
      <c r="AE1315" t="s">
        <v>120</v>
      </c>
      <c r="AG1315" t="s">
        <v>121</v>
      </c>
    </row>
    <row r="1316" spans="1:33" x14ac:dyDescent="0.25">
      <c r="A1316" t="str">
        <f>"1578815189"</f>
        <v>1578815189</v>
      </c>
      <c r="B1316" t="str">
        <f>"03523517"</f>
        <v>03523517</v>
      </c>
      <c r="C1316" t="s">
        <v>7807</v>
      </c>
      <c r="D1316" t="s">
        <v>7808</v>
      </c>
      <c r="E1316" t="s">
        <v>7809</v>
      </c>
      <c r="G1316" t="s">
        <v>7810</v>
      </c>
      <c r="H1316" t="s">
        <v>1350</v>
      </c>
      <c r="J1316" t="s">
        <v>1725</v>
      </c>
      <c r="L1316" t="s">
        <v>69</v>
      </c>
      <c r="M1316" t="s">
        <v>113</v>
      </c>
      <c r="R1316" t="s">
        <v>7807</v>
      </c>
      <c r="W1316" t="s">
        <v>7809</v>
      </c>
      <c r="X1316" t="s">
        <v>152</v>
      </c>
      <c r="Y1316" t="s">
        <v>153</v>
      </c>
      <c r="Z1316" t="s">
        <v>117</v>
      </c>
      <c r="AA1316" t="str">
        <f>"14301-1813"</f>
        <v>14301-1813</v>
      </c>
      <c r="AB1316" t="s">
        <v>872</v>
      </c>
      <c r="AC1316" t="s">
        <v>119</v>
      </c>
      <c r="AD1316" t="s">
        <v>113</v>
      </c>
      <c r="AE1316" t="s">
        <v>120</v>
      </c>
      <c r="AG1316" t="s">
        <v>121</v>
      </c>
    </row>
    <row r="1317" spans="1:33" x14ac:dyDescent="0.25">
      <c r="A1317" t="str">
        <f>"1578855532"</f>
        <v>1578855532</v>
      </c>
      <c r="B1317" t="str">
        <f>"03961960"</f>
        <v>03961960</v>
      </c>
      <c r="C1317" t="s">
        <v>7811</v>
      </c>
      <c r="D1317" t="s">
        <v>7812</v>
      </c>
      <c r="E1317" t="s">
        <v>7813</v>
      </c>
      <c r="G1317" t="s">
        <v>7811</v>
      </c>
      <c r="H1317" t="s">
        <v>1478</v>
      </c>
      <c r="J1317" t="s">
        <v>7814</v>
      </c>
      <c r="L1317" t="s">
        <v>142</v>
      </c>
      <c r="M1317" t="s">
        <v>113</v>
      </c>
      <c r="R1317" t="s">
        <v>7815</v>
      </c>
      <c r="W1317" t="s">
        <v>7813</v>
      </c>
      <c r="X1317" t="s">
        <v>7816</v>
      </c>
      <c r="Y1317" t="s">
        <v>145</v>
      </c>
      <c r="Z1317" t="s">
        <v>117</v>
      </c>
      <c r="AA1317" t="str">
        <f>"14051-1874"</f>
        <v>14051-1874</v>
      </c>
      <c r="AB1317" t="s">
        <v>118</v>
      </c>
      <c r="AC1317" t="s">
        <v>119</v>
      </c>
      <c r="AD1317" t="s">
        <v>113</v>
      </c>
      <c r="AE1317" t="s">
        <v>120</v>
      </c>
      <c r="AG1317" t="s">
        <v>121</v>
      </c>
    </row>
    <row r="1318" spans="1:33" x14ac:dyDescent="0.25">
      <c r="A1318" t="str">
        <f>"1578884458"</f>
        <v>1578884458</v>
      </c>
      <c r="B1318" t="str">
        <f>"03278466"</f>
        <v>03278466</v>
      </c>
      <c r="C1318" t="s">
        <v>7817</v>
      </c>
      <c r="D1318" t="s">
        <v>7818</v>
      </c>
      <c r="E1318" t="s">
        <v>7819</v>
      </c>
      <c r="G1318" t="s">
        <v>7820</v>
      </c>
      <c r="H1318" t="s">
        <v>1478</v>
      </c>
      <c r="J1318" t="s">
        <v>7821</v>
      </c>
      <c r="L1318" t="s">
        <v>142</v>
      </c>
      <c r="M1318" t="s">
        <v>113</v>
      </c>
      <c r="R1318" t="s">
        <v>7822</v>
      </c>
      <c r="W1318" t="s">
        <v>7819</v>
      </c>
      <c r="X1318" t="s">
        <v>216</v>
      </c>
      <c r="Y1318" t="s">
        <v>116</v>
      </c>
      <c r="Z1318" t="s">
        <v>117</v>
      </c>
      <c r="AA1318" t="str">
        <f>"14222-2006"</f>
        <v>14222-2006</v>
      </c>
      <c r="AB1318" t="s">
        <v>118</v>
      </c>
      <c r="AC1318" t="s">
        <v>119</v>
      </c>
      <c r="AD1318" t="s">
        <v>113</v>
      </c>
      <c r="AE1318" t="s">
        <v>120</v>
      </c>
      <c r="AG1318" t="s">
        <v>121</v>
      </c>
    </row>
    <row r="1319" spans="1:33" x14ac:dyDescent="0.25">
      <c r="A1319" t="str">
        <f>"1578972626"</f>
        <v>1578972626</v>
      </c>
      <c r="B1319" t="str">
        <f>"03995351"</f>
        <v>03995351</v>
      </c>
      <c r="C1319" t="s">
        <v>7823</v>
      </c>
      <c r="D1319" t="s">
        <v>7824</v>
      </c>
      <c r="E1319" t="s">
        <v>7825</v>
      </c>
      <c r="G1319" t="s">
        <v>7823</v>
      </c>
      <c r="H1319" t="s">
        <v>2079</v>
      </c>
      <c r="L1319" t="s">
        <v>112</v>
      </c>
      <c r="M1319" t="s">
        <v>113</v>
      </c>
      <c r="R1319" t="s">
        <v>7825</v>
      </c>
      <c r="W1319" t="s">
        <v>7826</v>
      </c>
      <c r="X1319" t="s">
        <v>176</v>
      </c>
      <c r="Y1319" t="s">
        <v>116</v>
      </c>
      <c r="Z1319" t="s">
        <v>117</v>
      </c>
      <c r="AA1319" t="str">
        <f>"14203-1126"</f>
        <v>14203-1126</v>
      </c>
      <c r="AB1319" t="s">
        <v>118</v>
      </c>
      <c r="AC1319" t="s">
        <v>119</v>
      </c>
      <c r="AD1319" t="s">
        <v>113</v>
      </c>
      <c r="AE1319" t="s">
        <v>120</v>
      </c>
      <c r="AG1319" t="s">
        <v>121</v>
      </c>
    </row>
    <row r="1320" spans="1:33" x14ac:dyDescent="0.25">
      <c r="A1320" t="str">
        <f>"1588089494"</f>
        <v>1588089494</v>
      </c>
      <c r="C1320" t="s">
        <v>7827</v>
      </c>
      <c r="G1320" t="s">
        <v>7828</v>
      </c>
      <c r="H1320" t="s">
        <v>351</v>
      </c>
      <c r="J1320" t="s">
        <v>352</v>
      </c>
      <c r="K1320" t="s">
        <v>303</v>
      </c>
      <c r="L1320" t="s">
        <v>112</v>
      </c>
      <c r="M1320" t="s">
        <v>113</v>
      </c>
      <c r="R1320" t="s">
        <v>7829</v>
      </c>
      <c r="S1320" t="s">
        <v>354</v>
      </c>
      <c r="T1320" t="s">
        <v>116</v>
      </c>
      <c r="U1320" t="s">
        <v>117</v>
      </c>
      <c r="V1320" t="str">
        <f>"142152814"</f>
        <v>142152814</v>
      </c>
      <c r="AC1320" t="s">
        <v>119</v>
      </c>
      <c r="AD1320" t="s">
        <v>113</v>
      </c>
      <c r="AE1320" t="s">
        <v>306</v>
      </c>
      <c r="AG1320" t="s">
        <v>121</v>
      </c>
    </row>
    <row r="1321" spans="1:33" x14ac:dyDescent="0.25">
      <c r="A1321" t="str">
        <f>"1588098651"</f>
        <v>1588098651</v>
      </c>
      <c r="C1321" t="s">
        <v>7830</v>
      </c>
      <c r="G1321" t="s">
        <v>7831</v>
      </c>
      <c r="H1321" t="s">
        <v>471</v>
      </c>
      <c r="J1321" t="s">
        <v>7832</v>
      </c>
      <c r="K1321" t="s">
        <v>303</v>
      </c>
      <c r="L1321" t="s">
        <v>112</v>
      </c>
      <c r="M1321" t="s">
        <v>113</v>
      </c>
      <c r="R1321" t="s">
        <v>7833</v>
      </c>
      <c r="S1321" t="s">
        <v>474</v>
      </c>
      <c r="T1321" t="s">
        <v>116</v>
      </c>
      <c r="U1321" t="s">
        <v>117</v>
      </c>
      <c r="V1321" t="str">
        <f>"142141316"</f>
        <v>142141316</v>
      </c>
      <c r="AC1321" t="s">
        <v>119</v>
      </c>
      <c r="AD1321" t="s">
        <v>113</v>
      </c>
      <c r="AE1321" t="s">
        <v>306</v>
      </c>
      <c r="AG1321" t="s">
        <v>121</v>
      </c>
    </row>
    <row r="1322" spans="1:33" x14ac:dyDescent="0.25">
      <c r="A1322" t="str">
        <f>"1588601371"</f>
        <v>1588601371</v>
      </c>
      <c r="B1322" t="str">
        <f>"02510763"</f>
        <v>02510763</v>
      </c>
      <c r="C1322" t="s">
        <v>7834</v>
      </c>
      <c r="D1322" t="s">
        <v>7835</v>
      </c>
      <c r="E1322" t="s">
        <v>7836</v>
      </c>
      <c r="G1322" t="s">
        <v>7834</v>
      </c>
      <c r="H1322" t="s">
        <v>227</v>
      </c>
      <c r="J1322" t="s">
        <v>7837</v>
      </c>
      <c r="L1322" t="s">
        <v>142</v>
      </c>
      <c r="M1322" t="s">
        <v>113</v>
      </c>
      <c r="R1322" t="s">
        <v>7838</v>
      </c>
      <c r="W1322" t="s">
        <v>7836</v>
      </c>
      <c r="X1322" t="s">
        <v>7839</v>
      </c>
      <c r="Y1322" t="s">
        <v>7840</v>
      </c>
      <c r="Z1322" t="s">
        <v>7841</v>
      </c>
      <c r="AA1322" t="str">
        <f>"36607-3513"</f>
        <v>36607-3513</v>
      </c>
      <c r="AB1322" t="s">
        <v>118</v>
      </c>
      <c r="AC1322" t="s">
        <v>119</v>
      </c>
      <c r="AD1322" t="s">
        <v>113</v>
      </c>
      <c r="AE1322" t="s">
        <v>120</v>
      </c>
      <c r="AG1322" t="s">
        <v>121</v>
      </c>
    </row>
    <row r="1323" spans="1:33" x14ac:dyDescent="0.25">
      <c r="A1323" t="str">
        <f>"1588628218"</f>
        <v>1588628218</v>
      </c>
      <c r="C1323" t="s">
        <v>7842</v>
      </c>
      <c r="G1323" t="s">
        <v>7843</v>
      </c>
      <c r="J1323" t="s">
        <v>7844</v>
      </c>
      <c r="K1323" t="s">
        <v>303</v>
      </c>
      <c r="L1323" t="s">
        <v>229</v>
      </c>
      <c r="M1323" t="s">
        <v>113</v>
      </c>
      <c r="R1323" t="s">
        <v>7845</v>
      </c>
      <c r="S1323" t="s">
        <v>7846</v>
      </c>
      <c r="T1323" t="s">
        <v>7847</v>
      </c>
      <c r="U1323" t="s">
        <v>7848</v>
      </c>
      <c r="V1323" t="str">
        <f>"940253500"</f>
        <v>940253500</v>
      </c>
      <c r="AC1323" t="s">
        <v>119</v>
      </c>
      <c r="AD1323" t="s">
        <v>113</v>
      </c>
      <c r="AE1323" t="s">
        <v>306</v>
      </c>
      <c r="AG1323" t="s">
        <v>121</v>
      </c>
    </row>
    <row r="1324" spans="1:33" x14ac:dyDescent="0.25">
      <c r="A1324" t="str">
        <f>"1699783324"</f>
        <v>1699783324</v>
      </c>
      <c r="B1324" t="str">
        <f>"02589164"</f>
        <v>02589164</v>
      </c>
      <c r="C1324" t="s">
        <v>7849</v>
      </c>
      <c r="D1324" t="s">
        <v>7850</v>
      </c>
      <c r="E1324" t="s">
        <v>7851</v>
      </c>
      <c r="G1324" t="s">
        <v>7849</v>
      </c>
      <c r="H1324" t="s">
        <v>2702</v>
      </c>
      <c r="J1324" t="s">
        <v>7852</v>
      </c>
      <c r="L1324" t="s">
        <v>142</v>
      </c>
      <c r="M1324" t="s">
        <v>113</v>
      </c>
      <c r="R1324" t="s">
        <v>7853</v>
      </c>
      <c r="W1324" t="s">
        <v>7851</v>
      </c>
      <c r="X1324" t="s">
        <v>7854</v>
      </c>
      <c r="Y1324" t="s">
        <v>2762</v>
      </c>
      <c r="Z1324" t="s">
        <v>117</v>
      </c>
      <c r="AA1324" t="str">
        <f>"14621-3001"</f>
        <v>14621-3001</v>
      </c>
      <c r="AB1324" t="s">
        <v>118</v>
      </c>
      <c r="AC1324" t="s">
        <v>119</v>
      </c>
      <c r="AD1324" t="s">
        <v>113</v>
      </c>
      <c r="AE1324" t="s">
        <v>120</v>
      </c>
      <c r="AG1324" t="s">
        <v>121</v>
      </c>
    </row>
    <row r="1325" spans="1:33" x14ac:dyDescent="0.25">
      <c r="A1325" t="str">
        <f>"1699790261"</f>
        <v>1699790261</v>
      </c>
      <c r="B1325" t="str">
        <f>"02413367"</f>
        <v>02413367</v>
      </c>
      <c r="C1325" t="s">
        <v>7855</v>
      </c>
      <c r="D1325" t="s">
        <v>7856</v>
      </c>
      <c r="E1325" t="s">
        <v>7857</v>
      </c>
      <c r="G1325" t="s">
        <v>7855</v>
      </c>
      <c r="H1325" t="s">
        <v>1157</v>
      </c>
      <c r="J1325" t="s">
        <v>7858</v>
      </c>
      <c r="L1325" t="s">
        <v>142</v>
      </c>
      <c r="M1325" t="s">
        <v>113</v>
      </c>
      <c r="R1325" t="s">
        <v>7859</v>
      </c>
      <c r="W1325" t="s">
        <v>7857</v>
      </c>
      <c r="X1325" t="s">
        <v>253</v>
      </c>
      <c r="Y1325" t="s">
        <v>116</v>
      </c>
      <c r="Z1325" t="s">
        <v>117</v>
      </c>
      <c r="AA1325" t="str">
        <f>"14215-3021"</f>
        <v>14215-3021</v>
      </c>
      <c r="AB1325" t="s">
        <v>118</v>
      </c>
      <c r="AC1325" t="s">
        <v>119</v>
      </c>
      <c r="AD1325" t="s">
        <v>113</v>
      </c>
      <c r="AE1325" t="s">
        <v>120</v>
      </c>
      <c r="AG1325" t="s">
        <v>121</v>
      </c>
    </row>
    <row r="1326" spans="1:33" x14ac:dyDescent="0.25">
      <c r="A1326" t="str">
        <f>"1699837450"</f>
        <v>1699837450</v>
      </c>
      <c r="B1326" t="str">
        <f>"04423901"</f>
        <v>04423901</v>
      </c>
      <c r="C1326" t="s">
        <v>7860</v>
      </c>
      <c r="D1326" t="s">
        <v>7861</v>
      </c>
      <c r="E1326" t="s">
        <v>7862</v>
      </c>
      <c r="L1326" t="s">
        <v>112</v>
      </c>
      <c r="M1326" t="s">
        <v>113</v>
      </c>
      <c r="R1326" t="s">
        <v>7862</v>
      </c>
      <c r="W1326" t="s">
        <v>7862</v>
      </c>
      <c r="X1326" t="s">
        <v>7863</v>
      </c>
      <c r="Y1326" t="s">
        <v>326</v>
      </c>
      <c r="Z1326" t="s">
        <v>117</v>
      </c>
      <c r="AA1326" t="str">
        <f>"14127-1841"</f>
        <v>14127-1841</v>
      </c>
      <c r="AB1326" t="s">
        <v>621</v>
      </c>
      <c r="AC1326" t="s">
        <v>119</v>
      </c>
      <c r="AD1326" t="s">
        <v>113</v>
      </c>
      <c r="AE1326" t="s">
        <v>120</v>
      </c>
      <c r="AG1326" t="s">
        <v>121</v>
      </c>
    </row>
    <row r="1327" spans="1:33" x14ac:dyDescent="0.25">
      <c r="A1327" t="str">
        <f>"1376950626"</f>
        <v>1376950626</v>
      </c>
      <c r="B1327" t="str">
        <f>"03970927"</f>
        <v>03970927</v>
      </c>
      <c r="C1327" t="s">
        <v>7864</v>
      </c>
      <c r="D1327" t="s">
        <v>7865</v>
      </c>
      <c r="E1327" t="s">
        <v>7866</v>
      </c>
      <c r="G1327" t="s">
        <v>7867</v>
      </c>
      <c r="H1327" t="s">
        <v>7868</v>
      </c>
      <c r="J1327" t="s">
        <v>7869</v>
      </c>
      <c r="L1327" t="s">
        <v>229</v>
      </c>
      <c r="M1327" t="s">
        <v>113</v>
      </c>
      <c r="R1327" t="s">
        <v>7870</v>
      </c>
      <c r="W1327" t="s">
        <v>7871</v>
      </c>
      <c r="X1327" t="s">
        <v>838</v>
      </c>
      <c r="Y1327" t="s">
        <v>240</v>
      </c>
      <c r="Z1327" t="s">
        <v>117</v>
      </c>
      <c r="AA1327" t="str">
        <f>"14221-3647"</f>
        <v>14221-3647</v>
      </c>
      <c r="AB1327" t="s">
        <v>118</v>
      </c>
      <c r="AC1327" t="s">
        <v>119</v>
      </c>
      <c r="AD1327" t="s">
        <v>113</v>
      </c>
      <c r="AE1327" t="s">
        <v>120</v>
      </c>
      <c r="AG1327" t="s">
        <v>121</v>
      </c>
    </row>
    <row r="1328" spans="1:33" x14ac:dyDescent="0.25">
      <c r="A1328" t="str">
        <f>"1386601110"</f>
        <v>1386601110</v>
      </c>
      <c r="B1328" t="str">
        <f>"01715448"</f>
        <v>01715448</v>
      </c>
      <c r="C1328" t="s">
        <v>7872</v>
      </c>
      <c r="D1328" t="s">
        <v>7873</v>
      </c>
      <c r="E1328" t="s">
        <v>7874</v>
      </c>
      <c r="G1328" t="s">
        <v>7875</v>
      </c>
      <c r="H1328" t="s">
        <v>2848</v>
      </c>
      <c r="J1328" t="s">
        <v>7876</v>
      </c>
      <c r="L1328" t="s">
        <v>112</v>
      </c>
      <c r="M1328" t="s">
        <v>113</v>
      </c>
      <c r="R1328" t="s">
        <v>7877</v>
      </c>
      <c r="W1328" t="s">
        <v>7874</v>
      </c>
      <c r="X1328" t="s">
        <v>7878</v>
      </c>
      <c r="Y1328" t="s">
        <v>116</v>
      </c>
      <c r="Z1328" t="s">
        <v>117</v>
      </c>
      <c r="AA1328" t="str">
        <f>"14209-1120"</f>
        <v>14209-1120</v>
      </c>
      <c r="AB1328" t="s">
        <v>118</v>
      </c>
      <c r="AC1328" t="s">
        <v>119</v>
      </c>
      <c r="AD1328" t="s">
        <v>113</v>
      </c>
      <c r="AE1328" t="s">
        <v>120</v>
      </c>
      <c r="AG1328" t="s">
        <v>121</v>
      </c>
    </row>
    <row r="1329" spans="1:33" x14ac:dyDescent="0.25">
      <c r="A1329" t="str">
        <f>"1487898482"</f>
        <v>1487898482</v>
      </c>
      <c r="B1329" t="str">
        <f>"03983731"</f>
        <v>03983731</v>
      </c>
      <c r="C1329" t="s">
        <v>7879</v>
      </c>
      <c r="D1329" t="s">
        <v>7880</v>
      </c>
      <c r="E1329" t="s">
        <v>7881</v>
      </c>
      <c r="G1329" t="s">
        <v>7879</v>
      </c>
      <c r="H1329" t="s">
        <v>1964</v>
      </c>
      <c r="J1329" t="s">
        <v>7882</v>
      </c>
      <c r="L1329" t="s">
        <v>112</v>
      </c>
      <c r="M1329" t="s">
        <v>113</v>
      </c>
      <c r="R1329" t="s">
        <v>7883</v>
      </c>
      <c r="W1329" t="s">
        <v>7881</v>
      </c>
      <c r="X1329" t="s">
        <v>7884</v>
      </c>
      <c r="Y1329" t="s">
        <v>116</v>
      </c>
      <c r="Z1329" t="s">
        <v>117</v>
      </c>
      <c r="AA1329" t="str">
        <f>"14203-1126"</f>
        <v>14203-1126</v>
      </c>
      <c r="AB1329" t="s">
        <v>118</v>
      </c>
      <c r="AC1329" t="s">
        <v>119</v>
      </c>
      <c r="AD1329" t="s">
        <v>113</v>
      </c>
      <c r="AE1329" t="s">
        <v>120</v>
      </c>
      <c r="AG1329" t="s">
        <v>121</v>
      </c>
    </row>
    <row r="1330" spans="1:33" x14ac:dyDescent="0.25">
      <c r="A1330" t="str">
        <f>"1487924957"</f>
        <v>1487924957</v>
      </c>
      <c r="C1330" t="s">
        <v>7885</v>
      </c>
      <c r="G1330" t="s">
        <v>7886</v>
      </c>
      <c r="H1330" t="s">
        <v>351</v>
      </c>
      <c r="K1330" t="s">
        <v>303</v>
      </c>
      <c r="L1330" t="s">
        <v>229</v>
      </c>
      <c r="M1330" t="s">
        <v>113</v>
      </c>
      <c r="R1330" t="s">
        <v>7887</v>
      </c>
      <c r="S1330" t="s">
        <v>409</v>
      </c>
      <c r="T1330" t="s">
        <v>116</v>
      </c>
      <c r="U1330" t="s">
        <v>117</v>
      </c>
      <c r="V1330" t="str">
        <f>"142152814"</f>
        <v>142152814</v>
      </c>
      <c r="AC1330" t="s">
        <v>119</v>
      </c>
      <c r="AD1330" t="s">
        <v>113</v>
      </c>
      <c r="AE1330" t="s">
        <v>306</v>
      </c>
      <c r="AG1330" t="s">
        <v>121</v>
      </c>
    </row>
    <row r="1331" spans="1:33" x14ac:dyDescent="0.25">
      <c r="A1331" t="str">
        <f>"1487931093"</f>
        <v>1487931093</v>
      </c>
      <c r="B1331" t="str">
        <f>"03498919"</f>
        <v>03498919</v>
      </c>
      <c r="C1331" t="s">
        <v>2532</v>
      </c>
      <c r="D1331" t="s">
        <v>7888</v>
      </c>
      <c r="E1331" t="s">
        <v>2534</v>
      </c>
      <c r="G1331" t="s">
        <v>2435</v>
      </c>
      <c r="H1331" t="s">
        <v>2535</v>
      </c>
      <c r="L1331" t="s">
        <v>69</v>
      </c>
      <c r="M1331" t="s">
        <v>113</v>
      </c>
      <c r="R1331" t="s">
        <v>2532</v>
      </c>
      <c r="W1331" t="s">
        <v>2534</v>
      </c>
      <c r="X1331" t="s">
        <v>7889</v>
      </c>
      <c r="Y1331" t="s">
        <v>816</v>
      </c>
      <c r="Z1331" t="s">
        <v>117</v>
      </c>
      <c r="AA1331" t="str">
        <f>"14120-1211"</f>
        <v>14120-1211</v>
      </c>
      <c r="AB1331" t="s">
        <v>1263</v>
      </c>
      <c r="AC1331" t="s">
        <v>119</v>
      </c>
      <c r="AD1331" t="s">
        <v>113</v>
      </c>
      <c r="AE1331" t="s">
        <v>120</v>
      </c>
      <c r="AG1331" t="s">
        <v>121</v>
      </c>
    </row>
    <row r="1332" spans="1:33" x14ac:dyDescent="0.25">
      <c r="A1332" t="str">
        <f>"1497033328"</f>
        <v>1497033328</v>
      </c>
      <c r="B1332" t="str">
        <f>"04353706"</f>
        <v>04353706</v>
      </c>
      <c r="C1332" t="s">
        <v>7890</v>
      </c>
      <c r="D1332" t="s">
        <v>7891</v>
      </c>
      <c r="E1332" t="s">
        <v>7892</v>
      </c>
      <c r="G1332" t="s">
        <v>7890</v>
      </c>
      <c r="H1332" t="s">
        <v>351</v>
      </c>
      <c r="J1332" t="s">
        <v>352</v>
      </c>
      <c r="L1332" t="s">
        <v>112</v>
      </c>
      <c r="M1332" t="s">
        <v>113</v>
      </c>
      <c r="R1332" t="s">
        <v>7893</v>
      </c>
      <c r="W1332" t="s">
        <v>7892</v>
      </c>
      <c r="X1332" t="s">
        <v>7894</v>
      </c>
      <c r="Y1332" t="s">
        <v>116</v>
      </c>
      <c r="Z1332" t="s">
        <v>117</v>
      </c>
      <c r="AA1332" t="str">
        <f>"14214-2648"</f>
        <v>14214-2648</v>
      </c>
      <c r="AB1332" t="s">
        <v>621</v>
      </c>
      <c r="AC1332" t="s">
        <v>119</v>
      </c>
      <c r="AD1332" t="s">
        <v>113</v>
      </c>
      <c r="AE1332" t="s">
        <v>120</v>
      </c>
      <c r="AG1332" t="s">
        <v>121</v>
      </c>
    </row>
    <row r="1333" spans="1:33" x14ac:dyDescent="0.25">
      <c r="A1333" t="str">
        <f>"1497041388"</f>
        <v>1497041388</v>
      </c>
      <c r="B1333" t="str">
        <f>"04335062"</f>
        <v>04335062</v>
      </c>
      <c r="C1333" t="s">
        <v>7895</v>
      </c>
      <c r="D1333" t="s">
        <v>7896</v>
      </c>
      <c r="E1333" t="s">
        <v>7895</v>
      </c>
      <c r="H1333" t="s">
        <v>5045</v>
      </c>
      <c r="L1333" t="s">
        <v>229</v>
      </c>
      <c r="M1333" t="s">
        <v>113</v>
      </c>
      <c r="R1333" t="s">
        <v>7895</v>
      </c>
      <c r="W1333" t="s">
        <v>7897</v>
      </c>
      <c r="X1333" t="s">
        <v>5047</v>
      </c>
      <c r="Y1333" t="s">
        <v>153</v>
      </c>
      <c r="Z1333" t="s">
        <v>117</v>
      </c>
      <c r="AA1333" t="str">
        <f>"14301-1118"</f>
        <v>14301-1118</v>
      </c>
      <c r="AB1333" t="s">
        <v>872</v>
      </c>
      <c r="AC1333" t="s">
        <v>119</v>
      </c>
      <c r="AD1333" t="s">
        <v>113</v>
      </c>
      <c r="AE1333" t="s">
        <v>120</v>
      </c>
      <c r="AG1333" t="s">
        <v>121</v>
      </c>
    </row>
    <row r="1334" spans="1:33" x14ac:dyDescent="0.25">
      <c r="A1334" t="str">
        <f>"1497053037"</f>
        <v>1497053037</v>
      </c>
      <c r="B1334" t="str">
        <f>"03465230"</f>
        <v>03465230</v>
      </c>
      <c r="C1334" t="s">
        <v>7898</v>
      </c>
      <c r="D1334" t="s">
        <v>7899</v>
      </c>
      <c r="E1334" t="s">
        <v>7900</v>
      </c>
      <c r="G1334" t="s">
        <v>1816</v>
      </c>
      <c r="H1334" t="s">
        <v>7901</v>
      </c>
      <c r="J1334" t="s">
        <v>1818</v>
      </c>
      <c r="L1334" t="s">
        <v>150</v>
      </c>
      <c r="M1334" t="s">
        <v>113</v>
      </c>
      <c r="R1334" t="s">
        <v>7902</v>
      </c>
      <c r="W1334" t="s">
        <v>7900</v>
      </c>
      <c r="X1334" t="s">
        <v>1098</v>
      </c>
      <c r="Y1334" t="s">
        <v>305</v>
      </c>
      <c r="Z1334" t="s">
        <v>117</v>
      </c>
      <c r="AA1334" t="str">
        <f>"14760-1513"</f>
        <v>14760-1513</v>
      </c>
      <c r="AB1334" t="s">
        <v>118</v>
      </c>
      <c r="AC1334" t="s">
        <v>119</v>
      </c>
      <c r="AD1334" t="s">
        <v>113</v>
      </c>
      <c r="AE1334" t="s">
        <v>120</v>
      </c>
      <c r="AG1334" t="s">
        <v>121</v>
      </c>
    </row>
    <row r="1335" spans="1:33" x14ac:dyDescent="0.25">
      <c r="A1335" t="str">
        <f>"1497075485"</f>
        <v>1497075485</v>
      </c>
      <c r="B1335" t="str">
        <f>"03627429"</f>
        <v>03627429</v>
      </c>
      <c r="C1335" t="s">
        <v>7903</v>
      </c>
      <c r="D1335" t="s">
        <v>7904</v>
      </c>
      <c r="E1335" t="s">
        <v>7905</v>
      </c>
      <c r="G1335" t="s">
        <v>7903</v>
      </c>
      <c r="H1335" t="s">
        <v>7906</v>
      </c>
      <c r="J1335" t="s">
        <v>7907</v>
      </c>
      <c r="L1335" t="s">
        <v>142</v>
      </c>
      <c r="M1335" t="s">
        <v>113</v>
      </c>
      <c r="R1335" t="s">
        <v>7908</v>
      </c>
      <c r="W1335" t="s">
        <v>7905</v>
      </c>
      <c r="X1335" t="s">
        <v>838</v>
      </c>
      <c r="Y1335" t="s">
        <v>240</v>
      </c>
      <c r="Z1335" t="s">
        <v>117</v>
      </c>
      <c r="AA1335" t="str">
        <f>"14221-3647"</f>
        <v>14221-3647</v>
      </c>
      <c r="AB1335" t="s">
        <v>118</v>
      </c>
      <c r="AC1335" t="s">
        <v>119</v>
      </c>
      <c r="AD1335" t="s">
        <v>113</v>
      </c>
      <c r="AE1335" t="s">
        <v>120</v>
      </c>
      <c r="AG1335" t="s">
        <v>121</v>
      </c>
    </row>
    <row r="1336" spans="1:33" x14ac:dyDescent="0.25">
      <c r="A1336" t="str">
        <f>"1497089460"</f>
        <v>1497089460</v>
      </c>
      <c r="B1336" t="str">
        <f>"03635765"</f>
        <v>03635765</v>
      </c>
      <c r="C1336" t="s">
        <v>7909</v>
      </c>
      <c r="D1336" t="s">
        <v>7910</v>
      </c>
      <c r="E1336" t="s">
        <v>7911</v>
      </c>
      <c r="G1336" t="s">
        <v>7912</v>
      </c>
      <c r="H1336" t="s">
        <v>6458</v>
      </c>
      <c r="J1336" t="s">
        <v>1660</v>
      </c>
      <c r="L1336" t="s">
        <v>150</v>
      </c>
      <c r="M1336" t="s">
        <v>113</v>
      </c>
      <c r="R1336" t="s">
        <v>7913</v>
      </c>
      <c r="W1336" t="s">
        <v>7911</v>
      </c>
      <c r="X1336" t="s">
        <v>7914</v>
      </c>
      <c r="Y1336" t="s">
        <v>541</v>
      </c>
      <c r="Z1336" t="s">
        <v>117</v>
      </c>
      <c r="AA1336" t="str">
        <f>"14048-2515"</f>
        <v>14048-2515</v>
      </c>
      <c r="AB1336" t="s">
        <v>118</v>
      </c>
      <c r="AC1336" t="s">
        <v>119</v>
      </c>
      <c r="AD1336" t="s">
        <v>113</v>
      </c>
      <c r="AE1336" t="s">
        <v>120</v>
      </c>
      <c r="AG1336" t="s">
        <v>121</v>
      </c>
    </row>
    <row r="1337" spans="1:33" x14ac:dyDescent="0.25">
      <c r="A1337" t="str">
        <f>"1497099840"</f>
        <v>1497099840</v>
      </c>
      <c r="C1337" t="s">
        <v>7915</v>
      </c>
      <c r="G1337" t="s">
        <v>7916</v>
      </c>
      <c r="H1337" t="s">
        <v>1115</v>
      </c>
      <c r="J1337" t="s">
        <v>438</v>
      </c>
      <c r="K1337" t="s">
        <v>303</v>
      </c>
      <c r="L1337" t="s">
        <v>112</v>
      </c>
      <c r="M1337" t="s">
        <v>113</v>
      </c>
      <c r="R1337" t="s">
        <v>7917</v>
      </c>
      <c r="S1337" t="s">
        <v>5515</v>
      </c>
      <c r="T1337" t="s">
        <v>1545</v>
      </c>
      <c r="U1337" t="s">
        <v>117</v>
      </c>
      <c r="V1337" t="str">
        <f>"142182708"</f>
        <v>142182708</v>
      </c>
      <c r="AC1337" t="s">
        <v>119</v>
      </c>
      <c r="AD1337" t="s">
        <v>113</v>
      </c>
      <c r="AE1337" t="s">
        <v>306</v>
      </c>
      <c r="AG1337" t="s">
        <v>121</v>
      </c>
    </row>
    <row r="1338" spans="1:33" x14ac:dyDescent="0.25">
      <c r="A1338" t="str">
        <f>"1497157390"</f>
        <v>1497157390</v>
      </c>
      <c r="C1338" t="s">
        <v>7918</v>
      </c>
      <c r="G1338" t="s">
        <v>7918</v>
      </c>
      <c r="H1338" t="s">
        <v>7919</v>
      </c>
      <c r="J1338" t="s">
        <v>438</v>
      </c>
      <c r="K1338" t="s">
        <v>303</v>
      </c>
      <c r="L1338" t="s">
        <v>229</v>
      </c>
      <c r="M1338" t="s">
        <v>113</v>
      </c>
      <c r="R1338" t="s">
        <v>7920</v>
      </c>
      <c r="S1338" t="s">
        <v>6577</v>
      </c>
      <c r="T1338" t="s">
        <v>116</v>
      </c>
      <c r="U1338" t="s">
        <v>117</v>
      </c>
      <c r="V1338" t="str">
        <f>"142121845"</f>
        <v>142121845</v>
      </c>
      <c r="AC1338" t="s">
        <v>119</v>
      </c>
      <c r="AD1338" t="s">
        <v>113</v>
      </c>
      <c r="AE1338" t="s">
        <v>306</v>
      </c>
      <c r="AG1338" t="s">
        <v>121</v>
      </c>
    </row>
    <row r="1339" spans="1:33" x14ac:dyDescent="0.25">
      <c r="A1339" t="str">
        <f>"1497162754"</f>
        <v>1497162754</v>
      </c>
      <c r="B1339" t="str">
        <f>"03954309"</f>
        <v>03954309</v>
      </c>
      <c r="C1339" t="s">
        <v>7921</v>
      </c>
      <c r="D1339" t="s">
        <v>7922</v>
      </c>
      <c r="E1339" t="s">
        <v>7923</v>
      </c>
      <c r="G1339" t="s">
        <v>7924</v>
      </c>
      <c r="H1339" t="s">
        <v>7925</v>
      </c>
      <c r="J1339" t="s">
        <v>7926</v>
      </c>
      <c r="L1339" t="s">
        <v>112</v>
      </c>
      <c r="M1339" t="s">
        <v>113</v>
      </c>
      <c r="R1339" t="s">
        <v>7927</v>
      </c>
      <c r="W1339" t="s">
        <v>7923</v>
      </c>
      <c r="X1339" t="s">
        <v>838</v>
      </c>
      <c r="Y1339" t="s">
        <v>240</v>
      </c>
      <c r="Z1339" t="s">
        <v>117</v>
      </c>
      <c r="AA1339" t="str">
        <f>"14221-3647"</f>
        <v>14221-3647</v>
      </c>
      <c r="AB1339" t="s">
        <v>118</v>
      </c>
      <c r="AC1339" t="s">
        <v>119</v>
      </c>
      <c r="AD1339" t="s">
        <v>113</v>
      </c>
      <c r="AE1339" t="s">
        <v>120</v>
      </c>
      <c r="AG1339" t="s">
        <v>121</v>
      </c>
    </row>
    <row r="1340" spans="1:33" x14ac:dyDescent="0.25">
      <c r="A1340" t="str">
        <f>"1497167902"</f>
        <v>1497167902</v>
      </c>
      <c r="C1340" t="s">
        <v>7928</v>
      </c>
      <c r="G1340" t="s">
        <v>7929</v>
      </c>
      <c r="H1340" t="s">
        <v>443</v>
      </c>
      <c r="J1340" t="s">
        <v>352</v>
      </c>
      <c r="K1340" t="s">
        <v>303</v>
      </c>
      <c r="L1340" t="s">
        <v>229</v>
      </c>
      <c r="M1340" t="s">
        <v>113</v>
      </c>
      <c r="R1340" t="s">
        <v>7930</v>
      </c>
      <c r="S1340" t="s">
        <v>7931</v>
      </c>
      <c r="T1340" t="s">
        <v>116</v>
      </c>
      <c r="U1340" t="s">
        <v>117</v>
      </c>
      <c r="V1340" t="str">
        <f>"142152814"</f>
        <v>142152814</v>
      </c>
      <c r="AC1340" t="s">
        <v>119</v>
      </c>
      <c r="AD1340" t="s">
        <v>113</v>
      </c>
      <c r="AE1340" t="s">
        <v>306</v>
      </c>
      <c r="AG1340" t="s">
        <v>121</v>
      </c>
    </row>
    <row r="1341" spans="1:33" x14ac:dyDescent="0.25">
      <c r="A1341" t="str">
        <f>"1821047010"</f>
        <v>1821047010</v>
      </c>
      <c r="B1341" t="str">
        <f>"01567959"</f>
        <v>01567959</v>
      </c>
      <c r="C1341" t="s">
        <v>7932</v>
      </c>
      <c r="D1341" t="s">
        <v>7933</v>
      </c>
      <c r="E1341" t="s">
        <v>7934</v>
      </c>
      <c r="G1341" t="s">
        <v>7935</v>
      </c>
      <c r="H1341" t="s">
        <v>205</v>
      </c>
      <c r="J1341" t="s">
        <v>7936</v>
      </c>
      <c r="L1341" t="s">
        <v>142</v>
      </c>
      <c r="M1341" t="s">
        <v>113</v>
      </c>
      <c r="R1341" t="s">
        <v>7937</v>
      </c>
      <c r="W1341" t="s">
        <v>7934</v>
      </c>
      <c r="X1341" t="s">
        <v>6289</v>
      </c>
      <c r="Y1341" t="s">
        <v>240</v>
      </c>
      <c r="Z1341" t="s">
        <v>117</v>
      </c>
      <c r="AA1341" t="str">
        <f>"14221-8216"</f>
        <v>14221-8216</v>
      </c>
      <c r="AB1341" t="s">
        <v>118</v>
      </c>
      <c r="AC1341" t="s">
        <v>119</v>
      </c>
      <c r="AD1341" t="s">
        <v>113</v>
      </c>
      <c r="AE1341" t="s">
        <v>120</v>
      </c>
      <c r="AG1341" t="s">
        <v>121</v>
      </c>
    </row>
    <row r="1342" spans="1:33" x14ac:dyDescent="0.25">
      <c r="A1342" t="str">
        <f>"1821053026"</f>
        <v>1821053026</v>
      </c>
      <c r="B1342" t="str">
        <f>"01735506"</f>
        <v>01735506</v>
      </c>
      <c r="C1342" t="s">
        <v>7938</v>
      </c>
      <c r="D1342" t="s">
        <v>7939</v>
      </c>
      <c r="E1342" t="s">
        <v>7940</v>
      </c>
      <c r="G1342" t="s">
        <v>7938</v>
      </c>
      <c r="H1342" t="s">
        <v>3780</v>
      </c>
      <c r="J1342" t="s">
        <v>7941</v>
      </c>
      <c r="L1342" t="s">
        <v>1033</v>
      </c>
      <c r="M1342" t="s">
        <v>113</v>
      </c>
      <c r="R1342" t="s">
        <v>7942</v>
      </c>
      <c r="W1342" t="s">
        <v>7943</v>
      </c>
      <c r="X1342" t="s">
        <v>7944</v>
      </c>
      <c r="Y1342" t="s">
        <v>2946</v>
      </c>
      <c r="Z1342" t="s">
        <v>117</v>
      </c>
      <c r="AA1342" t="str">
        <f>"14075-1870"</f>
        <v>14075-1870</v>
      </c>
      <c r="AB1342" t="s">
        <v>118</v>
      </c>
      <c r="AC1342" t="s">
        <v>119</v>
      </c>
      <c r="AD1342" t="s">
        <v>113</v>
      </c>
      <c r="AE1342" t="s">
        <v>120</v>
      </c>
      <c r="AG1342" t="s">
        <v>121</v>
      </c>
    </row>
    <row r="1343" spans="1:33" x14ac:dyDescent="0.25">
      <c r="A1343" t="str">
        <f>"1821054024"</f>
        <v>1821054024</v>
      </c>
      <c r="B1343" t="str">
        <f>"03075358"</f>
        <v>03075358</v>
      </c>
      <c r="C1343" t="s">
        <v>7945</v>
      </c>
      <c r="D1343" t="s">
        <v>7946</v>
      </c>
      <c r="E1343" t="s">
        <v>7947</v>
      </c>
      <c r="G1343" t="s">
        <v>7948</v>
      </c>
      <c r="H1343" t="s">
        <v>205</v>
      </c>
      <c r="J1343" t="s">
        <v>7949</v>
      </c>
      <c r="L1343" t="s">
        <v>112</v>
      </c>
      <c r="M1343" t="s">
        <v>113</v>
      </c>
      <c r="R1343" t="s">
        <v>7950</v>
      </c>
      <c r="W1343" t="s">
        <v>7951</v>
      </c>
      <c r="X1343" t="s">
        <v>2607</v>
      </c>
      <c r="Y1343" t="s">
        <v>116</v>
      </c>
      <c r="Z1343" t="s">
        <v>117</v>
      </c>
      <c r="AA1343" t="str">
        <f>"14203-1149"</f>
        <v>14203-1149</v>
      </c>
      <c r="AB1343" t="s">
        <v>118</v>
      </c>
      <c r="AC1343" t="s">
        <v>119</v>
      </c>
      <c r="AD1343" t="s">
        <v>113</v>
      </c>
      <c r="AE1343" t="s">
        <v>120</v>
      </c>
      <c r="AG1343" t="s">
        <v>121</v>
      </c>
    </row>
    <row r="1344" spans="1:33" x14ac:dyDescent="0.25">
      <c r="A1344" t="str">
        <f>"1932197449"</f>
        <v>1932197449</v>
      </c>
      <c r="B1344" t="str">
        <f>"00601189"</f>
        <v>00601189</v>
      </c>
      <c r="C1344" t="s">
        <v>7952</v>
      </c>
      <c r="D1344" t="s">
        <v>7953</v>
      </c>
      <c r="E1344" t="s">
        <v>7954</v>
      </c>
      <c r="G1344" t="s">
        <v>7952</v>
      </c>
      <c r="H1344" t="s">
        <v>110</v>
      </c>
      <c r="J1344" t="s">
        <v>7955</v>
      </c>
      <c r="L1344" t="s">
        <v>112</v>
      </c>
      <c r="M1344" t="s">
        <v>113</v>
      </c>
      <c r="R1344" t="s">
        <v>7956</v>
      </c>
      <c r="W1344" t="s">
        <v>7954</v>
      </c>
      <c r="X1344" t="s">
        <v>2607</v>
      </c>
      <c r="Y1344" t="s">
        <v>116</v>
      </c>
      <c r="Z1344" t="s">
        <v>117</v>
      </c>
      <c r="AA1344" t="str">
        <f>"14203-1149"</f>
        <v>14203-1149</v>
      </c>
      <c r="AB1344" t="s">
        <v>118</v>
      </c>
      <c r="AC1344" t="s">
        <v>119</v>
      </c>
      <c r="AD1344" t="s">
        <v>113</v>
      </c>
      <c r="AE1344" t="s">
        <v>120</v>
      </c>
      <c r="AG1344" t="s">
        <v>121</v>
      </c>
    </row>
    <row r="1345" spans="1:33" x14ac:dyDescent="0.25">
      <c r="A1345" t="str">
        <f>"1932200540"</f>
        <v>1932200540</v>
      </c>
      <c r="B1345" t="str">
        <f>"00663098"</f>
        <v>00663098</v>
      </c>
      <c r="C1345" t="s">
        <v>7957</v>
      </c>
      <c r="D1345" t="s">
        <v>7958</v>
      </c>
      <c r="E1345" t="s">
        <v>7959</v>
      </c>
      <c r="G1345" t="s">
        <v>7957</v>
      </c>
      <c r="H1345" t="s">
        <v>7960</v>
      </c>
      <c r="J1345" t="s">
        <v>7961</v>
      </c>
      <c r="L1345" t="s">
        <v>150</v>
      </c>
      <c r="M1345" t="s">
        <v>113</v>
      </c>
      <c r="R1345" t="s">
        <v>7962</v>
      </c>
      <c r="W1345" t="s">
        <v>7963</v>
      </c>
      <c r="X1345" t="s">
        <v>896</v>
      </c>
      <c r="Y1345" t="s">
        <v>116</v>
      </c>
      <c r="Z1345" t="s">
        <v>117</v>
      </c>
      <c r="AA1345" t="str">
        <f>"14203-1154"</f>
        <v>14203-1154</v>
      </c>
      <c r="AB1345" t="s">
        <v>118</v>
      </c>
      <c r="AC1345" t="s">
        <v>119</v>
      </c>
      <c r="AD1345" t="s">
        <v>113</v>
      </c>
      <c r="AE1345" t="s">
        <v>120</v>
      </c>
      <c r="AG1345" t="s">
        <v>121</v>
      </c>
    </row>
    <row r="1346" spans="1:33" x14ac:dyDescent="0.25">
      <c r="A1346" t="str">
        <f>"1932203478"</f>
        <v>1932203478</v>
      </c>
      <c r="B1346" t="str">
        <f>"02780101"</f>
        <v>02780101</v>
      </c>
      <c r="C1346" t="s">
        <v>7964</v>
      </c>
      <c r="D1346" t="s">
        <v>7965</v>
      </c>
      <c r="E1346" t="s">
        <v>7966</v>
      </c>
      <c r="G1346" t="s">
        <v>330</v>
      </c>
      <c r="H1346" t="s">
        <v>3814</v>
      </c>
      <c r="J1346" t="s">
        <v>332</v>
      </c>
      <c r="L1346" t="s">
        <v>142</v>
      </c>
      <c r="M1346" t="s">
        <v>113</v>
      </c>
      <c r="R1346" t="s">
        <v>7967</v>
      </c>
      <c r="W1346" t="s">
        <v>7966</v>
      </c>
      <c r="X1346" t="s">
        <v>7968</v>
      </c>
      <c r="Y1346" t="s">
        <v>240</v>
      </c>
      <c r="Z1346" t="s">
        <v>117</v>
      </c>
      <c r="AA1346" t="str">
        <f>"14221-1200"</f>
        <v>14221-1200</v>
      </c>
      <c r="AB1346" t="s">
        <v>118</v>
      </c>
      <c r="AC1346" t="s">
        <v>119</v>
      </c>
      <c r="AD1346" t="s">
        <v>113</v>
      </c>
      <c r="AE1346" t="s">
        <v>120</v>
      </c>
      <c r="AG1346" t="s">
        <v>121</v>
      </c>
    </row>
    <row r="1347" spans="1:33" x14ac:dyDescent="0.25">
      <c r="A1347" t="str">
        <f>"1932220852"</f>
        <v>1932220852</v>
      </c>
      <c r="B1347" t="str">
        <f>"00707011"</f>
        <v>00707011</v>
      </c>
      <c r="C1347" t="s">
        <v>7969</v>
      </c>
      <c r="D1347" t="s">
        <v>7970</v>
      </c>
      <c r="E1347" t="s">
        <v>7971</v>
      </c>
      <c r="G1347" t="s">
        <v>7972</v>
      </c>
      <c r="L1347" t="s">
        <v>112</v>
      </c>
      <c r="M1347" t="s">
        <v>113</v>
      </c>
      <c r="R1347" t="s">
        <v>7973</v>
      </c>
      <c r="W1347" t="s">
        <v>7974</v>
      </c>
      <c r="X1347" t="s">
        <v>1709</v>
      </c>
      <c r="Y1347" t="s">
        <v>116</v>
      </c>
      <c r="Z1347" t="s">
        <v>117</v>
      </c>
      <c r="AA1347" t="str">
        <f>"14213-1207"</f>
        <v>14213-1207</v>
      </c>
      <c r="AB1347" t="s">
        <v>118</v>
      </c>
      <c r="AC1347" t="s">
        <v>119</v>
      </c>
      <c r="AD1347" t="s">
        <v>113</v>
      </c>
      <c r="AE1347" t="s">
        <v>120</v>
      </c>
      <c r="AG1347" t="s">
        <v>121</v>
      </c>
    </row>
    <row r="1348" spans="1:33" x14ac:dyDescent="0.25">
      <c r="A1348" t="str">
        <f>"1932263746"</f>
        <v>1932263746</v>
      </c>
      <c r="B1348" t="str">
        <f>"00999931"</f>
        <v>00999931</v>
      </c>
      <c r="C1348" t="s">
        <v>4751</v>
      </c>
      <c r="D1348" t="s">
        <v>7975</v>
      </c>
      <c r="E1348" t="s">
        <v>7976</v>
      </c>
      <c r="F1348">
        <v>160968914</v>
      </c>
      <c r="H1348" t="s">
        <v>7977</v>
      </c>
      <c r="L1348" t="s">
        <v>69</v>
      </c>
      <c r="M1348" t="s">
        <v>113</v>
      </c>
      <c r="R1348" t="s">
        <v>4757</v>
      </c>
      <c r="W1348" t="s">
        <v>7976</v>
      </c>
      <c r="X1348" t="s">
        <v>7978</v>
      </c>
      <c r="Y1348" t="s">
        <v>986</v>
      </c>
      <c r="Z1348" t="s">
        <v>117</v>
      </c>
      <c r="AA1348" t="str">
        <f>"14701-5637"</f>
        <v>14701-5637</v>
      </c>
      <c r="AB1348" t="s">
        <v>282</v>
      </c>
      <c r="AC1348" t="s">
        <v>119</v>
      </c>
      <c r="AD1348" t="s">
        <v>113</v>
      </c>
      <c r="AE1348" t="s">
        <v>120</v>
      </c>
      <c r="AG1348" t="s">
        <v>121</v>
      </c>
    </row>
    <row r="1349" spans="1:33" x14ac:dyDescent="0.25">
      <c r="A1349" t="str">
        <f>"1619304128"</f>
        <v>1619304128</v>
      </c>
      <c r="C1349" t="s">
        <v>7979</v>
      </c>
      <c r="G1349" t="s">
        <v>7980</v>
      </c>
      <c r="H1349" t="s">
        <v>806</v>
      </c>
      <c r="J1349" t="s">
        <v>7981</v>
      </c>
      <c r="K1349" t="s">
        <v>303</v>
      </c>
      <c r="L1349" t="s">
        <v>112</v>
      </c>
      <c r="M1349" t="s">
        <v>113</v>
      </c>
      <c r="R1349" t="s">
        <v>7982</v>
      </c>
      <c r="S1349" t="s">
        <v>7983</v>
      </c>
      <c r="T1349" t="s">
        <v>958</v>
      </c>
      <c r="U1349" t="s">
        <v>117</v>
      </c>
      <c r="V1349" t="str">
        <f>"142261727"</f>
        <v>142261727</v>
      </c>
      <c r="AC1349" t="s">
        <v>119</v>
      </c>
      <c r="AD1349" t="s">
        <v>113</v>
      </c>
      <c r="AE1349" t="s">
        <v>306</v>
      </c>
      <c r="AG1349" t="s">
        <v>121</v>
      </c>
    </row>
    <row r="1350" spans="1:33" x14ac:dyDescent="0.25">
      <c r="A1350" t="str">
        <f>"1619307022"</f>
        <v>1619307022</v>
      </c>
      <c r="B1350" t="str">
        <f>"03979435"</f>
        <v>03979435</v>
      </c>
      <c r="C1350" t="s">
        <v>7984</v>
      </c>
      <c r="D1350" t="s">
        <v>7985</v>
      </c>
      <c r="E1350" t="s">
        <v>7984</v>
      </c>
      <c r="G1350" t="s">
        <v>7986</v>
      </c>
      <c r="H1350" t="s">
        <v>6733</v>
      </c>
      <c r="J1350" t="s">
        <v>7987</v>
      </c>
      <c r="L1350" t="s">
        <v>1143</v>
      </c>
      <c r="M1350" t="s">
        <v>113</v>
      </c>
      <c r="R1350" t="s">
        <v>7984</v>
      </c>
      <c r="W1350" t="s">
        <v>7988</v>
      </c>
      <c r="X1350" t="s">
        <v>7989</v>
      </c>
      <c r="Y1350" t="s">
        <v>116</v>
      </c>
      <c r="Z1350" t="s">
        <v>117</v>
      </c>
      <c r="AA1350" t="str">
        <f>"14211-1616"</f>
        <v>14211-1616</v>
      </c>
      <c r="AB1350" t="s">
        <v>1146</v>
      </c>
      <c r="AC1350" t="s">
        <v>119</v>
      </c>
      <c r="AD1350" t="s">
        <v>113</v>
      </c>
      <c r="AE1350" t="s">
        <v>120</v>
      </c>
      <c r="AG1350" t="s">
        <v>121</v>
      </c>
    </row>
    <row r="1351" spans="1:33" x14ac:dyDescent="0.25">
      <c r="A1351" t="str">
        <f>"1619317765"</f>
        <v>1619317765</v>
      </c>
      <c r="C1351" t="s">
        <v>7990</v>
      </c>
      <c r="G1351" t="s">
        <v>7990</v>
      </c>
      <c r="H1351" t="s">
        <v>7991</v>
      </c>
      <c r="J1351" t="s">
        <v>7992</v>
      </c>
      <c r="K1351" t="s">
        <v>303</v>
      </c>
      <c r="L1351" t="s">
        <v>229</v>
      </c>
      <c r="M1351" t="s">
        <v>113</v>
      </c>
      <c r="R1351" t="s">
        <v>7993</v>
      </c>
      <c r="S1351" t="s">
        <v>1709</v>
      </c>
      <c r="T1351" t="s">
        <v>116</v>
      </c>
      <c r="U1351" t="s">
        <v>117</v>
      </c>
      <c r="V1351" t="str">
        <f>"142131207"</f>
        <v>142131207</v>
      </c>
      <c r="AC1351" t="s">
        <v>119</v>
      </c>
      <c r="AD1351" t="s">
        <v>113</v>
      </c>
      <c r="AE1351" t="s">
        <v>306</v>
      </c>
      <c r="AG1351" t="s">
        <v>121</v>
      </c>
    </row>
    <row r="1352" spans="1:33" x14ac:dyDescent="0.25">
      <c r="A1352" t="str">
        <f>"1619370038"</f>
        <v>1619370038</v>
      </c>
      <c r="C1352" t="s">
        <v>7994</v>
      </c>
      <c r="G1352" t="s">
        <v>7995</v>
      </c>
      <c r="H1352" t="s">
        <v>590</v>
      </c>
      <c r="J1352" t="s">
        <v>7996</v>
      </c>
      <c r="K1352" t="s">
        <v>303</v>
      </c>
      <c r="L1352" t="s">
        <v>112</v>
      </c>
      <c r="M1352" t="s">
        <v>113</v>
      </c>
      <c r="R1352" t="s">
        <v>7997</v>
      </c>
      <c r="S1352" t="s">
        <v>605</v>
      </c>
      <c r="T1352" t="s">
        <v>326</v>
      </c>
      <c r="U1352" t="s">
        <v>117</v>
      </c>
      <c r="V1352" t="str">
        <f>"141272600"</f>
        <v>141272600</v>
      </c>
      <c r="AC1352" t="s">
        <v>119</v>
      </c>
      <c r="AD1352" t="s">
        <v>113</v>
      </c>
      <c r="AE1352" t="s">
        <v>306</v>
      </c>
      <c r="AG1352" t="s">
        <v>121</v>
      </c>
    </row>
    <row r="1353" spans="1:33" x14ac:dyDescent="0.25">
      <c r="A1353" t="str">
        <f>"1619903200"</f>
        <v>1619903200</v>
      </c>
      <c r="B1353" t="str">
        <f>"02626057"</f>
        <v>02626057</v>
      </c>
      <c r="C1353" t="s">
        <v>7998</v>
      </c>
      <c r="D1353" t="s">
        <v>7999</v>
      </c>
      <c r="E1353" t="s">
        <v>8000</v>
      </c>
      <c r="G1353" t="s">
        <v>8001</v>
      </c>
      <c r="H1353" t="s">
        <v>4847</v>
      </c>
      <c r="J1353" t="s">
        <v>8002</v>
      </c>
      <c r="L1353" t="s">
        <v>142</v>
      </c>
      <c r="M1353" t="s">
        <v>113</v>
      </c>
      <c r="R1353" t="s">
        <v>8003</v>
      </c>
      <c r="W1353" t="s">
        <v>8000</v>
      </c>
      <c r="AB1353" t="s">
        <v>118</v>
      </c>
      <c r="AC1353" t="s">
        <v>119</v>
      </c>
      <c r="AD1353" t="s">
        <v>113</v>
      </c>
      <c r="AE1353" t="s">
        <v>120</v>
      </c>
      <c r="AG1353" t="s">
        <v>121</v>
      </c>
    </row>
    <row r="1354" spans="1:33" x14ac:dyDescent="0.25">
      <c r="A1354" t="str">
        <f>"1619904612"</f>
        <v>1619904612</v>
      </c>
      <c r="B1354" t="str">
        <f>"00705702"</f>
        <v>00705702</v>
      </c>
      <c r="C1354" t="s">
        <v>8004</v>
      </c>
      <c r="D1354" t="s">
        <v>8005</v>
      </c>
      <c r="E1354" t="s">
        <v>8006</v>
      </c>
      <c r="G1354" t="s">
        <v>8004</v>
      </c>
      <c r="H1354" t="s">
        <v>8007</v>
      </c>
      <c r="J1354" t="s">
        <v>8008</v>
      </c>
      <c r="L1354" t="s">
        <v>142</v>
      </c>
      <c r="M1354" t="s">
        <v>113</v>
      </c>
      <c r="R1354" t="s">
        <v>8009</v>
      </c>
      <c r="W1354" t="s">
        <v>8010</v>
      </c>
      <c r="X1354" t="s">
        <v>6154</v>
      </c>
      <c r="Y1354" t="s">
        <v>240</v>
      </c>
      <c r="Z1354" t="s">
        <v>117</v>
      </c>
      <c r="AA1354" t="str">
        <f>"14221-7717"</f>
        <v>14221-7717</v>
      </c>
      <c r="AB1354" t="s">
        <v>118</v>
      </c>
      <c r="AC1354" t="s">
        <v>119</v>
      </c>
      <c r="AD1354" t="s">
        <v>113</v>
      </c>
      <c r="AE1354" t="s">
        <v>120</v>
      </c>
      <c r="AG1354" t="s">
        <v>121</v>
      </c>
    </row>
    <row r="1355" spans="1:33" x14ac:dyDescent="0.25">
      <c r="A1355" t="str">
        <f>"1619918190"</f>
        <v>1619918190</v>
      </c>
      <c r="B1355" t="str">
        <f>"02776612"</f>
        <v>02776612</v>
      </c>
      <c r="C1355" t="s">
        <v>8011</v>
      </c>
      <c r="D1355" t="s">
        <v>8012</v>
      </c>
      <c r="E1355" t="s">
        <v>8013</v>
      </c>
      <c r="G1355" t="s">
        <v>8011</v>
      </c>
      <c r="H1355" t="s">
        <v>8014</v>
      </c>
      <c r="J1355" t="s">
        <v>8015</v>
      </c>
      <c r="L1355" t="s">
        <v>142</v>
      </c>
      <c r="M1355" t="s">
        <v>113</v>
      </c>
      <c r="R1355" t="s">
        <v>8016</v>
      </c>
      <c r="W1355" t="s">
        <v>8013</v>
      </c>
      <c r="X1355" t="s">
        <v>8017</v>
      </c>
      <c r="Y1355" t="s">
        <v>318</v>
      </c>
      <c r="Z1355" t="s">
        <v>117</v>
      </c>
      <c r="AA1355" t="str">
        <f>"14225-1080"</f>
        <v>14225-1080</v>
      </c>
      <c r="AB1355" t="s">
        <v>118</v>
      </c>
      <c r="AC1355" t="s">
        <v>119</v>
      </c>
      <c r="AD1355" t="s">
        <v>113</v>
      </c>
      <c r="AE1355" t="s">
        <v>120</v>
      </c>
      <c r="AG1355" t="s">
        <v>121</v>
      </c>
    </row>
    <row r="1356" spans="1:33" x14ac:dyDescent="0.25">
      <c r="A1356" t="str">
        <f>"1619920428"</f>
        <v>1619920428</v>
      </c>
      <c r="B1356" t="str">
        <f>"02187295"</f>
        <v>02187295</v>
      </c>
      <c r="C1356" t="s">
        <v>8018</v>
      </c>
      <c r="D1356" t="s">
        <v>8019</v>
      </c>
      <c r="E1356" t="s">
        <v>8020</v>
      </c>
      <c r="L1356" t="s">
        <v>142</v>
      </c>
      <c r="M1356" t="s">
        <v>113</v>
      </c>
      <c r="R1356" t="s">
        <v>8021</v>
      </c>
      <c r="W1356" t="s">
        <v>8020</v>
      </c>
      <c r="X1356" t="s">
        <v>1648</v>
      </c>
      <c r="Y1356" t="s">
        <v>116</v>
      </c>
      <c r="Z1356" t="s">
        <v>117</v>
      </c>
      <c r="AA1356" t="str">
        <f>"14214-2648"</f>
        <v>14214-2648</v>
      </c>
      <c r="AB1356" t="s">
        <v>118</v>
      </c>
      <c r="AC1356" t="s">
        <v>119</v>
      </c>
      <c r="AD1356" t="s">
        <v>113</v>
      </c>
      <c r="AE1356" t="s">
        <v>120</v>
      </c>
      <c r="AG1356" t="s">
        <v>121</v>
      </c>
    </row>
    <row r="1357" spans="1:33" x14ac:dyDescent="0.25">
      <c r="A1357" t="str">
        <f>"1619921194"</f>
        <v>1619921194</v>
      </c>
      <c r="B1357" t="str">
        <f>"01253474"</f>
        <v>01253474</v>
      </c>
      <c r="C1357" t="s">
        <v>8022</v>
      </c>
      <c r="D1357" t="s">
        <v>8023</v>
      </c>
      <c r="E1357" t="s">
        <v>8024</v>
      </c>
      <c r="G1357" t="s">
        <v>8022</v>
      </c>
      <c r="H1357" t="s">
        <v>5207</v>
      </c>
      <c r="J1357" t="s">
        <v>8025</v>
      </c>
      <c r="L1357" t="s">
        <v>150</v>
      </c>
      <c r="M1357" t="s">
        <v>199</v>
      </c>
      <c r="R1357" t="s">
        <v>8026</v>
      </c>
      <c r="W1357" t="s">
        <v>8024</v>
      </c>
      <c r="X1357" t="s">
        <v>8027</v>
      </c>
      <c r="Y1357" t="s">
        <v>116</v>
      </c>
      <c r="Z1357" t="s">
        <v>117</v>
      </c>
      <c r="AA1357" t="str">
        <f>"14215-3098"</f>
        <v>14215-3098</v>
      </c>
      <c r="AB1357" t="s">
        <v>118</v>
      </c>
      <c r="AC1357" t="s">
        <v>119</v>
      </c>
      <c r="AD1357" t="s">
        <v>113</v>
      </c>
      <c r="AE1357" t="s">
        <v>120</v>
      </c>
      <c r="AG1357" t="s">
        <v>121</v>
      </c>
    </row>
    <row r="1358" spans="1:33" x14ac:dyDescent="0.25">
      <c r="A1358" t="str">
        <f>"1619949963"</f>
        <v>1619949963</v>
      </c>
      <c r="B1358" t="str">
        <f>"01244857"</f>
        <v>01244857</v>
      </c>
      <c r="C1358" t="s">
        <v>8028</v>
      </c>
      <c r="D1358" t="s">
        <v>8029</v>
      </c>
      <c r="E1358" t="s">
        <v>8030</v>
      </c>
      <c r="G1358" t="s">
        <v>8028</v>
      </c>
      <c r="H1358" t="s">
        <v>559</v>
      </c>
      <c r="J1358" t="s">
        <v>8031</v>
      </c>
      <c r="L1358" t="s">
        <v>142</v>
      </c>
      <c r="M1358" t="s">
        <v>113</v>
      </c>
      <c r="R1358" t="s">
        <v>8032</v>
      </c>
      <c r="W1358" t="s">
        <v>8030</v>
      </c>
      <c r="X1358" t="s">
        <v>8033</v>
      </c>
      <c r="Y1358" t="s">
        <v>116</v>
      </c>
      <c r="Z1358" t="s">
        <v>117</v>
      </c>
      <c r="AA1358" t="str">
        <f>"14214-8001"</f>
        <v>14214-8001</v>
      </c>
      <c r="AB1358" t="s">
        <v>118</v>
      </c>
      <c r="AC1358" t="s">
        <v>119</v>
      </c>
      <c r="AD1358" t="s">
        <v>113</v>
      </c>
      <c r="AE1358" t="s">
        <v>120</v>
      </c>
      <c r="AG1358" t="s">
        <v>121</v>
      </c>
    </row>
    <row r="1359" spans="1:33" x14ac:dyDescent="0.25">
      <c r="A1359" t="str">
        <f>"1619958816"</f>
        <v>1619958816</v>
      </c>
      <c r="B1359" t="str">
        <f>"01772027"</f>
        <v>01772027</v>
      </c>
      <c r="C1359" t="s">
        <v>8034</v>
      </c>
      <c r="D1359" t="s">
        <v>8035</v>
      </c>
      <c r="E1359" t="s">
        <v>8036</v>
      </c>
      <c r="G1359" t="s">
        <v>8034</v>
      </c>
      <c r="H1359" t="s">
        <v>8037</v>
      </c>
      <c r="J1359" t="s">
        <v>8038</v>
      </c>
      <c r="L1359" t="s">
        <v>142</v>
      </c>
      <c r="M1359" t="s">
        <v>113</v>
      </c>
      <c r="R1359" t="s">
        <v>8039</v>
      </c>
      <c r="W1359" t="s">
        <v>8036</v>
      </c>
      <c r="X1359" t="s">
        <v>176</v>
      </c>
      <c r="Y1359" t="s">
        <v>116</v>
      </c>
      <c r="Z1359" t="s">
        <v>117</v>
      </c>
      <c r="AA1359" t="str">
        <f>"14203-1126"</f>
        <v>14203-1126</v>
      </c>
      <c r="AB1359" t="s">
        <v>118</v>
      </c>
      <c r="AC1359" t="s">
        <v>119</v>
      </c>
      <c r="AD1359" t="s">
        <v>113</v>
      </c>
      <c r="AE1359" t="s">
        <v>120</v>
      </c>
      <c r="AG1359" t="s">
        <v>121</v>
      </c>
    </row>
    <row r="1360" spans="1:33" x14ac:dyDescent="0.25">
      <c r="A1360" t="str">
        <f>"1619962560"</f>
        <v>1619962560</v>
      </c>
      <c r="B1360" t="str">
        <f>"01608002"</f>
        <v>01608002</v>
      </c>
      <c r="C1360" t="s">
        <v>8040</v>
      </c>
      <c r="D1360" t="s">
        <v>8041</v>
      </c>
      <c r="E1360" t="s">
        <v>8042</v>
      </c>
      <c r="G1360" t="s">
        <v>8040</v>
      </c>
      <c r="H1360" t="s">
        <v>8043</v>
      </c>
      <c r="J1360" t="s">
        <v>8044</v>
      </c>
      <c r="L1360" t="s">
        <v>142</v>
      </c>
      <c r="M1360" t="s">
        <v>113</v>
      </c>
      <c r="R1360" t="s">
        <v>8045</v>
      </c>
      <c r="W1360" t="s">
        <v>8046</v>
      </c>
      <c r="X1360" t="s">
        <v>3887</v>
      </c>
      <c r="Y1360" t="s">
        <v>129</v>
      </c>
      <c r="Z1360" t="s">
        <v>117</v>
      </c>
      <c r="AA1360" t="str">
        <f>"14224-3444"</f>
        <v>14224-3444</v>
      </c>
      <c r="AB1360" t="s">
        <v>118</v>
      </c>
      <c r="AC1360" t="s">
        <v>119</v>
      </c>
      <c r="AD1360" t="s">
        <v>113</v>
      </c>
      <c r="AE1360" t="s">
        <v>120</v>
      </c>
      <c r="AG1360" t="s">
        <v>121</v>
      </c>
    </row>
    <row r="1361" spans="1:33" x14ac:dyDescent="0.25">
      <c r="A1361" t="str">
        <f>"1750345930"</f>
        <v>1750345930</v>
      </c>
      <c r="B1361" t="str">
        <f>"00758329"</f>
        <v>00758329</v>
      </c>
      <c r="C1361" t="s">
        <v>8047</v>
      </c>
      <c r="D1361" t="s">
        <v>8048</v>
      </c>
      <c r="E1361" t="s">
        <v>8049</v>
      </c>
      <c r="G1361" t="s">
        <v>8047</v>
      </c>
      <c r="H1361" t="s">
        <v>8050</v>
      </c>
      <c r="J1361" t="s">
        <v>8051</v>
      </c>
      <c r="L1361" t="s">
        <v>1033</v>
      </c>
      <c r="M1361" t="s">
        <v>113</v>
      </c>
      <c r="R1361" t="s">
        <v>8052</v>
      </c>
      <c r="W1361" t="s">
        <v>8049</v>
      </c>
      <c r="X1361" t="s">
        <v>8053</v>
      </c>
      <c r="Y1361" t="s">
        <v>116</v>
      </c>
      <c r="Z1361" t="s">
        <v>117</v>
      </c>
      <c r="AA1361" t="str">
        <f>"14208-2221"</f>
        <v>14208-2221</v>
      </c>
      <c r="AB1361" t="s">
        <v>118</v>
      </c>
      <c r="AC1361" t="s">
        <v>119</v>
      </c>
      <c r="AD1361" t="s">
        <v>113</v>
      </c>
      <c r="AE1361" t="s">
        <v>120</v>
      </c>
      <c r="AG1361" t="s">
        <v>121</v>
      </c>
    </row>
    <row r="1362" spans="1:33" x14ac:dyDescent="0.25">
      <c r="A1362" t="str">
        <f>"1750347068"</f>
        <v>1750347068</v>
      </c>
      <c r="B1362" t="str">
        <f>"01123422"</f>
        <v>01123422</v>
      </c>
      <c r="C1362" t="s">
        <v>8054</v>
      </c>
      <c r="D1362" t="s">
        <v>8055</v>
      </c>
      <c r="E1362" t="s">
        <v>8056</v>
      </c>
      <c r="G1362" t="s">
        <v>8057</v>
      </c>
      <c r="H1362" t="s">
        <v>8058</v>
      </c>
      <c r="J1362" t="s">
        <v>8059</v>
      </c>
      <c r="L1362" t="s">
        <v>142</v>
      </c>
      <c r="M1362" t="s">
        <v>113</v>
      </c>
      <c r="R1362" t="s">
        <v>8060</v>
      </c>
      <c r="W1362" t="s">
        <v>8061</v>
      </c>
      <c r="X1362" t="s">
        <v>176</v>
      </c>
      <c r="Y1362" t="s">
        <v>116</v>
      </c>
      <c r="Z1362" t="s">
        <v>117</v>
      </c>
      <c r="AA1362" t="str">
        <f>"14203-1126"</f>
        <v>14203-1126</v>
      </c>
      <c r="AB1362" t="s">
        <v>118</v>
      </c>
      <c r="AC1362" t="s">
        <v>119</v>
      </c>
      <c r="AD1362" t="s">
        <v>113</v>
      </c>
      <c r="AE1362" t="s">
        <v>120</v>
      </c>
      <c r="AG1362" t="s">
        <v>121</v>
      </c>
    </row>
    <row r="1363" spans="1:33" x14ac:dyDescent="0.25">
      <c r="A1363" t="str">
        <f>"1407081102"</f>
        <v>1407081102</v>
      </c>
      <c r="C1363" t="s">
        <v>8062</v>
      </c>
      <c r="G1363" t="s">
        <v>8062</v>
      </c>
      <c r="H1363" t="s">
        <v>6106</v>
      </c>
      <c r="J1363" t="s">
        <v>8063</v>
      </c>
      <c r="K1363" t="s">
        <v>303</v>
      </c>
      <c r="L1363" t="s">
        <v>112</v>
      </c>
      <c r="M1363" t="s">
        <v>113</v>
      </c>
      <c r="R1363" t="s">
        <v>8064</v>
      </c>
      <c r="S1363" t="s">
        <v>8065</v>
      </c>
      <c r="T1363" t="s">
        <v>663</v>
      </c>
      <c r="U1363" t="s">
        <v>117</v>
      </c>
      <c r="V1363" t="str">
        <f>"140941854"</f>
        <v>140941854</v>
      </c>
      <c r="AC1363" t="s">
        <v>119</v>
      </c>
      <c r="AD1363" t="s">
        <v>113</v>
      </c>
      <c r="AE1363" t="s">
        <v>306</v>
      </c>
      <c r="AG1363" t="s">
        <v>121</v>
      </c>
    </row>
    <row r="1364" spans="1:33" x14ac:dyDescent="0.25">
      <c r="A1364" t="str">
        <f>"1407102908"</f>
        <v>1407102908</v>
      </c>
      <c r="B1364" t="str">
        <f>"03487276"</f>
        <v>03487276</v>
      </c>
      <c r="C1364" t="s">
        <v>8066</v>
      </c>
      <c r="D1364" t="s">
        <v>8067</v>
      </c>
      <c r="E1364" t="s">
        <v>8068</v>
      </c>
      <c r="G1364" t="s">
        <v>8069</v>
      </c>
      <c r="H1364" t="s">
        <v>8070</v>
      </c>
      <c r="L1364" t="s">
        <v>728</v>
      </c>
      <c r="M1364" t="s">
        <v>113</v>
      </c>
      <c r="R1364" t="s">
        <v>8069</v>
      </c>
      <c r="W1364" t="s">
        <v>8068</v>
      </c>
      <c r="X1364" t="s">
        <v>6443</v>
      </c>
      <c r="Y1364" t="s">
        <v>1562</v>
      </c>
      <c r="Z1364" t="s">
        <v>117</v>
      </c>
      <c r="AA1364" t="str">
        <f>"14047-9591"</f>
        <v>14047-9591</v>
      </c>
      <c r="AB1364" t="s">
        <v>118</v>
      </c>
      <c r="AC1364" t="s">
        <v>119</v>
      </c>
      <c r="AD1364" t="s">
        <v>113</v>
      </c>
      <c r="AE1364" t="s">
        <v>120</v>
      </c>
      <c r="AG1364" t="s">
        <v>121</v>
      </c>
    </row>
    <row r="1365" spans="1:33" x14ac:dyDescent="0.25">
      <c r="A1365" t="str">
        <f>"1407108608"</f>
        <v>1407108608</v>
      </c>
      <c r="B1365" t="str">
        <f>"03508321"</f>
        <v>03508321</v>
      </c>
      <c r="C1365" t="s">
        <v>8071</v>
      </c>
      <c r="D1365" t="s">
        <v>8072</v>
      </c>
      <c r="E1365" t="s">
        <v>8073</v>
      </c>
      <c r="G1365" t="s">
        <v>8071</v>
      </c>
      <c r="H1365" t="s">
        <v>3807</v>
      </c>
      <c r="J1365" t="s">
        <v>8074</v>
      </c>
      <c r="L1365" t="s">
        <v>112</v>
      </c>
      <c r="M1365" t="s">
        <v>113</v>
      </c>
      <c r="R1365" t="s">
        <v>8073</v>
      </c>
      <c r="W1365" t="s">
        <v>8073</v>
      </c>
      <c r="X1365" t="s">
        <v>216</v>
      </c>
      <c r="Y1365" t="s">
        <v>116</v>
      </c>
      <c r="Z1365" t="s">
        <v>117</v>
      </c>
      <c r="AA1365" t="str">
        <f>"14222-2006"</f>
        <v>14222-2006</v>
      </c>
      <c r="AB1365" t="s">
        <v>118</v>
      </c>
      <c r="AC1365" t="s">
        <v>119</v>
      </c>
      <c r="AD1365" t="s">
        <v>113</v>
      </c>
      <c r="AE1365" t="s">
        <v>120</v>
      </c>
      <c r="AG1365" t="s">
        <v>121</v>
      </c>
    </row>
    <row r="1366" spans="1:33" x14ac:dyDescent="0.25">
      <c r="A1366" t="str">
        <f>"1407109804"</f>
        <v>1407109804</v>
      </c>
      <c r="C1366" t="s">
        <v>8075</v>
      </c>
      <c r="G1366" t="s">
        <v>8076</v>
      </c>
      <c r="H1366" t="s">
        <v>937</v>
      </c>
      <c r="J1366" t="s">
        <v>8077</v>
      </c>
      <c r="K1366" t="s">
        <v>303</v>
      </c>
      <c r="L1366" t="s">
        <v>229</v>
      </c>
      <c r="M1366" t="s">
        <v>113</v>
      </c>
      <c r="R1366" t="s">
        <v>8078</v>
      </c>
      <c r="S1366" t="s">
        <v>3739</v>
      </c>
      <c r="T1366" t="s">
        <v>240</v>
      </c>
      <c r="U1366" t="s">
        <v>117</v>
      </c>
      <c r="V1366" t="str">
        <f>"142216728"</f>
        <v>142216728</v>
      </c>
      <c r="AC1366" t="s">
        <v>119</v>
      </c>
      <c r="AD1366" t="s">
        <v>113</v>
      </c>
      <c r="AE1366" t="s">
        <v>306</v>
      </c>
      <c r="AG1366" t="s">
        <v>121</v>
      </c>
    </row>
    <row r="1367" spans="1:33" x14ac:dyDescent="0.25">
      <c r="A1367" t="str">
        <f>"1407126261"</f>
        <v>1407126261</v>
      </c>
      <c r="B1367" t="str">
        <f>"03530994"</f>
        <v>03530994</v>
      </c>
      <c r="C1367" t="s">
        <v>8079</v>
      </c>
      <c r="D1367" t="s">
        <v>8080</v>
      </c>
      <c r="E1367" t="s">
        <v>8081</v>
      </c>
      <c r="G1367" t="s">
        <v>8082</v>
      </c>
      <c r="H1367" t="s">
        <v>590</v>
      </c>
      <c r="J1367" t="s">
        <v>8083</v>
      </c>
      <c r="L1367" t="s">
        <v>112</v>
      </c>
      <c r="M1367" t="s">
        <v>113</v>
      </c>
      <c r="R1367" t="s">
        <v>8081</v>
      </c>
      <c r="W1367" t="s">
        <v>8081</v>
      </c>
      <c r="X1367" t="s">
        <v>3004</v>
      </c>
      <c r="Y1367" t="s">
        <v>116</v>
      </c>
      <c r="Z1367" t="s">
        <v>117</v>
      </c>
      <c r="AA1367" t="str">
        <f>"14209-2111"</f>
        <v>14209-2111</v>
      </c>
      <c r="AB1367" t="s">
        <v>528</v>
      </c>
      <c r="AC1367" t="s">
        <v>119</v>
      </c>
      <c r="AD1367" t="s">
        <v>113</v>
      </c>
      <c r="AE1367" t="s">
        <v>120</v>
      </c>
      <c r="AG1367" t="s">
        <v>121</v>
      </c>
    </row>
    <row r="1368" spans="1:33" x14ac:dyDescent="0.25">
      <c r="A1368" t="str">
        <f>"1407160997"</f>
        <v>1407160997</v>
      </c>
      <c r="B1368" t="str">
        <f>"03278984"</f>
        <v>03278984</v>
      </c>
      <c r="C1368" t="s">
        <v>8084</v>
      </c>
      <c r="D1368" t="s">
        <v>8085</v>
      </c>
      <c r="E1368" t="s">
        <v>8086</v>
      </c>
      <c r="G1368" t="s">
        <v>8084</v>
      </c>
      <c r="H1368" t="s">
        <v>449</v>
      </c>
      <c r="J1368" t="s">
        <v>8087</v>
      </c>
      <c r="L1368" t="s">
        <v>142</v>
      </c>
      <c r="M1368" t="s">
        <v>113</v>
      </c>
      <c r="R1368" t="s">
        <v>8088</v>
      </c>
      <c r="W1368" t="s">
        <v>8086</v>
      </c>
      <c r="X1368" t="s">
        <v>176</v>
      </c>
      <c r="Y1368" t="s">
        <v>116</v>
      </c>
      <c r="Z1368" t="s">
        <v>117</v>
      </c>
      <c r="AA1368" t="str">
        <f>"14203-1126"</f>
        <v>14203-1126</v>
      </c>
      <c r="AB1368" t="s">
        <v>118</v>
      </c>
      <c r="AC1368" t="s">
        <v>119</v>
      </c>
      <c r="AD1368" t="s">
        <v>113</v>
      </c>
      <c r="AE1368" t="s">
        <v>120</v>
      </c>
      <c r="AG1368" t="s">
        <v>121</v>
      </c>
    </row>
    <row r="1369" spans="1:33" x14ac:dyDescent="0.25">
      <c r="A1369" t="str">
        <f>"1407169394"</f>
        <v>1407169394</v>
      </c>
      <c r="C1369" t="s">
        <v>8089</v>
      </c>
      <c r="G1369" t="s">
        <v>8089</v>
      </c>
      <c r="J1369" t="s">
        <v>8090</v>
      </c>
      <c r="K1369" t="s">
        <v>303</v>
      </c>
      <c r="L1369" t="s">
        <v>112</v>
      </c>
      <c r="M1369" t="s">
        <v>113</v>
      </c>
      <c r="R1369" t="s">
        <v>8091</v>
      </c>
      <c r="S1369" t="s">
        <v>8092</v>
      </c>
      <c r="T1369" t="s">
        <v>663</v>
      </c>
      <c r="U1369" t="s">
        <v>117</v>
      </c>
      <c r="V1369" t="str">
        <f>"140941854"</f>
        <v>140941854</v>
      </c>
      <c r="AC1369" t="s">
        <v>119</v>
      </c>
      <c r="AD1369" t="s">
        <v>113</v>
      </c>
      <c r="AE1369" t="s">
        <v>306</v>
      </c>
      <c r="AG1369" t="s">
        <v>121</v>
      </c>
    </row>
    <row r="1370" spans="1:33" x14ac:dyDescent="0.25">
      <c r="A1370" t="str">
        <f>"1407172323"</f>
        <v>1407172323</v>
      </c>
      <c r="B1370" t="str">
        <f>"03931808"</f>
        <v>03931808</v>
      </c>
      <c r="C1370" t="s">
        <v>8093</v>
      </c>
      <c r="D1370" t="s">
        <v>8094</v>
      </c>
      <c r="E1370" t="s">
        <v>8095</v>
      </c>
      <c r="G1370" t="s">
        <v>8093</v>
      </c>
      <c r="H1370" t="s">
        <v>8096</v>
      </c>
      <c r="J1370" t="s">
        <v>8097</v>
      </c>
      <c r="L1370" t="s">
        <v>112</v>
      </c>
      <c r="M1370" t="s">
        <v>113</v>
      </c>
      <c r="R1370" t="s">
        <v>8098</v>
      </c>
      <c r="W1370" t="s">
        <v>8095</v>
      </c>
      <c r="X1370" t="s">
        <v>8099</v>
      </c>
      <c r="Y1370" t="s">
        <v>116</v>
      </c>
      <c r="Z1370" t="s">
        <v>117</v>
      </c>
      <c r="AA1370" t="str">
        <f>"14209-1401"</f>
        <v>14209-1401</v>
      </c>
      <c r="AB1370" t="s">
        <v>118</v>
      </c>
      <c r="AC1370" t="s">
        <v>119</v>
      </c>
      <c r="AD1370" t="s">
        <v>113</v>
      </c>
      <c r="AE1370" t="s">
        <v>120</v>
      </c>
      <c r="AG1370" t="s">
        <v>121</v>
      </c>
    </row>
    <row r="1371" spans="1:33" x14ac:dyDescent="0.25">
      <c r="A1371" t="str">
        <f>"1104010347"</f>
        <v>1104010347</v>
      </c>
      <c r="B1371" t="str">
        <f>"00353553"</f>
        <v>00353553</v>
      </c>
      <c r="C1371" t="s">
        <v>8100</v>
      </c>
      <c r="D1371" t="s">
        <v>8101</v>
      </c>
      <c r="E1371" t="s">
        <v>8102</v>
      </c>
      <c r="H1371" t="s">
        <v>8103</v>
      </c>
      <c r="L1371" t="s">
        <v>229</v>
      </c>
      <c r="M1371" t="s">
        <v>199</v>
      </c>
      <c r="R1371" t="s">
        <v>8100</v>
      </c>
      <c r="W1371" t="s">
        <v>8102</v>
      </c>
      <c r="X1371" t="s">
        <v>8104</v>
      </c>
      <c r="Y1371" t="s">
        <v>5675</v>
      </c>
      <c r="Z1371" t="s">
        <v>117</v>
      </c>
      <c r="AA1371" t="str">
        <f>"14772-9696"</f>
        <v>14772-9696</v>
      </c>
      <c r="AB1371" t="s">
        <v>5427</v>
      </c>
      <c r="AC1371" t="s">
        <v>119</v>
      </c>
      <c r="AD1371" t="s">
        <v>113</v>
      </c>
      <c r="AE1371" t="s">
        <v>120</v>
      </c>
      <c r="AG1371" t="s">
        <v>121</v>
      </c>
    </row>
    <row r="1372" spans="1:33" x14ac:dyDescent="0.25">
      <c r="A1372" t="str">
        <f>"1104034545"</f>
        <v>1104034545</v>
      </c>
      <c r="B1372" t="str">
        <f>"02884733"</f>
        <v>02884733</v>
      </c>
      <c r="C1372" t="s">
        <v>8105</v>
      </c>
      <c r="D1372" t="s">
        <v>8106</v>
      </c>
      <c r="E1372" t="s">
        <v>8107</v>
      </c>
      <c r="G1372" t="s">
        <v>8105</v>
      </c>
      <c r="H1372" t="s">
        <v>8108</v>
      </c>
      <c r="J1372" t="s">
        <v>8109</v>
      </c>
      <c r="L1372" t="s">
        <v>142</v>
      </c>
      <c r="M1372" t="s">
        <v>113</v>
      </c>
      <c r="R1372" t="s">
        <v>8110</v>
      </c>
      <c r="W1372" t="s">
        <v>8110</v>
      </c>
      <c r="X1372" t="s">
        <v>8111</v>
      </c>
      <c r="Y1372" t="s">
        <v>240</v>
      </c>
      <c r="Z1372" t="s">
        <v>117</v>
      </c>
      <c r="AA1372" t="str">
        <f>"14221-3573"</f>
        <v>14221-3573</v>
      </c>
      <c r="AB1372" t="s">
        <v>118</v>
      </c>
      <c r="AC1372" t="s">
        <v>119</v>
      </c>
      <c r="AD1372" t="s">
        <v>113</v>
      </c>
      <c r="AE1372" t="s">
        <v>120</v>
      </c>
      <c r="AG1372" t="s">
        <v>121</v>
      </c>
    </row>
    <row r="1373" spans="1:33" x14ac:dyDescent="0.25">
      <c r="A1373" t="str">
        <f>"1104035997"</f>
        <v>1104035997</v>
      </c>
      <c r="B1373" t="str">
        <f>"03258959"</f>
        <v>03258959</v>
      </c>
      <c r="C1373" t="s">
        <v>8112</v>
      </c>
      <c r="D1373" t="s">
        <v>8113</v>
      </c>
      <c r="E1373" t="s">
        <v>8114</v>
      </c>
      <c r="G1373" t="s">
        <v>8112</v>
      </c>
      <c r="H1373" t="s">
        <v>8115</v>
      </c>
      <c r="J1373" t="s">
        <v>8116</v>
      </c>
      <c r="L1373" t="s">
        <v>112</v>
      </c>
      <c r="M1373" t="s">
        <v>113</v>
      </c>
      <c r="R1373" t="s">
        <v>8114</v>
      </c>
      <c r="W1373" t="s">
        <v>8114</v>
      </c>
      <c r="X1373" t="s">
        <v>176</v>
      </c>
      <c r="Y1373" t="s">
        <v>116</v>
      </c>
      <c r="Z1373" t="s">
        <v>117</v>
      </c>
      <c r="AA1373" t="str">
        <f>"14203-1126"</f>
        <v>14203-1126</v>
      </c>
      <c r="AB1373" t="s">
        <v>118</v>
      </c>
      <c r="AC1373" t="s">
        <v>119</v>
      </c>
      <c r="AD1373" t="s">
        <v>113</v>
      </c>
      <c r="AE1373" t="s">
        <v>120</v>
      </c>
      <c r="AG1373" t="s">
        <v>121</v>
      </c>
    </row>
    <row r="1374" spans="1:33" x14ac:dyDescent="0.25">
      <c r="A1374" t="str">
        <f>"1104056381"</f>
        <v>1104056381</v>
      </c>
      <c r="B1374" t="str">
        <f>"03248684"</f>
        <v>03248684</v>
      </c>
      <c r="C1374" t="s">
        <v>8117</v>
      </c>
      <c r="D1374" t="s">
        <v>8118</v>
      </c>
      <c r="E1374" t="s">
        <v>8119</v>
      </c>
      <c r="G1374" t="s">
        <v>8117</v>
      </c>
      <c r="H1374" t="s">
        <v>8120</v>
      </c>
      <c r="J1374" t="s">
        <v>8121</v>
      </c>
      <c r="L1374" t="s">
        <v>112</v>
      </c>
      <c r="M1374" t="s">
        <v>113</v>
      </c>
      <c r="R1374" t="s">
        <v>8122</v>
      </c>
      <c r="W1374" t="s">
        <v>8119</v>
      </c>
      <c r="X1374" t="s">
        <v>136</v>
      </c>
      <c r="Y1374" t="s">
        <v>116</v>
      </c>
      <c r="Z1374" t="s">
        <v>117</v>
      </c>
      <c r="AA1374" t="str">
        <f>"14209-1120"</f>
        <v>14209-1120</v>
      </c>
      <c r="AB1374" t="s">
        <v>118</v>
      </c>
      <c r="AC1374" t="s">
        <v>119</v>
      </c>
      <c r="AD1374" t="s">
        <v>113</v>
      </c>
      <c r="AE1374" t="s">
        <v>120</v>
      </c>
      <c r="AG1374" t="s">
        <v>121</v>
      </c>
    </row>
    <row r="1375" spans="1:33" x14ac:dyDescent="0.25">
      <c r="A1375" t="str">
        <f>"1104057223"</f>
        <v>1104057223</v>
      </c>
      <c r="B1375" t="str">
        <f>"03467750"</f>
        <v>03467750</v>
      </c>
      <c r="C1375" t="s">
        <v>8123</v>
      </c>
      <c r="D1375" t="s">
        <v>8124</v>
      </c>
      <c r="E1375" t="s">
        <v>8125</v>
      </c>
      <c r="G1375" t="s">
        <v>8123</v>
      </c>
      <c r="H1375" t="s">
        <v>8126</v>
      </c>
      <c r="J1375" t="s">
        <v>8127</v>
      </c>
      <c r="L1375" t="s">
        <v>142</v>
      </c>
      <c r="M1375" t="s">
        <v>113</v>
      </c>
      <c r="R1375" t="s">
        <v>8128</v>
      </c>
      <c r="W1375" t="s">
        <v>8125</v>
      </c>
      <c r="X1375" t="s">
        <v>176</v>
      </c>
      <c r="Y1375" t="s">
        <v>116</v>
      </c>
      <c r="Z1375" t="s">
        <v>117</v>
      </c>
      <c r="AA1375" t="str">
        <f>"14203-1126"</f>
        <v>14203-1126</v>
      </c>
      <c r="AB1375" t="s">
        <v>118</v>
      </c>
      <c r="AC1375" t="s">
        <v>119</v>
      </c>
      <c r="AD1375" t="s">
        <v>113</v>
      </c>
      <c r="AE1375" t="s">
        <v>120</v>
      </c>
      <c r="AG1375" t="s">
        <v>121</v>
      </c>
    </row>
    <row r="1376" spans="1:33" x14ac:dyDescent="0.25">
      <c r="A1376" t="str">
        <f>"1104070705"</f>
        <v>1104070705</v>
      </c>
      <c r="B1376" t="str">
        <f>"03466951"</f>
        <v>03466951</v>
      </c>
      <c r="C1376" t="s">
        <v>8129</v>
      </c>
      <c r="D1376" t="s">
        <v>8130</v>
      </c>
      <c r="E1376" t="s">
        <v>8131</v>
      </c>
      <c r="G1376" t="s">
        <v>8129</v>
      </c>
      <c r="H1376" t="s">
        <v>579</v>
      </c>
      <c r="J1376" t="s">
        <v>8132</v>
      </c>
      <c r="L1376" t="s">
        <v>142</v>
      </c>
      <c r="M1376" t="s">
        <v>113</v>
      </c>
      <c r="R1376" t="s">
        <v>8133</v>
      </c>
      <c r="W1376" t="s">
        <v>8131</v>
      </c>
      <c r="X1376" t="s">
        <v>8134</v>
      </c>
      <c r="Y1376" t="s">
        <v>958</v>
      </c>
      <c r="Z1376" t="s">
        <v>117</v>
      </c>
      <c r="AA1376" t="str">
        <f>"14226-4500"</f>
        <v>14226-4500</v>
      </c>
      <c r="AB1376" t="s">
        <v>118</v>
      </c>
      <c r="AC1376" t="s">
        <v>119</v>
      </c>
      <c r="AD1376" t="s">
        <v>113</v>
      </c>
      <c r="AE1376" t="s">
        <v>120</v>
      </c>
      <c r="AG1376" t="s">
        <v>121</v>
      </c>
    </row>
    <row r="1377" spans="1:33" x14ac:dyDescent="0.25">
      <c r="A1377" t="str">
        <f>"1104072255"</f>
        <v>1104072255</v>
      </c>
      <c r="B1377" t="str">
        <f>"03067961"</f>
        <v>03067961</v>
      </c>
      <c r="C1377" t="s">
        <v>8135</v>
      </c>
      <c r="D1377" t="s">
        <v>8136</v>
      </c>
      <c r="E1377" t="s">
        <v>8137</v>
      </c>
      <c r="G1377" t="s">
        <v>8138</v>
      </c>
      <c r="H1377" t="s">
        <v>8139</v>
      </c>
      <c r="J1377" t="s">
        <v>8140</v>
      </c>
      <c r="L1377" t="s">
        <v>112</v>
      </c>
      <c r="M1377" t="s">
        <v>113</v>
      </c>
      <c r="R1377" t="s">
        <v>8141</v>
      </c>
      <c r="W1377" t="s">
        <v>8137</v>
      </c>
      <c r="X1377" t="s">
        <v>176</v>
      </c>
      <c r="Y1377" t="s">
        <v>116</v>
      </c>
      <c r="Z1377" t="s">
        <v>117</v>
      </c>
      <c r="AA1377" t="str">
        <f>"14203-1126"</f>
        <v>14203-1126</v>
      </c>
      <c r="AB1377" t="s">
        <v>118</v>
      </c>
      <c r="AC1377" t="s">
        <v>119</v>
      </c>
      <c r="AD1377" t="s">
        <v>113</v>
      </c>
      <c r="AE1377" t="s">
        <v>120</v>
      </c>
      <c r="AG1377" t="s">
        <v>121</v>
      </c>
    </row>
    <row r="1378" spans="1:33" x14ac:dyDescent="0.25">
      <c r="A1378" t="str">
        <f>"1104136274"</f>
        <v>1104136274</v>
      </c>
      <c r="B1378" t="str">
        <f>"03326249"</f>
        <v>03326249</v>
      </c>
      <c r="C1378" t="s">
        <v>8142</v>
      </c>
      <c r="D1378" t="s">
        <v>8143</v>
      </c>
      <c r="E1378" t="s">
        <v>8144</v>
      </c>
      <c r="G1378" t="s">
        <v>8142</v>
      </c>
      <c r="H1378" t="s">
        <v>8145</v>
      </c>
      <c r="J1378" t="s">
        <v>8146</v>
      </c>
      <c r="L1378" t="s">
        <v>112</v>
      </c>
      <c r="M1378" t="s">
        <v>113</v>
      </c>
      <c r="R1378" t="s">
        <v>8147</v>
      </c>
      <c r="W1378" t="s">
        <v>8144</v>
      </c>
      <c r="X1378" t="s">
        <v>176</v>
      </c>
      <c r="Y1378" t="s">
        <v>116</v>
      </c>
      <c r="Z1378" t="s">
        <v>117</v>
      </c>
      <c r="AA1378" t="str">
        <f>"14203-1126"</f>
        <v>14203-1126</v>
      </c>
      <c r="AB1378" t="s">
        <v>118</v>
      </c>
      <c r="AC1378" t="s">
        <v>119</v>
      </c>
      <c r="AD1378" t="s">
        <v>113</v>
      </c>
      <c r="AE1378" t="s">
        <v>120</v>
      </c>
      <c r="AG1378" t="s">
        <v>121</v>
      </c>
    </row>
    <row r="1379" spans="1:33" x14ac:dyDescent="0.25">
      <c r="A1379" t="str">
        <f>"1205995362"</f>
        <v>1205995362</v>
      </c>
      <c r="B1379" t="str">
        <f>"00947324"</f>
        <v>00947324</v>
      </c>
      <c r="C1379" t="s">
        <v>4044</v>
      </c>
      <c r="D1379" t="s">
        <v>4045</v>
      </c>
      <c r="E1379" t="s">
        <v>4046</v>
      </c>
      <c r="F1379">
        <v>131623856</v>
      </c>
      <c r="L1379" t="s">
        <v>1143</v>
      </c>
      <c r="M1379" t="s">
        <v>199</v>
      </c>
      <c r="R1379" t="s">
        <v>4044</v>
      </c>
      <c r="W1379" t="s">
        <v>4046</v>
      </c>
      <c r="X1379" t="s">
        <v>4047</v>
      </c>
      <c r="Y1379" t="s">
        <v>4048</v>
      </c>
      <c r="Z1379" t="s">
        <v>117</v>
      </c>
      <c r="AA1379" t="str">
        <f>"10303-1506"</f>
        <v>10303-1506</v>
      </c>
      <c r="AB1379" t="s">
        <v>1146</v>
      </c>
      <c r="AC1379" t="s">
        <v>119</v>
      </c>
      <c r="AD1379" t="s">
        <v>113</v>
      </c>
      <c r="AE1379" t="s">
        <v>120</v>
      </c>
      <c r="AG1379" t="s">
        <v>121</v>
      </c>
    </row>
    <row r="1380" spans="1:33" x14ac:dyDescent="0.25">
      <c r="A1380" t="str">
        <f>"1205995768"</f>
        <v>1205995768</v>
      </c>
      <c r="C1380" t="s">
        <v>8148</v>
      </c>
      <c r="G1380" t="s">
        <v>8148</v>
      </c>
      <c r="H1380" t="s">
        <v>937</v>
      </c>
      <c r="J1380" t="s">
        <v>8149</v>
      </c>
      <c r="K1380" t="s">
        <v>303</v>
      </c>
      <c r="L1380" t="s">
        <v>112</v>
      </c>
      <c r="M1380" t="s">
        <v>113</v>
      </c>
      <c r="R1380" t="s">
        <v>8150</v>
      </c>
      <c r="S1380" t="s">
        <v>3739</v>
      </c>
      <c r="T1380" t="s">
        <v>240</v>
      </c>
      <c r="U1380" t="s">
        <v>117</v>
      </c>
      <c r="V1380" t="str">
        <f>"142216728"</f>
        <v>142216728</v>
      </c>
      <c r="AC1380" t="s">
        <v>119</v>
      </c>
      <c r="AD1380" t="s">
        <v>113</v>
      </c>
      <c r="AE1380" t="s">
        <v>306</v>
      </c>
      <c r="AG1380" t="s">
        <v>121</v>
      </c>
    </row>
    <row r="1381" spans="1:33" x14ac:dyDescent="0.25">
      <c r="A1381" t="str">
        <f>"1205998580"</f>
        <v>1205998580</v>
      </c>
      <c r="B1381" t="str">
        <f>"02862435"</f>
        <v>02862435</v>
      </c>
      <c r="C1381" t="s">
        <v>8151</v>
      </c>
      <c r="D1381" t="s">
        <v>8152</v>
      </c>
      <c r="E1381" t="s">
        <v>8153</v>
      </c>
      <c r="G1381" t="s">
        <v>8154</v>
      </c>
      <c r="J1381" t="s">
        <v>8155</v>
      </c>
      <c r="L1381" t="s">
        <v>112</v>
      </c>
      <c r="M1381" t="s">
        <v>113</v>
      </c>
      <c r="R1381" t="s">
        <v>8156</v>
      </c>
      <c r="W1381" t="s">
        <v>8157</v>
      </c>
      <c r="X1381" t="s">
        <v>8158</v>
      </c>
      <c r="Y1381" t="s">
        <v>240</v>
      </c>
      <c r="Z1381" t="s">
        <v>117</v>
      </c>
      <c r="AA1381" t="str">
        <f>"14221-6880"</f>
        <v>14221-6880</v>
      </c>
      <c r="AB1381" t="s">
        <v>118</v>
      </c>
      <c r="AC1381" t="s">
        <v>119</v>
      </c>
      <c r="AD1381" t="s">
        <v>113</v>
      </c>
      <c r="AE1381" t="s">
        <v>120</v>
      </c>
      <c r="AG1381" t="s">
        <v>121</v>
      </c>
    </row>
    <row r="1382" spans="1:33" x14ac:dyDescent="0.25">
      <c r="A1382" t="str">
        <f>"1215020235"</f>
        <v>1215020235</v>
      </c>
      <c r="B1382" t="str">
        <f>"01402175"</f>
        <v>01402175</v>
      </c>
      <c r="C1382" t="s">
        <v>8159</v>
      </c>
      <c r="D1382" t="s">
        <v>8160</v>
      </c>
      <c r="E1382" t="s">
        <v>8161</v>
      </c>
      <c r="G1382" t="s">
        <v>8159</v>
      </c>
      <c r="H1382" t="s">
        <v>8162</v>
      </c>
      <c r="J1382" t="s">
        <v>8163</v>
      </c>
      <c r="L1382" t="s">
        <v>112</v>
      </c>
      <c r="M1382" t="s">
        <v>199</v>
      </c>
      <c r="R1382" t="s">
        <v>8164</v>
      </c>
      <c r="W1382" t="s">
        <v>8161</v>
      </c>
      <c r="X1382" t="s">
        <v>8165</v>
      </c>
      <c r="Y1382" t="s">
        <v>116</v>
      </c>
      <c r="Z1382" t="s">
        <v>117</v>
      </c>
      <c r="AA1382" t="str">
        <f>"14215-3021"</f>
        <v>14215-3021</v>
      </c>
      <c r="AB1382" t="s">
        <v>118</v>
      </c>
      <c r="AC1382" t="s">
        <v>119</v>
      </c>
      <c r="AD1382" t="s">
        <v>113</v>
      </c>
      <c r="AE1382" t="s">
        <v>120</v>
      </c>
      <c r="AG1382" t="s">
        <v>121</v>
      </c>
    </row>
    <row r="1383" spans="1:33" x14ac:dyDescent="0.25">
      <c r="A1383" t="str">
        <f>"1215036348"</f>
        <v>1215036348</v>
      </c>
      <c r="B1383" t="str">
        <f>"02315740"</f>
        <v>02315740</v>
      </c>
      <c r="C1383" t="s">
        <v>8166</v>
      </c>
      <c r="D1383" t="s">
        <v>8167</v>
      </c>
      <c r="E1383" t="s">
        <v>8168</v>
      </c>
      <c r="G1383" t="s">
        <v>8166</v>
      </c>
      <c r="H1383" t="s">
        <v>8169</v>
      </c>
      <c r="J1383" t="s">
        <v>8170</v>
      </c>
      <c r="L1383" t="s">
        <v>112</v>
      </c>
      <c r="M1383" t="s">
        <v>113</v>
      </c>
      <c r="R1383" t="s">
        <v>8171</v>
      </c>
      <c r="W1383" t="s">
        <v>8168</v>
      </c>
      <c r="X1383" t="s">
        <v>216</v>
      </c>
      <c r="Y1383" t="s">
        <v>116</v>
      </c>
      <c r="Z1383" t="s">
        <v>117</v>
      </c>
      <c r="AA1383" t="str">
        <f>"14222-2099"</f>
        <v>14222-2099</v>
      </c>
      <c r="AB1383" t="s">
        <v>118</v>
      </c>
      <c r="AC1383" t="s">
        <v>119</v>
      </c>
      <c r="AD1383" t="s">
        <v>113</v>
      </c>
      <c r="AE1383" t="s">
        <v>120</v>
      </c>
      <c r="AG1383" t="s">
        <v>121</v>
      </c>
    </row>
    <row r="1384" spans="1:33" x14ac:dyDescent="0.25">
      <c r="A1384" t="str">
        <f>"1215042700"</f>
        <v>1215042700</v>
      </c>
      <c r="B1384" t="str">
        <f>"01781626"</f>
        <v>01781626</v>
      </c>
      <c r="C1384" t="s">
        <v>8172</v>
      </c>
      <c r="D1384" t="s">
        <v>8173</v>
      </c>
      <c r="E1384" t="s">
        <v>8174</v>
      </c>
      <c r="G1384" t="s">
        <v>8172</v>
      </c>
      <c r="H1384" t="s">
        <v>8175</v>
      </c>
      <c r="J1384" t="s">
        <v>8176</v>
      </c>
      <c r="L1384" t="s">
        <v>142</v>
      </c>
      <c r="M1384" t="s">
        <v>113</v>
      </c>
      <c r="R1384" t="s">
        <v>8177</v>
      </c>
      <c r="W1384" t="s">
        <v>8174</v>
      </c>
      <c r="X1384" t="s">
        <v>176</v>
      </c>
      <c r="Y1384" t="s">
        <v>116</v>
      </c>
      <c r="Z1384" t="s">
        <v>117</v>
      </c>
      <c r="AA1384" t="str">
        <f>"14203-1126"</f>
        <v>14203-1126</v>
      </c>
      <c r="AB1384" t="s">
        <v>118</v>
      </c>
      <c r="AC1384" t="s">
        <v>119</v>
      </c>
      <c r="AD1384" t="s">
        <v>113</v>
      </c>
      <c r="AE1384" t="s">
        <v>120</v>
      </c>
      <c r="AG1384" t="s">
        <v>121</v>
      </c>
    </row>
    <row r="1385" spans="1:33" x14ac:dyDescent="0.25">
      <c r="A1385" t="str">
        <f>"1215064217"</f>
        <v>1215064217</v>
      </c>
      <c r="B1385" t="str">
        <f>"01924670"</f>
        <v>01924670</v>
      </c>
      <c r="C1385" t="s">
        <v>8178</v>
      </c>
      <c r="D1385" t="s">
        <v>8179</v>
      </c>
      <c r="E1385" t="s">
        <v>8180</v>
      </c>
      <c r="G1385" t="s">
        <v>8181</v>
      </c>
      <c r="H1385" t="s">
        <v>7782</v>
      </c>
      <c r="J1385" t="s">
        <v>8182</v>
      </c>
      <c r="L1385" t="s">
        <v>112</v>
      </c>
      <c r="M1385" t="s">
        <v>113</v>
      </c>
      <c r="R1385" t="s">
        <v>8183</v>
      </c>
      <c r="W1385" t="s">
        <v>8180</v>
      </c>
      <c r="X1385" t="s">
        <v>8184</v>
      </c>
      <c r="Y1385" t="s">
        <v>116</v>
      </c>
      <c r="Z1385" t="s">
        <v>117</v>
      </c>
      <c r="AA1385" t="str">
        <f>"14209-2408"</f>
        <v>14209-2408</v>
      </c>
      <c r="AB1385" t="s">
        <v>118</v>
      </c>
      <c r="AC1385" t="s">
        <v>119</v>
      </c>
      <c r="AD1385" t="s">
        <v>113</v>
      </c>
      <c r="AE1385" t="s">
        <v>120</v>
      </c>
      <c r="AG1385" t="s">
        <v>121</v>
      </c>
    </row>
    <row r="1386" spans="1:33" x14ac:dyDescent="0.25">
      <c r="A1386" t="str">
        <f>"1215101167"</f>
        <v>1215101167</v>
      </c>
      <c r="B1386" t="str">
        <f>"04380416"</f>
        <v>04380416</v>
      </c>
      <c r="C1386" t="s">
        <v>8185</v>
      </c>
      <c r="D1386" t="s">
        <v>8186</v>
      </c>
      <c r="E1386" t="s">
        <v>8187</v>
      </c>
      <c r="G1386" t="s">
        <v>8185</v>
      </c>
      <c r="H1386" t="s">
        <v>8188</v>
      </c>
      <c r="J1386" t="s">
        <v>8189</v>
      </c>
      <c r="L1386" t="s">
        <v>112</v>
      </c>
      <c r="M1386" t="s">
        <v>113</v>
      </c>
      <c r="R1386" t="s">
        <v>8190</v>
      </c>
      <c r="W1386" t="s">
        <v>8187</v>
      </c>
      <c r="X1386" t="s">
        <v>8191</v>
      </c>
      <c r="Y1386" t="s">
        <v>8192</v>
      </c>
      <c r="Z1386" t="s">
        <v>117</v>
      </c>
      <c r="AA1386" t="str">
        <f>"10701-1301"</f>
        <v>10701-1301</v>
      </c>
      <c r="AB1386" t="s">
        <v>118</v>
      </c>
      <c r="AC1386" t="s">
        <v>119</v>
      </c>
      <c r="AD1386" t="s">
        <v>113</v>
      </c>
      <c r="AE1386" t="s">
        <v>120</v>
      </c>
      <c r="AG1386" t="s">
        <v>121</v>
      </c>
    </row>
    <row r="1387" spans="1:33" x14ac:dyDescent="0.25">
      <c r="A1387" t="str">
        <f>"1215124565"</f>
        <v>1215124565</v>
      </c>
      <c r="C1387" t="s">
        <v>8193</v>
      </c>
      <c r="G1387" t="s">
        <v>8194</v>
      </c>
      <c r="H1387" t="s">
        <v>8195</v>
      </c>
      <c r="J1387" t="s">
        <v>352</v>
      </c>
      <c r="K1387" t="s">
        <v>303</v>
      </c>
      <c r="L1387" t="s">
        <v>112</v>
      </c>
      <c r="M1387" t="s">
        <v>113</v>
      </c>
      <c r="R1387" t="s">
        <v>8196</v>
      </c>
      <c r="S1387" t="s">
        <v>8197</v>
      </c>
      <c r="T1387" t="s">
        <v>116</v>
      </c>
      <c r="U1387" t="s">
        <v>117</v>
      </c>
      <c r="V1387" t="str">
        <f>"142021009"</f>
        <v>142021009</v>
      </c>
      <c r="AC1387" t="s">
        <v>119</v>
      </c>
      <c r="AD1387" t="s">
        <v>113</v>
      </c>
      <c r="AE1387" t="s">
        <v>306</v>
      </c>
      <c r="AG1387" t="s">
        <v>121</v>
      </c>
    </row>
    <row r="1388" spans="1:33" x14ac:dyDescent="0.25">
      <c r="A1388" t="str">
        <f>"1902897374"</f>
        <v>1902897374</v>
      </c>
      <c r="B1388" t="str">
        <f>"02997928"</f>
        <v>02997928</v>
      </c>
      <c r="C1388" t="s">
        <v>4264</v>
      </c>
      <c r="D1388" t="s">
        <v>7283</v>
      </c>
      <c r="E1388" t="s">
        <v>7284</v>
      </c>
      <c r="F1388">
        <v>166002556</v>
      </c>
      <c r="G1388" t="s">
        <v>6327</v>
      </c>
      <c r="H1388" t="s">
        <v>6328</v>
      </c>
      <c r="J1388" t="s">
        <v>7285</v>
      </c>
      <c r="L1388" t="s">
        <v>7286</v>
      </c>
      <c r="M1388" t="s">
        <v>199</v>
      </c>
      <c r="R1388" t="s">
        <v>4264</v>
      </c>
      <c r="W1388" t="s">
        <v>7287</v>
      </c>
      <c r="X1388" t="s">
        <v>6330</v>
      </c>
      <c r="Y1388" t="s">
        <v>1557</v>
      </c>
      <c r="Z1388" t="s">
        <v>117</v>
      </c>
      <c r="AA1388" t="str">
        <f>"14757-1090"</f>
        <v>14757-1090</v>
      </c>
      <c r="AB1388" t="s">
        <v>1460</v>
      </c>
      <c r="AC1388" t="s">
        <v>119</v>
      </c>
      <c r="AD1388" t="s">
        <v>113</v>
      </c>
      <c r="AE1388" t="s">
        <v>120</v>
      </c>
      <c r="AG1388" t="s">
        <v>121</v>
      </c>
    </row>
    <row r="1389" spans="1:33" x14ac:dyDescent="0.25">
      <c r="A1389" t="str">
        <f>"1346220803"</f>
        <v>1346220803</v>
      </c>
      <c r="B1389" t="str">
        <f>"02722214"</f>
        <v>02722214</v>
      </c>
      <c r="C1389" t="s">
        <v>8203</v>
      </c>
      <c r="D1389" t="s">
        <v>8204</v>
      </c>
      <c r="E1389" t="s">
        <v>8205</v>
      </c>
      <c r="G1389" t="s">
        <v>8203</v>
      </c>
      <c r="H1389" t="s">
        <v>8206</v>
      </c>
      <c r="J1389" t="s">
        <v>8207</v>
      </c>
      <c r="L1389" t="s">
        <v>142</v>
      </c>
      <c r="M1389" t="s">
        <v>113</v>
      </c>
      <c r="R1389" t="s">
        <v>8208</v>
      </c>
      <c r="W1389" t="s">
        <v>8205</v>
      </c>
      <c r="X1389" t="s">
        <v>253</v>
      </c>
      <c r="Y1389" t="s">
        <v>116</v>
      </c>
      <c r="Z1389" t="s">
        <v>117</v>
      </c>
      <c r="AA1389" t="str">
        <f>"14215-3021"</f>
        <v>14215-3021</v>
      </c>
      <c r="AB1389" t="s">
        <v>118</v>
      </c>
      <c r="AC1389" t="s">
        <v>119</v>
      </c>
      <c r="AD1389" t="s">
        <v>113</v>
      </c>
      <c r="AE1389" t="s">
        <v>120</v>
      </c>
      <c r="AG1389" t="s">
        <v>121</v>
      </c>
    </row>
    <row r="1390" spans="1:33" x14ac:dyDescent="0.25">
      <c r="A1390" t="str">
        <f>"1346221538"</f>
        <v>1346221538</v>
      </c>
      <c r="B1390" t="str">
        <f>"02341808"</f>
        <v>02341808</v>
      </c>
      <c r="C1390" t="s">
        <v>8209</v>
      </c>
      <c r="D1390" t="s">
        <v>8210</v>
      </c>
      <c r="E1390" t="s">
        <v>8211</v>
      </c>
      <c r="G1390" t="s">
        <v>8209</v>
      </c>
      <c r="H1390" t="s">
        <v>1308</v>
      </c>
      <c r="J1390" t="s">
        <v>8212</v>
      </c>
      <c r="L1390" t="s">
        <v>142</v>
      </c>
      <c r="M1390" t="s">
        <v>113</v>
      </c>
      <c r="W1390" t="s">
        <v>8211</v>
      </c>
      <c r="X1390" t="s">
        <v>8213</v>
      </c>
      <c r="Y1390" t="s">
        <v>8214</v>
      </c>
      <c r="Z1390" t="s">
        <v>117</v>
      </c>
      <c r="AA1390" t="str">
        <f>"12180-2451"</f>
        <v>12180-2451</v>
      </c>
      <c r="AB1390" t="s">
        <v>118</v>
      </c>
      <c r="AC1390" t="s">
        <v>119</v>
      </c>
      <c r="AD1390" t="s">
        <v>113</v>
      </c>
      <c r="AE1390" t="s">
        <v>120</v>
      </c>
      <c r="AG1390" t="s">
        <v>121</v>
      </c>
    </row>
    <row r="1391" spans="1:33" x14ac:dyDescent="0.25">
      <c r="A1391" t="str">
        <f>"1346223112"</f>
        <v>1346223112</v>
      </c>
      <c r="B1391" t="str">
        <f>"01533691"</f>
        <v>01533691</v>
      </c>
      <c r="C1391" t="s">
        <v>8215</v>
      </c>
      <c r="D1391" t="s">
        <v>8216</v>
      </c>
      <c r="E1391" t="s">
        <v>8217</v>
      </c>
      <c r="G1391" t="s">
        <v>8218</v>
      </c>
      <c r="H1391" t="s">
        <v>707</v>
      </c>
      <c r="J1391" t="s">
        <v>8219</v>
      </c>
      <c r="L1391" t="s">
        <v>112</v>
      </c>
      <c r="M1391" t="s">
        <v>113</v>
      </c>
      <c r="R1391" t="s">
        <v>8220</v>
      </c>
      <c r="W1391" t="s">
        <v>8217</v>
      </c>
      <c r="X1391" t="s">
        <v>709</v>
      </c>
      <c r="Y1391" t="s">
        <v>116</v>
      </c>
      <c r="Z1391" t="s">
        <v>117</v>
      </c>
      <c r="AA1391" t="str">
        <f>"14263-0001"</f>
        <v>14263-0001</v>
      </c>
      <c r="AB1391" t="s">
        <v>118</v>
      </c>
      <c r="AC1391" t="s">
        <v>119</v>
      </c>
      <c r="AD1391" t="s">
        <v>113</v>
      </c>
      <c r="AE1391" t="s">
        <v>120</v>
      </c>
      <c r="AG1391" t="s">
        <v>121</v>
      </c>
    </row>
    <row r="1392" spans="1:33" x14ac:dyDescent="0.25">
      <c r="A1392" t="str">
        <f>"1346231693"</f>
        <v>1346231693</v>
      </c>
      <c r="B1392" t="str">
        <f>"00840386"</f>
        <v>00840386</v>
      </c>
      <c r="C1392" t="s">
        <v>8221</v>
      </c>
      <c r="D1392" t="s">
        <v>8222</v>
      </c>
      <c r="E1392" t="s">
        <v>8223</v>
      </c>
      <c r="G1392" t="s">
        <v>8221</v>
      </c>
      <c r="H1392" t="s">
        <v>768</v>
      </c>
      <c r="J1392" t="s">
        <v>8224</v>
      </c>
      <c r="L1392" t="s">
        <v>150</v>
      </c>
      <c r="M1392" t="s">
        <v>113</v>
      </c>
      <c r="R1392" t="s">
        <v>8225</v>
      </c>
      <c r="W1392" t="s">
        <v>8226</v>
      </c>
      <c r="X1392" t="s">
        <v>772</v>
      </c>
      <c r="Y1392" t="s">
        <v>240</v>
      </c>
      <c r="Z1392" t="s">
        <v>117</v>
      </c>
      <c r="AA1392" t="str">
        <f>"14221-4641"</f>
        <v>14221-4641</v>
      </c>
      <c r="AB1392" t="s">
        <v>118</v>
      </c>
      <c r="AC1392" t="s">
        <v>119</v>
      </c>
      <c r="AD1392" t="s">
        <v>113</v>
      </c>
      <c r="AE1392" t="s">
        <v>120</v>
      </c>
      <c r="AG1392" t="s">
        <v>121</v>
      </c>
    </row>
    <row r="1393" spans="1:33" x14ac:dyDescent="0.25">
      <c r="A1393" t="str">
        <f>"1346242716"</f>
        <v>1346242716</v>
      </c>
      <c r="C1393" t="s">
        <v>8227</v>
      </c>
      <c r="H1393" t="s">
        <v>8228</v>
      </c>
      <c r="K1393" t="s">
        <v>303</v>
      </c>
      <c r="L1393" t="s">
        <v>229</v>
      </c>
      <c r="M1393" t="s">
        <v>113</v>
      </c>
      <c r="R1393" t="s">
        <v>8227</v>
      </c>
      <c r="S1393" t="s">
        <v>5236</v>
      </c>
      <c r="T1393" t="s">
        <v>318</v>
      </c>
      <c r="U1393" t="s">
        <v>117</v>
      </c>
      <c r="V1393" t="str">
        <f>"142271528"</f>
        <v>142271528</v>
      </c>
      <c r="AC1393" t="s">
        <v>119</v>
      </c>
      <c r="AD1393" t="s">
        <v>113</v>
      </c>
      <c r="AE1393" t="s">
        <v>306</v>
      </c>
      <c r="AG1393" t="s">
        <v>121</v>
      </c>
    </row>
    <row r="1394" spans="1:33" x14ac:dyDescent="0.25">
      <c r="A1394" t="str">
        <f>"1346251501"</f>
        <v>1346251501</v>
      </c>
      <c r="B1394" t="str">
        <f>"02785564"</f>
        <v>02785564</v>
      </c>
      <c r="C1394" t="s">
        <v>8229</v>
      </c>
      <c r="D1394" t="s">
        <v>8230</v>
      </c>
      <c r="E1394" t="s">
        <v>8231</v>
      </c>
      <c r="G1394" t="s">
        <v>8229</v>
      </c>
      <c r="H1394" t="s">
        <v>4625</v>
      </c>
      <c r="J1394" t="s">
        <v>8232</v>
      </c>
      <c r="L1394" t="s">
        <v>142</v>
      </c>
      <c r="M1394" t="s">
        <v>199</v>
      </c>
      <c r="R1394" t="s">
        <v>8233</v>
      </c>
      <c r="W1394" t="s">
        <v>8231</v>
      </c>
      <c r="X1394" t="s">
        <v>216</v>
      </c>
      <c r="Y1394" t="s">
        <v>116</v>
      </c>
      <c r="Z1394" t="s">
        <v>117</v>
      </c>
      <c r="AA1394" t="str">
        <f>"14222-2006"</f>
        <v>14222-2006</v>
      </c>
      <c r="AB1394" t="s">
        <v>118</v>
      </c>
      <c r="AC1394" t="s">
        <v>119</v>
      </c>
      <c r="AD1394" t="s">
        <v>113</v>
      </c>
      <c r="AE1394" t="s">
        <v>120</v>
      </c>
      <c r="AG1394" t="s">
        <v>121</v>
      </c>
    </row>
    <row r="1395" spans="1:33" x14ac:dyDescent="0.25">
      <c r="A1395" t="str">
        <f>"1346253267"</f>
        <v>1346253267</v>
      </c>
      <c r="B1395" t="str">
        <f>"02818564"</f>
        <v>02818564</v>
      </c>
      <c r="C1395" t="s">
        <v>8234</v>
      </c>
      <c r="D1395" t="s">
        <v>8235</v>
      </c>
      <c r="E1395" t="s">
        <v>8236</v>
      </c>
      <c r="G1395" t="s">
        <v>8234</v>
      </c>
      <c r="H1395" t="s">
        <v>8115</v>
      </c>
      <c r="J1395" t="s">
        <v>8237</v>
      </c>
      <c r="L1395" t="s">
        <v>142</v>
      </c>
      <c r="M1395" t="s">
        <v>113</v>
      </c>
      <c r="R1395" t="s">
        <v>8238</v>
      </c>
      <c r="W1395" t="s">
        <v>8236</v>
      </c>
      <c r="X1395" t="s">
        <v>2607</v>
      </c>
      <c r="Y1395" t="s">
        <v>116</v>
      </c>
      <c r="Z1395" t="s">
        <v>117</v>
      </c>
      <c r="AA1395" t="str">
        <f>"14203-1149"</f>
        <v>14203-1149</v>
      </c>
      <c r="AB1395" t="s">
        <v>118</v>
      </c>
      <c r="AC1395" t="s">
        <v>119</v>
      </c>
      <c r="AD1395" t="s">
        <v>113</v>
      </c>
      <c r="AE1395" t="s">
        <v>120</v>
      </c>
      <c r="AG1395" t="s">
        <v>121</v>
      </c>
    </row>
    <row r="1396" spans="1:33" x14ac:dyDescent="0.25">
      <c r="A1396" t="str">
        <f>"1346266418"</f>
        <v>1346266418</v>
      </c>
      <c r="B1396" t="str">
        <f>"01968354"</f>
        <v>01968354</v>
      </c>
      <c r="C1396" t="s">
        <v>8239</v>
      </c>
      <c r="D1396" t="s">
        <v>8240</v>
      </c>
      <c r="E1396" t="s">
        <v>8241</v>
      </c>
      <c r="G1396" t="s">
        <v>8242</v>
      </c>
      <c r="H1396" t="s">
        <v>8243</v>
      </c>
      <c r="L1396" t="s">
        <v>1033</v>
      </c>
      <c r="M1396" t="s">
        <v>113</v>
      </c>
      <c r="R1396" t="s">
        <v>8244</v>
      </c>
      <c r="W1396" t="s">
        <v>8245</v>
      </c>
      <c r="X1396" t="s">
        <v>6506</v>
      </c>
      <c r="Y1396" t="s">
        <v>1562</v>
      </c>
      <c r="Z1396" t="s">
        <v>117</v>
      </c>
      <c r="AA1396" t="str">
        <f>"14047-9670"</f>
        <v>14047-9670</v>
      </c>
      <c r="AB1396" t="s">
        <v>2359</v>
      </c>
      <c r="AC1396" t="s">
        <v>119</v>
      </c>
      <c r="AD1396" t="s">
        <v>113</v>
      </c>
      <c r="AE1396" t="s">
        <v>120</v>
      </c>
      <c r="AG1396" t="s">
        <v>121</v>
      </c>
    </row>
    <row r="1397" spans="1:33" x14ac:dyDescent="0.25">
      <c r="A1397" t="str">
        <f>"1346275286"</f>
        <v>1346275286</v>
      </c>
      <c r="B1397" t="str">
        <f>"01294522"</f>
        <v>01294522</v>
      </c>
      <c r="C1397" t="s">
        <v>8246</v>
      </c>
      <c r="D1397" t="s">
        <v>8247</v>
      </c>
      <c r="E1397" t="s">
        <v>8248</v>
      </c>
      <c r="G1397" t="s">
        <v>8246</v>
      </c>
      <c r="H1397" t="s">
        <v>8249</v>
      </c>
      <c r="J1397" t="s">
        <v>8250</v>
      </c>
      <c r="L1397" t="s">
        <v>112</v>
      </c>
      <c r="M1397" t="s">
        <v>113</v>
      </c>
      <c r="R1397" t="s">
        <v>8251</v>
      </c>
      <c r="W1397" t="s">
        <v>8248</v>
      </c>
      <c r="X1397" t="s">
        <v>8252</v>
      </c>
      <c r="Y1397" t="s">
        <v>116</v>
      </c>
      <c r="Z1397" t="s">
        <v>117</v>
      </c>
      <c r="AA1397" t="str">
        <f>"14215-3021"</f>
        <v>14215-3021</v>
      </c>
      <c r="AB1397" t="s">
        <v>118</v>
      </c>
      <c r="AC1397" t="s">
        <v>119</v>
      </c>
      <c r="AD1397" t="s">
        <v>113</v>
      </c>
      <c r="AE1397" t="s">
        <v>120</v>
      </c>
      <c r="AG1397" t="s">
        <v>121</v>
      </c>
    </row>
    <row r="1398" spans="1:33" x14ac:dyDescent="0.25">
      <c r="A1398" t="str">
        <f>"1346275351"</f>
        <v>1346275351</v>
      </c>
      <c r="B1398" t="str">
        <f>"00602213"</f>
        <v>00602213</v>
      </c>
      <c r="C1398" t="s">
        <v>8253</v>
      </c>
      <c r="D1398" t="s">
        <v>8254</v>
      </c>
      <c r="E1398" t="s">
        <v>8255</v>
      </c>
      <c r="G1398" t="s">
        <v>8253</v>
      </c>
      <c r="H1398" t="s">
        <v>8256</v>
      </c>
      <c r="J1398" t="s">
        <v>8257</v>
      </c>
      <c r="L1398" t="s">
        <v>142</v>
      </c>
      <c r="M1398" t="s">
        <v>113</v>
      </c>
      <c r="R1398" t="s">
        <v>8258</v>
      </c>
      <c r="W1398" t="s">
        <v>8255</v>
      </c>
      <c r="X1398" t="s">
        <v>8259</v>
      </c>
      <c r="Y1398" t="s">
        <v>318</v>
      </c>
      <c r="Z1398" t="s">
        <v>117</v>
      </c>
      <c r="AA1398" t="str">
        <f>"14227-3530"</f>
        <v>14227-3530</v>
      </c>
      <c r="AB1398" t="s">
        <v>1755</v>
      </c>
      <c r="AC1398" t="s">
        <v>119</v>
      </c>
      <c r="AD1398" t="s">
        <v>113</v>
      </c>
      <c r="AE1398" t="s">
        <v>120</v>
      </c>
      <c r="AG1398" t="s">
        <v>121</v>
      </c>
    </row>
    <row r="1399" spans="1:33" x14ac:dyDescent="0.25">
      <c r="A1399" t="str">
        <f>"1720208028"</f>
        <v>1720208028</v>
      </c>
      <c r="B1399" t="str">
        <f>"02503859"</f>
        <v>02503859</v>
      </c>
      <c r="C1399" t="s">
        <v>8260</v>
      </c>
      <c r="D1399" t="s">
        <v>8261</v>
      </c>
      <c r="E1399" t="s">
        <v>8262</v>
      </c>
      <c r="G1399" t="s">
        <v>1252</v>
      </c>
      <c r="H1399" t="s">
        <v>1253</v>
      </c>
      <c r="J1399" t="s">
        <v>1254</v>
      </c>
      <c r="L1399" t="s">
        <v>728</v>
      </c>
      <c r="M1399" t="s">
        <v>113</v>
      </c>
      <c r="R1399" t="s">
        <v>8263</v>
      </c>
      <c r="W1399" t="s">
        <v>8264</v>
      </c>
      <c r="X1399" t="s">
        <v>5366</v>
      </c>
      <c r="Y1399" t="s">
        <v>541</v>
      </c>
      <c r="Z1399" t="s">
        <v>117</v>
      </c>
      <c r="AA1399" t="str">
        <f>"14048-2407"</f>
        <v>14048-2407</v>
      </c>
      <c r="AB1399" t="s">
        <v>118</v>
      </c>
      <c r="AC1399" t="s">
        <v>119</v>
      </c>
      <c r="AD1399" t="s">
        <v>113</v>
      </c>
      <c r="AE1399" t="s">
        <v>120</v>
      </c>
      <c r="AG1399" t="s">
        <v>121</v>
      </c>
    </row>
    <row r="1400" spans="1:33" x14ac:dyDescent="0.25">
      <c r="A1400" t="str">
        <f>"1073708111"</f>
        <v>1073708111</v>
      </c>
      <c r="C1400" t="s">
        <v>8265</v>
      </c>
      <c r="H1400" t="s">
        <v>8266</v>
      </c>
      <c r="K1400" t="s">
        <v>303</v>
      </c>
      <c r="L1400" t="s">
        <v>229</v>
      </c>
      <c r="M1400" t="s">
        <v>113</v>
      </c>
      <c r="R1400" t="s">
        <v>8265</v>
      </c>
      <c r="S1400" t="s">
        <v>4095</v>
      </c>
      <c r="T1400" t="s">
        <v>116</v>
      </c>
      <c r="U1400" t="s">
        <v>117</v>
      </c>
      <c r="V1400" t="str">
        <f>"142111217"</f>
        <v>142111217</v>
      </c>
      <c r="AC1400" t="s">
        <v>119</v>
      </c>
      <c r="AD1400" t="s">
        <v>113</v>
      </c>
      <c r="AE1400" t="s">
        <v>306</v>
      </c>
      <c r="AG1400" t="s">
        <v>121</v>
      </c>
    </row>
    <row r="1401" spans="1:33" x14ac:dyDescent="0.25">
      <c r="A1401" t="str">
        <f>"1073722567"</f>
        <v>1073722567</v>
      </c>
      <c r="C1401" t="s">
        <v>8267</v>
      </c>
      <c r="G1401" t="s">
        <v>8268</v>
      </c>
      <c r="H1401" t="s">
        <v>8269</v>
      </c>
      <c r="J1401" t="s">
        <v>8270</v>
      </c>
      <c r="K1401" t="s">
        <v>303</v>
      </c>
      <c r="L1401" t="s">
        <v>229</v>
      </c>
      <c r="M1401" t="s">
        <v>113</v>
      </c>
      <c r="R1401" t="s">
        <v>8271</v>
      </c>
      <c r="S1401" t="s">
        <v>1648</v>
      </c>
      <c r="T1401" t="s">
        <v>116</v>
      </c>
      <c r="U1401" t="s">
        <v>117</v>
      </c>
      <c r="V1401" t="str">
        <f>"142142648"</f>
        <v>142142648</v>
      </c>
      <c r="AC1401" t="s">
        <v>119</v>
      </c>
      <c r="AD1401" t="s">
        <v>113</v>
      </c>
      <c r="AE1401" t="s">
        <v>306</v>
      </c>
      <c r="AG1401" t="s">
        <v>121</v>
      </c>
    </row>
    <row r="1402" spans="1:33" x14ac:dyDescent="0.25">
      <c r="A1402" t="str">
        <f>"1073763165"</f>
        <v>1073763165</v>
      </c>
      <c r="B1402" t="str">
        <f>"03146247"</f>
        <v>03146247</v>
      </c>
      <c r="C1402" t="s">
        <v>8272</v>
      </c>
      <c r="D1402" t="s">
        <v>8273</v>
      </c>
      <c r="E1402" t="s">
        <v>8274</v>
      </c>
      <c r="G1402" t="s">
        <v>8275</v>
      </c>
      <c r="H1402" t="s">
        <v>4553</v>
      </c>
      <c r="J1402" t="s">
        <v>8276</v>
      </c>
      <c r="L1402" t="s">
        <v>142</v>
      </c>
      <c r="M1402" t="s">
        <v>113</v>
      </c>
      <c r="R1402" t="s">
        <v>8277</v>
      </c>
      <c r="W1402" t="s">
        <v>8274</v>
      </c>
      <c r="X1402" t="s">
        <v>8278</v>
      </c>
      <c r="Y1402" t="s">
        <v>116</v>
      </c>
      <c r="Z1402" t="s">
        <v>117</v>
      </c>
      <c r="AA1402" t="str">
        <f>"14203-1536"</f>
        <v>14203-1536</v>
      </c>
      <c r="AB1402" t="s">
        <v>118</v>
      </c>
      <c r="AC1402" t="s">
        <v>119</v>
      </c>
      <c r="AD1402" t="s">
        <v>113</v>
      </c>
      <c r="AE1402" t="s">
        <v>120</v>
      </c>
      <c r="AG1402" t="s">
        <v>121</v>
      </c>
    </row>
    <row r="1403" spans="1:33" x14ac:dyDescent="0.25">
      <c r="A1403" t="str">
        <f>"1073766564"</f>
        <v>1073766564</v>
      </c>
      <c r="C1403" t="s">
        <v>8279</v>
      </c>
      <c r="H1403" t="s">
        <v>8280</v>
      </c>
      <c r="K1403" t="s">
        <v>634</v>
      </c>
      <c r="L1403" t="s">
        <v>229</v>
      </c>
      <c r="M1403" t="s">
        <v>113</v>
      </c>
      <c r="R1403" t="s">
        <v>8279</v>
      </c>
      <c r="S1403" t="s">
        <v>8281</v>
      </c>
      <c r="T1403" t="s">
        <v>116</v>
      </c>
      <c r="U1403" t="s">
        <v>117</v>
      </c>
      <c r="V1403" t="str">
        <f>"142091113"</f>
        <v>142091113</v>
      </c>
      <c r="AC1403" t="s">
        <v>119</v>
      </c>
      <c r="AD1403" t="s">
        <v>113</v>
      </c>
      <c r="AE1403" t="s">
        <v>306</v>
      </c>
      <c r="AG1403" t="s">
        <v>121</v>
      </c>
    </row>
    <row r="1404" spans="1:33" x14ac:dyDescent="0.25">
      <c r="A1404" t="str">
        <f>"1073769725"</f>
        <v>1073769725</v>
      </c>
      <c r="B1404" t="str">
        <f>"03388658"</f>
        <v>03388658</v>
      </c>
      <c r="C1404" t="s">
        <v>8282</v>
      </c>
      <c r="D1404" t="s">
        <v>8283</v>
      </c>
      <c r="E1404" t="s">
        <v>8284</v>
      </c>
      <c r="G1404" t="s">
        <v>8285</v>
      </c>
      <c r="H1404" t="s">
        <v>1659</v>
      </c>
      <c r="J1404" t="s">
        <v>1660</v>
      </c>
      <c r="L1404" t="s">
        <v>150</v>
      </c>
      <c r="M1404" t="s">
        <v>113</v>
      </c>
      <c r="R1404" t="s">
        <v>8286</v>
      </c>
      <c r="W1404" t="s">
        <v>8284</v>
      </c>
      <c r="X1404" t="s">
        <v>1663</v>
      </c>
      <c r="Y1404" t="s">
        <v>1381</v>
      </c>
      <c r="Z1404" t="s">
        <v>117</v>
      </c>
      <c r="AA1404" t="str">
        <f>"14063-1769"</f>
        <v>14063-1769</v>
      </c>
      <c r="AB1404" t="s">
        <v>118</v>
      </c>
      <c r="AC1404" t="s">
        <v>119</v>
      </c>
      <c r="AD1404" t="s">
        <v>113</v>
      </c>
      <c r="AE1404" t="s">
        <v>120</v>
      </c>
      <c r="AG1404" t="s">
        <v>121</v>
      </c>
    </row>
    <row r="1405" spans="1:33" x14ac:dyDescent="0.25">
      <c r="A1405" t="str">
        <f>"1073783858"</f>
        <v>1073783858</v>
      </c>
      <c r="B1405" t="str">
        <f>"03113577"</f>
        <v>03113577</v>
      </c>
      <c r="C1405" t="s">
        <v>8287</v>
      </c>
      <c r="D1405" t="s">
        <v>8288</v>
      </c>
      <c r="E1405" t="s">
        <v>8289</v>
      </c>
      <c r="G1405" t="s">
        <v>8287</v>
      </c>
      <c r="H1405" t="s">
        <v>1964</v>
      </c>
      <c r="J1405" t="s">
        <v>8290</v>
      </c>
      <c r="L1405" t="s">
        <v>142</v>
      </c>
      <c r="M1405" t="s">
        <v>113</v>
      </c>
      <c r="R1405" t="s">
        <v>8291</v>
      </c>
      <c r="W1405" t="s">
        <v>8292</v>
      </c>
      <c r="X1405" t="s">
        <v>8293</v>
      </c>
      <c r="Y1405" t="s">
        <v>116</v>
      </c>
      <c r="Z1405" t="s">
        <v>117</v>
      </c>
      <c r="AA1405" t="str">
        <f>"14215-0000"</f>
        <v>14215-0000</v>
      </c>
      <c r="AB1405" t="s">
        <v>118</v>
      </c>
      <c r="AC1405" t="s">
        <v>119</v>
      </c>
      <c r="AD1405" t="s">
        <v>113</v>
      </c>
      <c r="AE1405" t="s">
        <v>120</v>
      </c>
      <c r="AG1405" t="s">
        <v>121</v>
      </c>
    </row>
    <row r="1406" spans="1:33" x14ac:dyDescent="0.25">
      <c r="A1406" t="str">
        <f>"1073794814"</f>
        <v>1073794814</v>
      </c>
      <c r="B1406" t="str">
        <f>"02923339"</f>
        <v>02923339</v>
      </c>
      <c r="C1406" t="s">
        <v>8294</v>
      </c>
      <c r="D1406" t="s">
        <v>8295</v>
      </c>
      <c r="E1406" t="s">
        <v>8296</v>
      </c>
      <c r="G1406" t="s">
        <v>8294</v>
      </c>
      <c r="H1406" t="s">
        <v>579</v>
      </c>
      <c r="J1406" t="s">
        <v>8297</v>
      </c>
      <c r="L1406" t="s">
        <v>150</v>
      </c>
      <c r="M1406" t="s">
        <v>113</v>
      </c>
      <c r="R1406" t="s">
        <v>8298</v>
      </c>
      <c r="W1406" t="s">
        <v>8298</v>
      </c>
      <c r="X1406" t="s">
        <v>8299</v>
      </c>
      <c r="Y1406" t="s">
        <v>816</v>
      </c>
      <c r="Z1406" t="s">
        <v>117</v>
      </c>
      <c r="AA1406" t="str">
        <f>"14120-4631"</f>
        <v>14120-4631</v>
      </c>
      <c r="AB1406" t="s">
        <v>118</v>
      </c>
      <c r="AC1406" t="s">
        <v>119</v>
      </c>
      <c r="AD1406" t="s">
        <v>113</v>
      </c>
      <c r="AE1406" t="s">
        <v>120</v>
      </c>
      <c r="AG1406" t="s">
        <v>121</v>
      </c>
    </row>
    <row r="1407" spans="1:33" x14ac:dyDescent="0.25">
      <c r="A1407" t="str">
        <f>"1073802815"</f>
        <v>1073802815</v>
      </c>
      <c r="B1407" t="str">
        <f>"03355915"</f>
        <v>03355915</v>
      </c>
      <c r="C1407" t="s">
        <v>4751</v>
      </c>
      <c r="D1407" t="s">
        <v>8300</v>
      </c>
      <c r="E1407" t="s">
        <v>8301</v>
      </c>
      <c r="F1407">
        <v>160850407</v>
      </c>
      <c r="H1407" t="s">
        <v>983</v>
      </c>
      <c r="L1407" t="s">
        <v>69</v>
      </c>
      <c r="M1407" t="s">
        <v>113</v>
      </c>
      <c r="R1407" t="s">
        <v>4757</v>
      </c>
      <c r="W1407" t="s">
        <v>8301</v>
      </c>
      <c r="X1407" t="s">
        <v>8302</v>
      </c>
      <c r="Y1407" t="s">
        <v>8303</v>
      </c>
      <c r="Z1407" t="s">
        <v>117</v>
      </c>
      <c r="AA1407" t="str">
        <f>"14720-0001"</f>
        <v>14720-0001</v>
      </c>
      <c r="AB1407" t="s">
        <v>282</v>
      </c>
      <c r="AC1407" t="s">
        <v>119</v>
      </c>
      <c r="AD1407" t="s">
        <v>113</v>
      </c>
      <c r="AE1407" t="s">
        <v>120</v>
      </c>
      <c r="AG1407" t="s">
        <v>121</v>
      </c>
    </row>
    <row r="1408" spans="1:33" x14ac:dyDescent="0.25">
      <c r="A1408" t="str">
        <f>"1073802823"</f>
        <v>1073802823</v>
      </c>
      <c r="C1408" t="s">
        <v>8304</v>
      </c>
      <c r="G1408" t="s">
        <v>8305</v>
      </c>
      <c r="H1408" t="s">
        <v>590</v>
      </c>
      <c r="J1408" t="s">
        <v>8306</v>
      </c>
      <c r="K1408" t="s">
        <v>303</v>
      </c>
      <c r="L1408" t="s">
        <v>112</v>
      </c>
      <c r="M1408" t="s">
        <v>113</v>
      </c>
      <c r="R1408" t="s">
        <v>8307</v>
      </c>
      <c r="S1408" t="s">
        <v>8308</v>
      </c>
      <c r="T1408" t="s">
        <v>116</v>
      </c>
      <c r="U1408" t="s">
        <v>117</v>
      </c>
      <c r="V1408" t="str">
        <f>"142132116"</f>
        <v>142132116</v>
      </c>
      <c r="AC1408" t="s">
        <v>119</v>
      </c>
      <c r="AD1408" t="s">
        <v>113</v>
      </c>
      <c r="AE1408" t="s">
        <v>306</v>
      </c>
      <c r="AG1408" t="s">
        <v>121</v>
      </c>
    </row>
    <row r="1409" spans="1:33" x14ac:dyDescent="0.25">
      <c r="A1409" t="str">
        <f>"1073821443"</f>
        <v>1073821443</v>
      </c>
      <c r="B1409" t="str">
        <f>"03562443"</f>
        <v>03562443</v>
      </c>
      <c r="C1409" t="s">
        <v>8309</v>
      </c>
      <c r="D1409" t="s">
        <v>8310</v>
      </c>
      <c r="E1409" t="s">
        <v>8311</v>
      </c>
      <c r="G1409" t="s">
        <v>8312</v>
      </c>
      <c r="H1409" t="s">
        <v>8313</v>
      </c>
      <c r="J1409" t="s">
        <v>8314</v>
      </c>
      <c r="L1409" t="s">
        <v>150</v>
      </c>
      <c r="M1409" t="s">
        <v>113</v>
      </c>
      <c r="R1409" t="s">
        <v>8315</v>
      </c>
      <c r="W1409" t="s">
        <v>8311</v>
      </c>
      <c r="X1409" t="s">
        <v>216</v>
      </c>
      <c r="Y1409" t="s">
        <v>116</v>
      </c>
      <c r="Z1409" t="s">
        <v>117</v>
      </c>
      <c r="AA1409" t="str">
        <f>"14222-2006"</f>
        <v>14222-2006</v>
      </c>
      <c r="AB1409" t="s">
        <v>118</v>
      </c>
      <c r="AC1409" t="s">
        <v>119</v>
      </c>
      <c r="AD1409" t="s">
        <v>113</v>
      </c>
      <c r="AE1409" t="s">
        <v>120</v>
      </c>
      <c r="AG1409" t="s">
        <v>121</v>
      </c>
    </row>
    <row r="1410" spans="1:33" x14ac:dyDescent="0.25">
      <c r="A1410" t="str">
        <f>"1093064230"</f>
        <v>1093064230</v>
      </c>
      <c r="B1410" t="str">
        <f>"03498726"</f>
        <v>03498726</v>
      </c>
      <c r="C1410" t="s">
        <v>8316</v>
      </c>
      <c r="D1410" t="s">
        <v>8317</v>
      </c>
      <c r="E1410" t="s">
        <v>8318</v>
      </c>
      <c r="G1410" t="s">
        <v>8316</v>
      </c>
      <c r="H1410" t="s">
        <v>707</v>
      </c>
      <c r="J1410" t="s">
        <v>8319</v>
      </c>
      <c r="L1410" t="s">
        <v>112</v>
      </c>
      <c r="M1410" t="s">
        <v>113</v>
      </c>
      <c r="R1410" t="s">
        <v>8320</v>
      </c>
      <c r="W1410" t="s">
        <v>8318</v>
      </c>
      <c r="X1410" t="s">
        <v>709</v>
      </c>
      <c r="Y1410" t="s">
        <v>116</v>
      </c>
      <c r="Z1410" t="s">
        <v>117</v>
      </c>
      <c r="AA1410" t="str">
        <f>"14263-0001"</f>
        <v>14263-0001</v>
      </c>
      <c r="AB1410" t="s">
        <v>118</v>
      </c>
      <c r="AC1410" t="s">
        <v>119</v>
      </c>
      <c r="AD1410" t="s">
        <v>113</v>
      </c>
      <c r="AE1410" t="s">
        <v>120</v>
      </c>
      <c r="AG1410" t="s">
        <v>121</v>
      </c>
    </row>
    <row r="1411" spans="1:33" x14ac:dyDescent="0.25">
      <c r="A1411" t="str">
        <f>"1093081556"</f>
        <v>1093081556</v>
      </c>
      <c r="B1411" t="str">
        <f>"03798318"</f>
        <v>03798318</v>
      </c>
      <c r="C1411" t="s">
        <v>8321</v>
      </c>
      <c r="D1411" t="s">
        <v>8322</v>
      </c>
      <c r="E1411" t="s">
        <v>8323</v>
      </c>
      <c r="G1411" t="s">
        <v>8321</v>
      </c>
      <c r="H1411" t="s">
        <v>8324</v>
      </c>
      <c r="J1411" t="s">
        <v>8325</v>
      </c>
      <c r="L1411" t="s">
        <v>142</v>
      </c>
      <c r="M1411" t="s">
        <v>113</v>
      </c>
      <c r="R1411" t="s">
        <v>8326</v>
      </c>
      <c r="W1411" t="s">
        <v>8323</v>
      </c>
      <c r="X1411" t="s">
        <v>216</v>
      </c>
      <c r="Y1411" t="s">
        <v>116</v>
      </c>
      <c r="Z1411" t="s">
        <v>117</v>
      </c>
      <c r="AA1411" t="str">
        <f>"14222-2006"</f>
        <v>14222-2006</v>
      </c>
      <c r="AB1411" t="s">
        <v>118</v>
      </c>
      <c r="AC1411" t="s">
        <v>119</v>
      </c>
      <c r="AD1411" t="s">
        <v>113</v>
      </c>
      <c r="AE1411" t="s">
        <v>120</v>
      </c>
      <c r="AG1411" t="s">
        <v>121</v>
      </c>
    </row>
    <row r="1412" spans="1:33" x14ac:dyDescent="0.25">
      <c r="A1412" t="str">
        <f>"1245289016"</f>
        <v>1245289016</v>
      </c>
      <c r="B1412" t="str">
        <f>"01601174"</f>
        <v>01601174</v>
      </c>
      <c r="C1412" t="s">
        <v>8327</v>
      </c>
      <c r="D1412" t="s">
        <v>8328</v>
      </c>
      <c r="E1412" t="s">
        <v>8329</v>
      </c>
      <c r="G1412" t="s">
        <v>8327</v>
      </c>
      <c r="H1412" t="s">
        <v>205</v>
      </c>
      <c r="J1412" t="s">
        <v>8330</v>
      </c>
      <c r="L1412" t="s">
        <v>150</v>
      </c>
      <c r="M1412" t="s">
        <v>113</v>
      </c>
      <c r="R1412" t="s">
        <v>8331</v>
      </c>
      <c r="W1412" t="s">
        <v>8329</v>
      </c>
      <c r="X1412" t="s">
        <v>176</v>
      </c>
      <c r="Y1412" t="s">
        <v>116</v>
      </c>
      <c r="Z1412" t="s">
        <v>117</v>
      </c>
      <c r="AA1412" t="str">
        <f>"14203-1126"</f>
        <v>14203-1126</v>
      </c>
      <c r="AB1412" t="s">
        <v>118</v>
      </c>
      <c r="AC1412" t="s">
        <v>119</v>
      </c>
      <c r="AD1412" t="s">
        <v>113</v>
      </c>
      <c r="AE1412" t="s">
        <v>120</v>
      </c>
      <c r="AG1412" t="s">
        <v>121</v>
      </c>
    </row>
    <row r="1413" spans="1:33" x14ac:dyDescent="0.25">
      <c r="A1413" t="str">
        <f>"1245289727"</f>
        <v>1245289727</v>
      </c>
      <c r="B1413" t="str">
        <f>"01627316"</f>
        <v>01627316</v>
      </c>
      <c r="C1413" t="s">
        <v>8332</v>
      </c>
      <c r="D1413" t="s">
        <v>8333</v>
      </c>
      <c r="E1413" t="s">
        <v>8334</v>
      </c>
      <c r="G1413" t="s">
        <v>8335</v>
      </c>
      <c r="J1413" t="s">
        <v>8336</v>
      </c>
      <c r="L1413" t="s">
        <v>112</v>
      </c>
      <c r="M1413" t="s">
        <v>113</v>
      </c>
      <c r="R1413" t="s">
        <v>8337</v>
      </c>
      <c r="W1413" t="s">
        <v>8334</v>
      </c>
      <c r="X1413" t="s">
        <v>8338</v>
      </c>
      <c r="Y1413" t="s">
        <v>1545</v>
      </c>
      <c r="Z1413" t="s">
        <v>117</v>
      </c>
      <c r="AA1413" t="str">
        <f>"14218-1626"</f>
        <v>14218-1626</v>
      </c>
      <c r="AB1413" t="s">
        <v>118</v>
      </c>
      <c r="AC1413" t="s">
        <v>119</v>
      </c>
      <c r="AD1413" t="s">
        <v>113</v>
      </c>
      <c r="AE1413" t="s">
        <v>120</v>
      </c>
      <c r="AG1413" t="s">
        <v>121</v>
      </c>
    </row>
    <row r="1414" spans="1:33" x14ac:dyDescent="0.25">
      <c r="A1414" t="str">
        <f>"1245296557"</f>
        <v>1245296557</v>
      </c>
      <c r="B1414" t="str">
        <f>"00589973"</f>
        <v>00589973</v>
      </c>
      <c r="C1414" t="s">
        <v>8339</v>
      </c>
      <c r="D1414" t="s">
        <v>8340</v>
      </c>
      <c r="E1414" t="s">
        <v>8341</v>
      </c>
      <c r="G1414" t="s">
        <v>8342</v>
      </c>
      <c r="H1414" t="s">
        <v>8343</v>
      </c>
      <c r="J1414" t="s">
        <v>8344</v>
      </c>
      <c r="L1414" t="s">
        <v>142</v>
      </c>
      <c r="M1414" t="s">
        <v>113</v>
      </c>
      <c r="R1414" t="s">
        <v>8345</v>
      </c>
      <c r="W1414" t="s">
        <v>8341</v>
      </c>
      <c r="X1414" t="s">
        <v>8346</v>
      </c>
      <c r="Y1414" t="s">
        <v>116</v>
      </c>
      <c r="Z1414" t="s">
        <v>117</v>
      </c>
      <c r="AA1414" t="str">
        <f>"14203-1154"</f>
        <v>14203-1154</v>
      </c>
      <c r="AB1414" t="s">
        <v>118</v>
      </c>
      <c r="AC1414" t="s">
        <v>119</v>
      </c>
      <c r="AD1414" t="s">
        <v>113</v>
      </c>
      <c r="AE1414" t="s">
        <v>120</v>
      </c>
      <c r="AG1414" t="s">
        <v>121</v>
      </c>
    </row>
    <row r="1415" spans="1:33" x14ac:dyDescent="0.25">
      <c r="A1415" t="str">
        <f>"1245306729"</f>
        <v>1245306729</v>
      </c>
      <c r="B1415" t="str">
        <f>"03184934"</f>
        <v>03184934</v>
      </c>
      <c r="C1415" t="s">
        <v>8347</v>
      </c>
      <c r="D1415" t="s">
        <v>8348</v>
      </c>
      <c r="E1415" t="s">
        <v>8349</v>
      </c>
      <c r="G1415" t="s">
        <v>8350</v>
      </c>
      <c r="H1415" t="s">
        <v>8351</v>
      </c>
      <c r="J1415" t="s">
        <v>8352</v>
      </c>
      <c r="L1415" t="s">
        <v>112</v>
      </c>
      <c r="M1415" t="s">
        <v>113</v>
      </c>
      <c r="R1415" t="s">
        <v>8353</v>
      </c>
      <c r="W1415" t="s">
        <v>8349</v>
      </c>
      <c r="X1415" t="s">
        <v>2892</v>
      </c>
      <c r="Y1415" t="s">
        <v>240</v>
      </c>
      <c r="Z1415" t="s">
        <v>117</v>
      </c>
      <c r="AA1415" t="str">
        <f>"14221-5838"</f>
        <v>14221-5838</v>
      </c>
      <c r="AB1415" t="s">
        <v>118</v>
      </c>
      <c r="AC1415" t="s">
        <v>119</v>
      </c>
      <c r="AD1415" t="s">
        <v>113</v>
      </c>
      <c r="AE1415" t="s">
        <v>120</v>
      </c>
      <c r="AG1415" t="s">
        <v>121</v>
      </c>
    </row>
    <row r="1416" spans="1:33" x14ac:dyDescent="0.25">
      <c r="A1416" t="str">
        <f>"1245317247"</f>
        <v>1245317247</v>
      </c>
      <c r="C1416" t="s">
        <v>8354</v>
      </c>
      <c r="G1416" t="s">
        <v>8354</v>
      </c>
      <c r="H1416" t="s">
        <v>8355</v>
      </c>
      <c r="J1416" t="s">
        <v>8356</v>
      </c>
      <c r="K1416" t="s">
        <v>303</v>
      </c>
      <c r="L1416" t="s">
        <v>229</v>
      </c>
      <c r="M1416" t="s">
        <v>113</v>
      </c>
      <c r="R1416" t="s">
        <v>8357</v>
      </c>
      <c r="S1416" t="s">
        <v>8358</v>
      </c>
      <c r="T1416" t="s">
        <v>527</v>
      </c>
      <c r="U1416" t="s">
        <v>117</v>
      </c>
      <c r="V1416" t="str">
        <f>"141031436"</f>
        <v>141031436</v>
      </c>
      <c r="AC1416" t="s">
        <v>119</v>
      </c>
      <c r="AD1416" t="s">
        <v>113</v>
      </c>
      <c r="AE1416" t="s">
        <v>306</v>
      </c>
      <c r="AG1416" t="s">
        <v>121</v>
      </c>
    </row>
    <row r="1417" spans="1:33" x14ac:dyDescent="0.25">
      <c r="A1417" t="str">
        <f>"1245328467"</f>
        <v>1245328467</v>
      </c>
      <c r="B1417" t="str">
        <f>"01961733"</f>
        <v>01961733</v>
      </c>
      <c r="C1417" t="s">
        <v>8359</v>
      </c>
      <c r="D1417" t="s">
        <v>8360</v>
      </c>
      <c r="E1417" t="s">
        <v>8361</v>
      </c>
      <c r="G1417" t="s">
        <v>8359</v>
      </c>
      <c r="H1417" t="s">
        <v>8362</v>
      </c>
      <c r="J1417" t="s">
        <v>8363</v>
      </c>
      <c r="L1417" t="s">
        <v>8364</v>
      </c>
      <c r="M1417" t="s">
        <v>199</v>
      </c>
      <c r="R1417" t="s">
        <v>8365</v>
      </c>
      <c r="W1417" t="s">
        <v>8366</v>
      </c>
      <c r="X1417" t="s">
        <v>8367</v>
      </c>
      <c r="Y1417" t="s">
        <v>116</v>
      </c>
      <c r="Z1417" t="s">
        <v>117</v>
      </c>
      <c r="AA1417" t="str">
        <f>"14222-2099"</f>
        <v>14222-2099</v>
      </c>
      <c r="AB1417" t="s">
        <v>1460</v>
      </c>
      <c r="AC1417" t="s">
        <v>119</v>
      </c>
      <c r="AD1417" t="s">
        <v>113</v>
      </c>
      <c r="AE1417" t="s">
        <v>120</v>
      </c>
      <c r="AG1417" t="s">
        <v>121</v>
      </c>
    </row>
    <row r="1418" spans="1:33" x14ac:dyDescent="0.25">
      <c r="A1418" t="str">
        <f>"1245331818"</f>
        <v>1245331818</v>
      </c>
      <c r="B1418" t="str">
        <f>"01406720"</f>
        <v>01406720</v>
      </c>
      <c r="C1418" t="s">
        <v>8368</v>
      </c>
      <c r="D1418" t="s">
        <v>8369</v>
      </c>
      <c r="E1418" t="s">
        <v>8370</v>
      </c>
      <c r="G1418" t="s">
        <v>8368</v>
      </c>
      <c r="H1418" t="s">
        <v>8371</v>
      </c>
      <c r="J1418" t="s">
        <v>8372</v>
      </c>
      <c r="L1418" t="s">
        <v>142</v>
      </c>
      <c r="M1418" t="s">
        <v>199</v>
      </c>
      <c r="R1418" t="s">
        <v>8373</v>
      </c>
      <c r="W1418" t="s">
        <v>8370</v>
      </c>
      <c r="X1418" t="s">
        <v>838</v>
      </c>
      <c r="Y1418" t="s">
        <v>240</v>
      </c>
      <c r="Z1418" t="s">
        <v>117</v>
      </c>
      <c r="AA1418" t="str">
        <f>"14221-3647"</f>
        <v>14221-3647</v>
      </c>
      <c r="AB1418" t="s">
        <v>118</v>
      </c>
      <c r="AC1418" t="s">
        <v>119</v>
      </c>
      <c r="AD1418" t="s">
        <v>113</v>
      </c>
      <c r="AE1418" t="s">
        <v>120</v>
      </c>
      <c r="AG1418" t="s">
        <v>121</v>
      </c>
    </row>
    <row r="1419" spans="1:33" x14ac:dyDescent="0.25">
      <c r="A1419" t="str">
        <f>"1023072055"</f>
        <v>1023072055</v>
      </c>
      <c r="B1419" t="str">
        <f>"01832113"</f>
        <v>01832113</v>
      </c>
      <c r="C1419" t="s">
        <v>8374</v>
      </c>
      <c r="D1419" t="s">
        <v>8375</v>
      </c>
      <c r="E1419" t="s">
        <v>8376</v>
      </c>
      <c r="G1419" t="s">
        <v>8374</v>
      </c>
      <c r="H1419" t="s">
        <v>8377</v>
      </c>
      <c r="J1419" t="s">
        <v>8378</v>
      </c>
      <c r="L1419" t="s">
        <v>150</v>
      </c>
      <c r="M1419" t="s">
        <v>113</v>
      </c>
      <c r="R1419" t="s">
        <v>8379</v>
      </c>
      <c r="W1419" t="s">
        <v>8380</v>
      </c>
      <c r="X1419" t="s">
        <v>5146</v>
      </c>
      <c r="Y1419" t="s">
        <v>663</v>
      </c>
      <c r="Z1419" t="s">
        <v>117</v>
      </c>
      <c r="AA1419" t="str">
        <f>"14094-9273"</f>
        <v>14094-9273</v>
      </c>
      <c r="AB1419" t="s">
        <v>118</v>
      </c>
      <c r="AC1419" t="s">
        <v>119</v>
      </c>
      <c r="AD1419" t="s">
        <v>113</v>
      </c>
      <c r="AE1419" t="s">
        <v>120</v>
      </c>
      <c r="AG1419" t="s">
        <v>121</v>
      </c>
    </row>
    <row r="1420" spans="1:33" x14ac:dyDescent="0.25">
      <c r="A1420" t="str">
        <f>"1023075165"</f>
        <v>1023075165</v>
      </c>
      <c r="B1420" t="str">
        <f>"02558565"</f>
        <v>02558565</v>
      </c>
      <c r="C1420" t="s">
        <v>8381</v>
      </c>
      <c r="D1420" t="s">
        <v>8382</v>
      </c>
      <c r="E1420" t="s">
        <v>8383</v>
      </c>
      <c r="G1420" t="s">
        <v>8381</v>
      </c>
      <c r="H1420" t="s">
        <v>908</v>
      </c>
      <c r="J1420" t="s">
        <v>8384</v>
      </c>
      <c r="L1420" t="s">
        <v>142</v>
      </c>
      <c r="M1420" t="s">
        <v>113</v>
      </c>
      <c r="R1420" t="s">
        <v>8385</v>
      </c>
      <c r="W1420" t="s">
        <v>8383</v>
      </c>
      <c r="X1420" t="s">
        <v>896</v>
      </c>
      <c r="Y1420" t="s">
        <v>116</v>
      </c>
      <c r="Z1420" t="s">
        <v>117</v>
      </c>
      <c r="AA1420" t="str">
        <f>"14203-1154"</f>
        <v>14203-1154</v>
      </c>
      <c r="AB1420" t="s">
        <v>118</v>
      </c>
      <c r="AC1420" t="s">
        <v>119</v>
      </c>
      <c r="AD1420" t="s">
        <v>113</v>
      </c>
      <c r="AE1420" t="s">
        <v>120</v>
      </c>
      <c r="AG1420" t="s">
        <v>121</v>
      </c>
    </row>
    <row r="1421" spans="1:33" x14ac:dyDescent="0.25">
      <c r="A1421" t="str">
        <f>"1023075918"</f>
        <v>1023075918</v>
      </c>
      <c r="B1421" t="str">
        <f>"01754232"</f>
        <v>01754232</v>
      </c>
      <c r="C1421" t="s">
        <v>8386</v>
      </c>
      <c r="D1421" t="s">
        <v>8387</v>
      </c>
      <c r="E1421" t="s">
        <v>8388</v>
      </c>
      <c r="G1421" t="s">
        <v>8389</v>
      </c>
      <c r="H1421" t="s">
        <v>8390</v>
      </c>
      <c r="J1421" t="s">
        <v>8391</v>
      </c>
      <c r="L1421" t="s">
        <v>150</v>
      </c>
      <c r="M1421" t="s">
        <v>113</v>
      </c>
      <c r="R1421" t="s">
        <v>8392</v>
      </c>
      <c r="W1421" t="s">
        <v>8388</v>
      </c>
      <c r="X1421" t="s">
        <v>8393</v>
      </c>
      <c r="Y1421" t="s">
        <v>889</v>
      </c>
      <c r="Z1421" t="s">
        <v>117</v>
      </c>
      <c r="AA1421" t="str">
        <f>"14120-2835"</f>
        <v>14120-2835</v>
      </c>
      <c r="AB1421" t="s">
        <v>118</v>
      </c>
      <c r="AC1421" t="s">
        <v>119</v>
      </c>
      <c r="AD1421" t="s">
        <v>113</v>
      </c>
      <c r="AE1421" t="s">
        <v>120</v>
      </c>
      <c r="AG1421" t="s">
        <v>121</v>
      </c>
    </row>
    <row r="1422" spans="1:33" x14ac:dyDescent="0.25">
      <c r="A1422" t="str">
        <f>"1023079316"</f>
        <v>1023079316</v>
      </c>
      <c r="C1422" t="s">
        <v>8394</v>
      </c>
      <c r="G1422" t="s">
        <v>8394</v>
      </c>
      <c r="J1422" t="s">
        <v>8395</v>
      </c>
      <c r="K1422" t="s">
        <v>303</v>
      </c>
      <c r="L1422" t="s">
        <v>229</v>
      </c>
      <c r="M1422" t="s">
        <v>113</v>
      </c>
      <c r="R1422" t="s">
        <v>8396</v>
      </c>
      <c r="S1422" t="s">
        <v>8397</v>
      </c>
      <c r="T1422" t="s">
        <v>8398</v>
      </c>
      <c r="U1422" t="s">
        <v>8399</v>
      </c>
      <c r="V1422" t="str">
        <f>"441061716"</f>
        <v>441061716</v>
      </c>
      <c r="AC1422" t="s">
        <v>119</v>
      </c>
      <c r="AD1422" t="s">
        <v>113</v>
      </c>
      <c r="AE1422" t="s">
        <v>306</v>
      </c>
      <c r="AG1422" t="s">
        <v>121</v>
      </c>
    </row>
    <row r="1423" spans="1:33" x14ac:dyDescent="0.25">
      <c r="A1423" t="str">
        <f>"1023080645"</f>
        <v>1023080645</v>
      </c>
      <c r="B1423" t="str">
        <f>"01747066"</f>
        <v>01747066</v>
      </c>
      <c r="C1423" t="s">
        <v>8400</v>
      </c>
      <c r="D1423" t="s">
        <v>8401</v>
      </c>
      <c r="E1423" t="s">
        <v>8402</v>
      </c>
      <c r="G1423" t="s">
        <v>8400</v>
      </c>
      <c r="H1423" t="s">
        <v>566</v>
      </c>
      <c r="J1423" t="s">
        <v>8403</v>
      </c>
      <c r="L1423" t="s">
        <v>150</v>
      </c>
      <c r="M1423" t="s">
        <v>113</v>
      </c>
      <c r="R1423" t="s">
        <v>8404</v>
      </c>
      <c r="W1423" t="s">
        <v>8402</v>
      </c>
      <c r="X1423" t="s">
        <v>933</v>
      </c>
      <c r="Y1423" t="s">
        <v>116</v>
      </c>
      <c r="Z1423" t="s">
        <v>117</v>
      </c>
      <c r="AA1423" t="str">
        <f>"14222-2006"</f>
        <v>14222-2006</v>
      </c>
      <c r="AB1423" t="s">
        <v>118</v>
      </c>
      <c r="AC1423" t="s">
        <v>119</v>
      </c>
      <c r="AD1423" t="s">
        <v>113</v>
      </c>
      <c r="AE1423" t="s">
        <v>120</v>
      </c>
      <c r="AG1423" t="s">
        <v>121</v>
      </c>
    </row>
    <row r="1424" spans="1:33" x14ac:dyDescent="0.25">
      <c r="A1424" t="str">
        <f>"1023080728"</f>
        <v>1023080728</v>
      </c>
      <c r="B1424" t="str">
        <f>"02686419"</f>
        <v>02686419</v>
      </c>
      <c r="C1424" t="s">
        <v>8405</v>
      </c>
      <c r="D1424" t="s">
        <v>8406</v>
      </c>
      <c r="E1424" t="s">
        <v>8407</v>
      </c>
      <c r="G1424" t="s">
        <v>8405</v>
      </c>
      <c r="H1424" t="s">
        <v>8408</v>
      </c>
      <c r="L1424" t="s">
        <v>150</v>
      </c>
      <c r="M1424" t="s">
        <v>113</v>
      </c>
      <c r="R1424" t="s">
        <v>8409</v>
      </c>
      <c r="W1424" t="s">
        <v>8407</v>
      </c>
      <c r="X1424" t="s">
        <v>152</v>
      </c>
      <c r="Y1424" t="s">
        <v>153</v>
      </c>
      <c r="Z1424" t="s">
        <v>117</v>
      </c>
      <c r="AA1424" t="str">
        <f>"14301-1813"</f>
        <v>14301-1813</v>
      </c>
      <c r="AB1424" t="s">
        <v>118</v>
      </c>
      <c r="AC1424" t="s">
        <v>119</v>
      </c>
      <c r="AD1424" t="s">
        <v>113</v>
      </c>
      <c r="AE1424" t="s">
        <v>120</v>
      </c>
      <c r="AG1424" t="s">
        <v>121</v>
      </c>
    </row>
    <row r="1425" spans="1:33" x14ac:dyDescent="0.25">
      <c r="A1425" t="str">
        <f>"1023081627"</f>
        <v>1023081627</v>
      </c>
      <c r="B1425" t="str">
        <f>"01935726"</f>
        <v>01935726</v>
      </c>
      <c r="C1425" t="s">
        <v>8410</v>
      </c>
      <c r="D1425" t="s">
        <v>8411</v>
      </c>
      <c r="E1425" t="s">
        <v>8412</v>
      </c>
      <c r="G1425" t="s">
        <v>8410</v>
      </c>
      <c r="H1425" t="s">
        <v>465</v>
      </c>
      <c r="J1425" t="s">
        <v>8413</v>
      </c>
      <c r="L1425" t="s">
        <v>142</v>
      </c>
      <c r="M1425" t="s">
        <v>113</v>
      </c>
      <c r="R1425" t="s">
        <v>8414</v>
      </c>
      <c r="W1425" t="s">
        <v>8412</v>
      </c>
      <c r="X1425" t="s">
        <v>494</v>
      </c>
      <c r="Y1425" t="s">
        <v>240</v>
      </c>
      <c r="Z1425" t="s">
        <v>117</v>
      </c>
      <c r="AA1425" t="str">
        <f>"14221-5934"</f>
        <v>14221-5934</v>
      </c>
      <c r="AB1425" t="s">
        <v>118</v>
      </c>
      <c r="AC1425" t="s">
        <v>119</v>
      </c>
      <c r="AD1425" t="s">
        <v>113</v>
      </c>
      <c r="AE1425" t="s">
        <v>120</v>
      </c>
      <c r="AG1425" t="s">
        <v>121</v>
      </c>
    </row>
    <row r="1426" spans="1:33" x14ac:dyDescent="0.25">
      <c r="A1426" t="str">
        <f>"1023086337"</f>
        <v>1023086337</v>
      </c>
      <c r="B1426" t="str">
        <f>"03518009"</f>
        <v>03518009</v>
      </c>
      <c r="C1426" t="s">
        <v>8415</v>
      </c>
      <c r="D1426" t="s">
        <v>8416</v>
      </c>
      <c r="E1426" t="s">
        <v>8417</v>
      </c>
      <c r="G1426" t="s">
        <v>8418</v>
      </c>
      <c r="J1426" t="s">
        <v>8419</v>
      </c>
      <c r="L1426" t="s">
        <v>142</v>
      </c>
      <c r="M1426" t="s">
        <v>113</v>
      </c>
      <c r="R1426" t="s">
        <v>8417</v>
      </c>
      <c r="W1426" t="s">
        <v>8417</v>
      </c>
      <c r="X1426" t="s">
        <v>216</v>
      </c>
      <c r="Y1426" t="s">
        <v>116</v>
      </c>
      <c r="Z1426" t="s">
        <v>117</v>
      </c>
      <c r="AA1426" t="str">
        <f>"14222-2006"</f>
        <v>14222-2006</v>
      </c>
      <c r="AB1426" t="s">
        <v>118</v>
      </c>
      <c r="AC1426" t="s">
        <v>119</v>
      </c>
      <c r="AD1426" t="s">
        <v>113</v>
      </c>
      <c r="AE1426" t="s">
        <v>120</v>
      </c>
      <c r="AG1426" t="s">
        <v>121</v>
      </c>
    </row>
    <row r="1427" spans="1:33" x14ac:dyDescent="0.25">
      <c r="A1427" t="str">
        <f>"1023093770"</f>
        <v>1023093770</v>
      </c>
      <c r="B1427" t="str">
        <f>"02689572"</f>
        <v>02689572</v>
      </c>
      <c r="C1427" t="s">
        <v>8420</v>
      </c>
      <c r="D1427" t="s">
        <v>8421</v>
      </c>
      <c r="E1427" t="s">
        <v>8422</v>
      </c>
      <c r="G1427" t="s">
        <v>8420</v>
      </c>
      <c r="H1427" t="s">
        <v>227</v>
      </c>
      <c r="J1427" t="s">
        <v>8423</v>
      </c>
      <c r="L1427" t="s">
        <v>142</v>
      </c>
      <c r="M1427" t="s">
        <v>113</v>
      </c>
      <c r="R1427" t="s">
        <v>8424</v>
      </c>
      <c r="W1427" t="s">
        <v>8422</v>
      </c>
      <c r="X1427" t="s">
        <v>1318</v>
      </c>
      <c r="Y1427" t="s">
        <v>1319</v>
      </c>
      <c r="Z1427" t="s">
        <v>117</v>
      </c>
      <c r="AA1427" t="str">
        <f>"11373-1329"</f>
        <v>11373-1329</v>
      </c>
      <c r="AB1427" t="s">
        <v>118</v>
      </c>
      <c r="AC1427" t="s">
        <v>119</v>
      </c>
      <c r="AD1427" t="s">
        <v>113</v>
      </c>
      <c r="AE1427" t="s">
        <v>120</v>
      </c>
      <c r="AG1427" t="s">
        <v>121</v>
      </c>
    </row>
    <row r="1428" spans="1:33" x14ac:dyDescent="0.25">
      <c r="A1428" t="str">
        <f>"1023097391"</f>
        <v>1023097391</v>
      </c>
      <c r="B1428" t="str">
        <f>"02049232"</f>
        <v>02049232</v>
      </c>
      <c r="C1428" t="s">
        <v>8425</v>
      </c>
      <c r="D1428" t="s">
        <v>8426</v>
      </c>
      <c r="E1428" t="s">
        <v>8427</v>
      </c>
      <c r="G1428" t="s">
        <v>8425</v>
      </c>
      <c r="H1428" t="s">
        <v>205</v>
      </c>
      <c r="J1428" t="s">
        <v>8428</v>
      </c>
      <c r="L1428" t="s">
        <v>112</v>
      </c>
      <c r="M1428" t="s">
        <v>113</v>
      </c>
      <c r="R1428" t="s">
        <v>8429</v>
      </c>
      <c r="W1428" t="s">
        <v>8427</v>
      </c>
      <c r="X1428" t="s">
        <v>709</v>
      </c>
      <c r="Y1428" t="s">
        <v>116</v>
      </c>
      <c r="Z1428" t="s">
        <v>117</v>
      </c>
      <c r="AA1428" t="str">
        <f>"14263-0001"</f>
        <v>14263-0001</v>
      </c>
      <c r="AB1428" t="s">
        <v>118</v>
      </c>
      <c r="AC1428" t="s">
        <v>119</v>
      </c>
      <c r="AD1428" t="s">
        <v>113</v>
      </c>
      <c r="AE1428" t="s">
        <v>120</v>
      </c>
      <c r="AG1428" t="s">
        <v>121</v>
      </c>
    </row>
    <row r="1429" spans="1:33" x14ac:dyDescent="0.25">
      <c r="A1429" t="str">
        <f>"1023112018"</f>
        <v>1023112018</v>
      </c>
      <c r="B1429" t="str">
        <f>"00645198"</f>
        <v>00645198</v>
      </c>
      <c r="C1429" t="s">
        <v>8430</v>
      </c>
      <c r="D1429" t="s">
        <v>8431</v>
      </c>
      <c r="E1429" t="s">
        <v>8432</v>
      </c>
      <c r="G1429" t="s">
        <v>8430</v>
      </c>
      <c r="H1429" t="s">
        <v>8433</v>
      </c>
      <c r="J1429" t="s">
        <v>8434</v>
      </c>
      <c r="L1429" t="s">
        <v>112</v>
      </c>
      <c r="M1429" t="s">
        <v>113</v>
      </c>
      <c r="R1429" t="s">
        <v>8435</v>
      </c>
      <c r="W1429" t="s">
        <v>8432</v>
      </c>
      <c r="X1429" t="s">
        <v>8436</v>
      </c>
      <c r="Y1429" t="s">
        <v>116</v>
      </c>
      <c r="Z1429" t="s">
        <v>117</v>
      </c>
      <c r="AA1429" t="str">
        <f>"14220-1706"</f>
        <v>14220-1706</v>
      </c>
      <c r="AB1429" t="s">
        <v>118</v>
      </c>
      <c r="AC1429" t="s">
        <v>119</v>
      </c>
      <c r="AD1429" t="s">
        <v>113</v>
      </c>
      <c r="AE1429" t="s">
        <v>120</v>
      </c>
      <c r="AG1429" t="s">
        <v>121</v>
      </c>
    </row>
    <row r="1430" spans="1:33" x14ac:dyDescent="0.25">
      <c r="A1430" t="str">
        <f>"1679596332"</f>
        <v>1679596332</v>
      </c>
      <c r="B1430" t="str">
        <f>"01747231"</f>
        <v>01747231</v>
      </c>
      <c r="C1430" t="s">
        <v>8437</v>
      </c>
      <c r="D1430" t="s">
        <v>8438</v>
      </c>
      <c r="E1430" t="s">
        <v>8439</v>
      </c>
      <c r="G1430" t="s">
        <v>8437</v>
      </c>
      <c r="H1430" t="s">
        <v>937</v>
      </c>
      <c r="J1430" t="s">
        <v>8440</v>
      </c>
      <c r="L1430" t="s">
        <v>142</v>
      </c>
      <c r="M1430" t="s">
        <v>113</v>
      </c>
      <c r="R1430" t="s">
        <v>8441</v>
      </c>
      <c r="W1430" t="s">
        <v>8439</v>
      </c>
      <c r="X1430" t="s">
        <v>136</v>
      </c>
      <c r="Y1430" t="s">
        <v>116</v>
      </c>
      <c r="Z1430" t="s">
        <v>117</v>
      </c>
      <c r="AA1430" t="str">
        <f>"14209-1120"</f>
        <v>14209-1120</v>
      </c>
      <c r="AB1430" t="s">
        <v>118</v>
      </c>
      <c r="AC1430" t="s">
        <v>119</v>
      </c>
      <c r="AD1430" t="s">
        <v>113</v>
      </c>
      <c r="AE1430" t="s">
        <v>120</v>
      </c>
      <c r="AG1430" t="s">
        <v>121</v>
      </c>
    </row>
    <row r="1431" spans="1:33" x14ac:dyDescent="0.25">
      <c r="A1431" t="str">
        <f>"1679616601"</f>
        <v>1679616601</v>
      </c>
      <c r="B1431" t="str">
        <f>"02044508"</f>
        <v>02044508</v>
      </c>
      <c r="C1431" t="s">
        <v>8442</v>
      </c>
      <c r="D1431" t="s">
        <v>8443</v>
      </c>
      <c r="E1431" t="s">
        <v>8444</v>
      </c>
      <c r="G1431" t="s">
        <v>8442</v>
      </c>
      <c r="H1431" t="s">
        <v>366</v>
      </c>
      <c r="J1431" t="s">
        <v>8445</v>
      </c>
      <c r="L1431" t="s">
        <v>112</v>
      </c>
      <c r="M1431" t="s">
        <v>113</v>
      </c>
      <c r="R1431" t="s">
        <v>8446</v>
      </c>
      <c r="W1431" t="s">
        <v>8444</v>
      </c>
      <c r="X1431" t="s">
        <v>176</v>
      </c>
      <c r="Y1431" t="s">
        <v>116</v>
      </c>
      <c r="Z1431" t="s">
        <v>117</v>
      </c>
      <c r="AA1431" t="str">
        <f>"14203-1126"</f>
        <v>14203-1126</v>
      </c>
      <c r="AB1431" t="s">
        <v>118</v>
      </c>
      <c r="AC1431" t="s">
        <v>119</v>
      </c>
      <c r="AD1431" t="s">
        <v>113</v>
      </c>
      <c r="AE1431" t="s">
        <v>120</v>
      </c>
      <c r="AG1431" t="s">
        <v>121</v>
      </c>
    </row>
    <row r="1432" spans="1:33" x14ac:dyDescent="0.25">
      <c r="A1432" t="str">
        <f>"1679617237"</f>
        <v>1679617237</v>
      </c>
      <c r="C1432" t="s">
        <v>8447</v>
      </c>
      <c r="G1432" t="s">
        <v>8448</v>
      </c>
      <c r="H1432" t="s">
        <v>437</v>
      </c>
      <c r="J1432" t="s">
        <v>438</v>
      </c>
      <c r="K1432" t="s">
        <v>303</v>
      </c>
      <c r="L1432" t="s">
        <v>229</v>
      </c>
      <c r="M1432" t="s">
        <v>113</v>
      </c>
      <c r="R1432" t="s">
        <v>8449</v>
      </c>
      <c r="S1432" t="s">
        <v>1994</v>
      </c>
      <c r="T1432" t="s">
        <v>116</v>
      </c>
      <c r="U1432" t="s">
        <v>117</v>
      </c>
      <c r="V1432" t="str">
        <f>"142041811"</f>
        <v>142041811</v>
      </c>
      <c r="AC1432" t="s">
        <v>119</v>
      </c>
      <c r="AD1432" t="s">
        <v>113</v>
      </c>
      <c r="AE1432" t="s">
        <v>306</v>
      </c>
      <c r="AG1432" t="s">
        <v>121</v>
      </c>
    </row>
    <row r="1433" spans="1:33" x14ac:dyDescent="0.25">
      <c r="A1433" t="str">
        <f>"1679632210"</f>
        <v>1679632210</v>
      </c>
      <c r="C1433" t="s">
        <v>8450</v>
      </c>
      <c r="G1433" t="s">
        <v>8450</v>
      </c>
      <c r="H1433" t="s">
        <v>937</v>
      </c>
      <c r="J1433" t="s">
        <v>8451</v>
      </c>
      <c r="K1433" t="s">
        <v>303</v>
      </c>
      <c r="L1433" t="s">
        <v>229</v>
      </c>
      <c r="M1433" t="s">
        <v>113</v>
      </c>
      <c r="R1433" t="s">
        <v>8452</v>
      </c>
      <c r="S1433" t="s">
        <v>3739</v>
      </c>
      <c r="T1433" t="s">
        <v>240</v>
      </c>
      <c r="U1433" t="s">
        <v>117</v>
      </c>
      <c r="V1433" t="str">
        <f>"142216728"</f>
        <v>142216728</v>
      </c>
      <c r="AC1433" t="s">
        <v>119</v>
      </c>
      <c r="AD1433" t="s">
        <v>113</v>
      </c>
      <c r="AE1433" t="s">
        <v>306</v>
      </c>
      <c r="AG1433" t="s">
        <v>121</v>
      </c>
    </row>
    <row r="1434" spans="1:33" x14ac:dyDescent="0.25">
      <c r="A1434" t="str">
        <f>"1679644603"</f>
        <v>1679644603</v>
      </c>
      <c r="B1434" t="str">
        <f>"02173522"</f>
        <v>02173522</v>
      </c>
      <c r="C1434" t="s">
        <v>1241</v>
      </c>
      <c r="D1434" t="s">
        <v>8453</v>
      </c>
      <c r="E1434" t="s">
        <v>8454</v>
      </c>
      <c r="F1434">
        <v>161089007</v>
      </c>
      <c r="G1434" t="s">
        <v>1244</v>
      </c>
      <c r="H1434" t="s">
        <v>1245</v>
      </c>
      <c r="J1434" t="s">
        <v>1246</v>
      </c>
      <c r="L1434" t="s">
        <v>69</v>
      </c>
      <c r="M1434" t="s">
        <v>113</v>
      </c>
      <c r="R1434" t="s">
        <v>1241</v>
      </c>
      <c r="W1434" t="s">
        <v>8454</v>
      </c>
      <c r="X1434" t="s">
        <v>8455</v>
      </c>
      <c r="Y1434" t="s">
        <v>1248</v>
      </c>
      <c r="Z1434" t="s">
        <v>117</v>
      </c>
      <c r="AA1434" t="str">
        <f>"14870-9538"</f>
        <v>14870-9538</v>
      </c>
      <c r="AB1434" t="s">
        <v>282</v>
      </c>
      <c r="AC1434" t="s">
        <v>119</v>
      </c>
      <c r="AD1434" t="s">
        <v>113</v>
      </c>
      <c r="AE1434" t="s">
        <v>120</v>
      </c>
      <c r="AG1434" t="s">
        <v>121</v>
      </c>
    </row>
    <row r="1435" spans="1:33" x14ac:dyDescent="0.25">
      <c r="A1435" t="str">
        <f>"1679681985"</f>
        <v>1679681985</v>
      </c>
      <c r="B1435" t="str">
        <f>"02748612"</f>
        <v>02748612</v>
      </c>
      <c r="C1435" t="s">
        <v>8456</v>
      </c>
      <c r="D1435" t="s">
        <v>8457</v>
      </c>
      <c r="E1435" t="s">
        <v>8458</v>
      </c>
      <c r="G1435" t="s">
        <v>8459</v>
      </c>
      <c r="H1435" t="s">
        <v>1227</v>
      </c>
      <c r="J1435" t="s">
        <v>8460</v>
      </c>
      <c r="L1435" t="s">
        <v>142</v>
      </c>
      <c r="M1435" t="s">
        <v>113</v>
      </c>
      <c r="R1435" t="s">
        <v>8461</v>
      </c>
      <c r="W1435" t="s">
        <v>8458</v>
      </c>
      <c r="X1435" t="s">
        <v>838</v>
      </c>
      <c r="Y1435" t="s">
        <v>240</v>
      </c>
      <c r="Z1435" t="s">
        <v>117</v>
      </c>
      <c r="AA1435" t="str">
        <f>"14221-3647"</f>
        <v>14221-3647</v>
      </c>
      <c r="AB1435" t="s">
        <v>118</v>
      </c>
      <c r="AC1435" t="s">
        <v>119</v>
      </c>
      <c r="AD1435" t="s">
        <v>113</v>
      </c>
      <c r="AE1435" t="s">
        <v>120</v>
      </c>
      <c r="AG1435" t="s">
        <v>121</v>
      </c>
    </row>
    <row r="1436" spans="1:33" x14ac:dyDescent="0.25">
      <c r="B1436" t="str">
        <f>"02408024"</f>
        <v>02408024</v>
      </c>
      <c r="C1436" t="s">
        <v>17996</v>
      </c>
      <c r="D1436" t="s">
        <v>17997</v>
      </c>
      <c r="E1436" t="s">
        <v>17996</v>
      </c>
      <c r="H1436" t="s">
        <v>17998</v>
      </c>
      <c r="L1436" t="s">
        <v>69</v>
      </c>
      <c r="M1436" t="s">
        <v>113</v>
      </c>
      <c r="W1436" t="s">
        <v>17996</v>
      </c>
      <c r="X1436" t="s">
        <v>17999</v>
      </c>
      <c r="Y1436" t="s">
        <v>318</v>
      </c>
      <c r="Z1436" t="s">
        <v>117</v>
      </c>
      <c r="AA1436" t="str">
        <f>"14225-5051"</f>
        <v>14225-5051</v>
      </c>
      <c r="AB1436" t="s">
        <v>291</v>
      </c>
      <c r="AC1436" t="s">
        <v>119</v>
      </c>
      <c r="AD1436" t="s">
        <v>113</v>
      </c>
      <c r="AE1436" t="s">
        <v>120</v>
      </c>
      <c r="AG1436" t="s">
        <v>121</v>
      </c>
    </row>
    <row r="1437" spans="1:33" x14ac:dyDescent="0.25">
      <c r="A1437" t="str">
        <f>"1679714562"</f>
        <v>1679714562</v>
      </c>
      <c r="B1437" t="str">
        <f>"03688048"</f>
        <v>03688048</v>
      </c>
      <c r="C1437" t="s">
        <v>8468</v>
      </c>
      <c r="D1437" t="s">
        <v>8469</v>
      </c>
      <c r="E1437" t="s">
        <v>8470</v>
      </c>
      <c r="G1437" t="s">
        <v>8468</v>
      </c>
      <c r="H1437" t="s">
        <v>8471</v>
      </c>
      <c r="J1437" t="s">
        <v>8472</v>
      </c>
      <c r="L1437" t="s">
        <v>112</v>
      </c>
      <c r="M1437" t="s">
        <v>113</v>
      </c>
      <c r="R1437" t="s">
        <v>8473</v>
      </c>
      <c r="W1437" t="s">
        <v>8474</v>
      </c>
      <c r="X1437" t="s">
        <v>838</v>
      </c>
      <c r="Y1437" t="s">
        <v>240</v>
      </c>
      <c r="Z1437" t="s">
        <v>117</v>
      </c>
      <c r="AA1437" t="str">
        <f>"14221-3647"</f>
        <v>14221-3647</v>
      </c>
      <c r="AB1437" t="s">
        <v>118</v>
      </c>
      <c r="AC1437" t="s">
        <v>119</v>
      </c>
      <c r="AD1437" t="s">
        <v>113</v>
      </c>
      <c r="AE1437" t="s">
        <v>120</v>
      </c>
      <c r="AG1437" t="s">
        <v>121</v>
      </c>
    </row>
    <row r="1438" spans="1:33" x14ac:dyDescent="0.25">
      <c r="A1438" t="str">
        <f>"1679737290"</f>
        <v>1679737290</v>
      </c>
      <c r="B1438" t="str">
        <f>"03769528"</f>
        <v>03769528</v>
      </c>
      <c r="C1438" t="s">
        <v>8475</v>
      </c>
      <c r="D1438" t="s">
        <v>8476</v>
      </c>
      <c r="E1438" t="s">
        <v>8477</v>
      </c>
      <c r="G1438" t="s">
        <v>8478</v>
      </c>
      <c r="J1438" t="s">
        <v>8479</v>
      </c>
      <c r="L1438" t="s">
        <v>1033</v>
      </c>
      <c r="M1438" t="s">
        <v>113</v>
      </c>
      <c r="R1438" t="s">
        <v>8480</v>
      </c>
      <c r="W1438" t="s">
        <v>8477</v>
      </c>
      <c r="X1438" t="s">
        <v>8481</v>
      </c>
      <c r="Y1438" t="s">
        <v>116</v>
      </c>
      <c r="Z1438" t="s">
        <v>117</v>
      </c>
      <c r="AA1438" t="str">
        <f>"14201-1363"</f>
        <v>14201-1363</v>
      </c>
      <c r="AB1438" t="s">
        <v>118</v>
      </c>
      <c r="AC1438" t="s">
        <v>119</v>
      </c>
      <c r="AD1438" t="s">
        <v>113</v>
      </c>
      <c r="AE1438" t="s">
        <v>120</v>
      </c>
      <c r="AG1438" t="s">
        <v>121</v>
      </c>
    </row>
    <row r="1439" spans="1:33" x14ac:dyDescent="0.25">
      <c r="A1439" t="str">
        <f>"1679739270"</f>
        <v>1679739270</v>
      </c>
      <c r="B1439" t="str">
        <f>"03919913"</f>
        <v>03919913</v>
      </c>
      <c r="C1439" t="s">
        <v>8482</v>
      </c>
      <c r="D1439" t="s">
        <v>8483</v>
      </c>
      <c r="E1439" t="s">
        <v>8484</v>
      </c>
      <c r="G1439" t="s">
        <v>8482</v>
      </c>
      <c r="H1439" t="s">
        <v>205</v>
      </c>
      <c r="J1439" t="s">
        <v>8485</v>
      </c>
      <c r="L1439" t="s">
        <v>142</v>
      </c>
      <c r="M1439" t="s">
        <v>113</v>
      </c>
      <c r="R1439" t="s">
        <v>8486</v>
      </c>
      <c r="W1439" t="s">
        <v>8484</v>
      </c>
      <c r="X1439" t="s">
        <v>8487</v>
      </c>
      <c r="Y1439" t="s">
        <v>326</v>
      </c>
      <c r="Z1439" t="s">
        <v>117</v>
      </c>
      <c r="AA1439" t="str">
        <f>"14127-1842"</f>
        <v>14127-1842</v>
      </c>
      <c r="AB1439" t="s">
        <v>118</v>
      </c>
      <c r="AC1439" t="s">
        <v>119</v>
      </c>
      <c r="AD1439" t="s">
        <v>113</v>
      </c>
      <c r="AE1439" t="s">
        <v>120</v>
      </c>
      <c r="AG1439" t="s">
        <v>121</v>
      </c>
    </row>
    <row r="1440" spans="1:33" x14ac:dyDescent="0.25">
      <c r="A1440" t="str">
        <f>"1679753990"</f>
        <v>1679753990</v>
      </c>
      <c r="B1440" t="str">
        <f>"02937979"</f>
        <v>02937979</v>
      </c>
      <c r="C1440" t="s">
        <v>8488</v>
      </c>
      <c r="D1440" t="s">
        <v>8489</v>
      </c>
      <c r="E1440" t="s">
        <v>8490</v>
      </c>
      <c r="L1440" t="s">
        <v>142</v>
      </c>
      <c r="M1440" t="s">
        <v>199</v>
      </c>
      <c r="R1440" t="s">
        <v>8491</v>
      </c>
      <c r="W1440" t="s">
        <v>8492</v>
      </c>
      <c r="X1440" t="s">
        <v>1766</v>
      </c>
      <c r="Y1440" t="s">
        <v>1767</v>
      </c>
      <c r="Z1440" t="s">
        <v>117</v>
      </c>
      <c r="AA1440" t="str">
        <f>"14779-9625"</f>
        <v>14779-9625</v>
      </c>
      <c r="AB1440" t="s">
        <v>118</v>
      </c>
      <c r="AC1440" t="s">
        <v>119</v>
      </c>
      <c r="AD1440" t="s">
        <v>113</v>
      </c>
      <c r="AE1440" t="s">
        <v>120</v>
      </c>
      <c r="AG1440" t="s">
        <v>121</v>
      </c>
    </row>
    <row r="1441" spans="1:33" x14ac:dyDescent="0.25">
      <c r="A1441" t="str">
        <f>"1770681777"</f>
        <v>1770681777</v>
      </c>
      <c r="B1441" t="str">
        <f>"02628339"</f>
        <v>02628339</v>
      </c>
      <c r="C1441" t="s">
        <v>8493</v>
      </c>
      <c r="D1441" t="s">
        <v>8494</v>
      </c>
      <c r="E1441" t="s">
        <v>8495</v>
      </c>
      <c r="G1441" t="s">
        <v>8493</v>
      </c>
      <c r="H1441" t="s">
        <v>5306</v>
      </c>
      <c r="J1441" t="s">
        <v>8496</v>
      </c>
      <c r="L1441" t="s">
        <v>142</v>
      </c>
      <c r="M1441" t="s">
        <v>113</v>
      </c>
      <c r="R1441" t="s">
        <v>8497</v>
      </c>
      <c r="W1441" t="s">
        <v>8495</v>
      </c>
      <c r="X1441" t="s">
        <v>8498</v>
      </c>
      <c r="Y1441" t="s">
        <v>240</v>
      </c>
      <c r="Z1441" t="s">
        <v>117</v>
      </c>
      <c r="AA1441" t="str">
        <f>"14221-7894"</f>
        <v>14221-7894</v>
      </c>
      <c r="AB1441" t="s">
        <v>118</v>
      </c>
      <c r="AC1441" t="s">
        <v>119</v>
      </c>
      <c r="AD1441" t="s">
        <v>113</v>
      </c>
      <c r="AE1441" t="s">
        <v>120</v>
      </c>
      <c r="AG1441" t="s">
        <v>121</v>
      </c>
    </row>
    <row r="1442" spans="1:33" x14ac:dyDescent="0.25">
      <c r="A1442" t="str">
        <f>"1770683724"</f>
        <v>1770683724</v>
      </c>
      <c r="B1442" t="str">
        <f>"01929015"</f>
        <v>01929015</v>
      </c>
      <c r="C1442" t="s">
        <v>8499</v>
      </c>
      <c r="D1442" t="s">
        <v>8500</v>
      </c>
      <c r="E1442" t="s">
        <v>8501</v>
      </c>
      <c r="G1442" t="s">
        <v>8502</v>
      </c>
      <c r="J1442" t="s">
        <v>8503</v>
      </c>
      <c r="L1442" t="s">
        <v>142</v>
      </c>
      <c r="M1442" t="s">
        <v>113</v>
      </c>
      <c r="R1442" t="s">
        <v>8504</v>
      </c>
      <c r="W1442" t="s">
        <v>8501</v>
      </c>
      <c r="X1442" t="s">
        <v>216</v>
      </c>
      <c r="Y1442" t="s">
        <v>116</v>
      </c>
      <c r="Z1442" t="s">
        <v>117</v>
      </c>
      <c r="AA1442" t="str">
        <f>"14222-2006"</f>
        <v>14222-2006</v>
      </c>
      <c r="AB1442" t="s">
        <v>118</v>
      </c>
      <c r="AC1442" t="s">
        <v>119</v>
      </c>
      <c r="AD1442" t="s">
        <v>113</v>
      </c>
      <c r="AE1442" t="s">
        <v>120</v>
      </c>
      <c r="AG1442" t="s">
        <v>121</v>
      </c>
    </row>
    <row r="1443" spans="1:33" x14ac:dyDescent="0.25">
      <c r="A1443" t="str">
        <f>"1770694937"</f>
        <v>1770694937</v>
      </c>
      <c r="B1443" t="str">
        <f>"01842979"</f>
        <v>01842979</v>
      </c>
      <c r="C1443" t="s">
        <v>8505</v>
      </c>
      <c r="D1443" t="s">
        <v>8506</v>
      </c>
      <c r="E1443" t="s">
        <v>8507</v>
      </c>
      <c r="G1443" t="s">
        <v>8505</v>
      </c>
      <c r="H1443" t="s">
        <v>8508</v>
      </c>
      <c r="J1443" t="s">
        <v>8509</v>
      </c>
      <c r="L1443" t="s">
        <v>150</v>
      </c>
      <c r="M1443" t="s">
        <v>113</v>
      </c>
      <c r="R1443" t="s">
        <v>8507</v>
      </c>
      <c r="W1443" t="s">
        <v>8507</v>
      </c>
      <c r="X1443" t="s">
        <v>8507</v>
      </c>
      <c r="Y1443" t="s">
        <v>958</v>
      </c>
      <c r="Z1443" t="s">
        <v>117</v>
      </c>
      <c r="AA1443" t="str">
        <f>"14226-1855"</f>
        <v>14226-1855</v>
      </c>
      <c r="AB1443" t="s">
        <v>118</v>
      </c>
      <c r="AC1443" t="s">
        <v>119</v>
      </c>
      <c r="AD1443" t="s">
        <v>113</v>
      </c>
      <c r="AE1443" t="s">
        <v>120</v>
      </c>
      <c r="AG1443" t="s">
        <v>121</v>
      </c>
    </row>
    <row r="1444" spans="1:33" x14ac:dyDescent="0.25">
      <c r="B1444" t="str">
        <f>"01992149"</f>
        <v>01992149</v>
      </c>
      <c r="C1444" t="s">
        <v>18531</v>
      </c>
      <c r="D1444" t="s">
        <v>18532</v>
      </c>
      <c r="E1444" t="s">
        <v>18531</v>
      </c>
      <c r="H1444" t="s">
        <v>17998</v>
      </c>
      <c r="L1444" t="s">
        <v>69</v>
      </c>
      <c r="M1444" t="s">
        <v>199</v>
      </c>
      <c r="W1444" t="s">
        <v>18531</v>
      </c>
      <c r="X1444" t="s">
        <v>17999</v>
      </c>
      <c r="Y1444" t="s">
        <v>318</v>
      </c>
      <c r="Z1444" t="s">
        <v>117</v>
      </c>
      <c r="AA1444" t="str">
        <f>"14225-5051"</f>
        <v>14225-5051</v>
      </c>
      <c r="AB1444" t="s">
        <v>291</v>
      </c>
      <c r="AC1444" t="s">
        <v>119</v>
      </c>
      <c r="AD1444" t="s">
        <v>113</v>
      </c>
      <c r="AE1444" t="s">
        <v>120</v>
      </c>
      <c r="AG1444" t="s">
        <v>121</v>
      </c>
    </row>
    <row r="1445" spans="1:33" x14ac:dyDescent="0.25">
      <c r="A1445" t="str">
        <f>"1770729360"</f>
        <v>1770729360</v>
      </c>
      <c r="B1445" t="str">
        <f>"03951017"</f>
        <v>03951017</v>
      </c>
      <c r="C1445" t="s">
        <v>8517</v>
      </c>
      <c r="D1445" t="s">
        <v>8518</v>
      </c>
      <c r="E1445" t="s">
        <v>8519</v>
      </c>
      <c r="G1445" t="s">
        <v>8517</v>
      </c>
      <c r="H1445" t="s">
        <v>8520</v>
      </c>
      <c r="J1445" t="s">
        <v>8521</v>
      </c>
      <c r="L1445" t="s">
        <v>142</v>
      </c>
      <c r="M1445" t="s">
        <v>113</v>
      </c>
      <c r="R1445" t="s">
        <v>8522</v>
      </c>
      <c r="W1445" t="s">
        <v>8523</v>
      </c>
      <c r="X1445" t="s">
        <v>216</v>
      </c>
      <c r="Y1445" t="s">
        <v>116</v>
      </c>
      <c r="Z1445" t="s">
        <v>117</v>
      </c>
      <c r="AA1445" t="str">
        <f>"14222-2006"</f>
        <v>14222-2006</v>
      </c>
      <c r="AB1445" t="s">
        <v>118</v>
      </c>
      <c r="AC1445" t="s">
        <v>119</v>
      </c>
      <c r="AD1445" t="s">
        <v>113</v>
      </c>
      <c r="AE1445" t="s">
        <v>120</v>
      </c>
      <c r="AG1445" t="s">
        <v>121</v>
      </c>
    </row>
    <row r="1446" spans="1:33" x14ac:dyDescent="0.25">
      <c r="A1446" t="str">
        <f>"1770738791"</f>
        <v>1770738791</v>
      </c>
      <c r="B1446" t="str">
        <f>"03196283"</f>
        <v>03196283</v>
      </c>
      <c r="C1446" t="s">
        <v>2000</v>
      </c>
      <c r="D1446" t="s">
        <v>2001</v>
      </c>
      <c r="E1446" t="s">
        <v>2002</v>
      </c>
      <c r="G1446" t="s">
        <v>8524</v>
      </c>
      <c r="H1446" t="s">
        <v>2003</v>
      </c>
      <c r="L1446" t="s">
        <v>2004</v>
      </c>
      <c r="M1446" t="s">
        <v>199</v>
      </c>
      <c r="R1446" t="s">
        <v>2000</v>
      </c>
      <c r="W1446" t="s">
        <v>8524</v>
      </c>
      <c r="X1446" t="s">
        <v>2006</v>
      </c>
      <c r="Y1446" t="s">
        <v>2007</v>
      </c>
      <c r="Z1446" t="s">
        <v>117</v>
      </c>
      <c r="AA1446" t="str">
        <f>"14727-1317"</f>
        <v>14727-1317</v>
      </c>
      <c r="AB1446" t="s">
        <v>979</v>
      </c>
      <c r="AC1446" t="s">
        <v>119</v>
      </c>
      <c r="AD1446" t="s">
        <v>113</v>
      </c>
      <c r="AE1446" t="s">
        <v>120</v>
      </c>
      <c r="AG1446" t="s">
        <v>121</v>
      </c>
    </row>
    <row r="1447" spans="1:33" x14ac:dyDescent="0.25">
      <c r="A1447" t="str">
        <f>"1770747008"</f>
        <v>1770747008</v>
      </c>
      <c r="B1447" t="str">
        <f>"03353308"</f>
        <v>03353308</v>
      </c>
      <c r="C1447" t="s">
        <v>8525</v>
      </c>
      <c r="D1447" t="s">
        <v>8526</v>
      </c>
      <c r="E1447" t="s">
        <v>8527</v>
      </c>
      <c r="G1447" t="s">
        <v>8528</v>
      </c>
      <c r="J1447" t="s">
        <v>8529</v>
      </c>
      <c r="L1447" t="s">
        <v>142</v>
      </c>
      <c r="M1447" t="s">
        <v>113</v>
      </c>
      <c r="R1447" t="s">
        <v>8530</v>
      </c>
      <c r="W1447" t="s">
        <v>8531</v>
      </c>
      <c r="X1447" t="s">
        <v>8532</v>
      </c>
      <c r="Y1447" t="s">
        <v>958</v>
      </c>
      <c r="Z1447" t="s">
        <v>117</v>
      </c>
      <c r="AA1447" t="str">
        <f>"14228-0000"</f>
        <v>14228-0000</v>
      </c>
      <c r="AB1447" t="s">
        <v>118</v>
      </c>
      <c r="AC1447" t="s">
        <v>119</v>
      </c>
      <c r="AD1447" t="s">
        <v>113</v>
      </c>
      <c r="AE1447" t="s">
        <v>120</v>
      </c>
      <c r="AG1447" t="s">
        <v>121</v>
      </c>
    </row>
    <row r="1448" spans="1:33" x14ac:dyDescent="0.25">
      <c r="A1448" t="str">
        <f>"1770778045"</f>
        <v>1770778045</v>
      </c>
      <c r="B1448" t="str">
        <f>"03251714"</f>
        <v>03251714</v>
      </c>
      <c r="C1448" t="s">
        <v>8533</v>
      </c>
      <c r="D1448" t="s">
        <v>8534</v>
      </c>
      <c r="E1448" t="s">
        <v>8535</v>
      </c>
      <c r="G1448" t="s">
        <v>8533</v>
      </c>
      <c r="H1448" t="s">
        <v>8175</v>
      </c>
      <c r="J1448" t="s">
        <v>8536</v>
      </c>
      <c r="L1448" t="s">
        <v>112</v>
      </c>
      <c r="M1448" t="s">
        <v>113</v>
      </c>
      <c r="R1448" t="s">
        <v>8537</v>
      </c>
      <c r="W1448" t="s">
        <v>8535</v>
      </c>
      <c r="X1448" t="s">
        <v>176</v>
      </c>
      <c r="Y1448" t="s">
        <v>116</v>
      </c>
      <c r="Z1448" t="s">
        <v>117</v>
      </c>
      <c r="AA1448" t="str">
        <f>"14203-1126"</f>
        <v>14203-1126</v>
      </c>
      <c r="AB1448" t="s">
        <v>118</v>
      </c>
      <c r="AC1448" t="s">
        <v>119</v>
      </c>
      <c r="AD1448" t="s">
        <v>113</v>
      </c>
      <c r="AE1448" t="s">
        <v>120</v>
      </c>
      <c r="AG1448" t="s">
        <v>121</v>
      </c>
    </row>
    <row r="1449" spans="1:33" x14ac:dyDescent="0.25">
      <c r="A1449" t="str">
        <f>"1700879319"</f>
        <v>1700879319</v>
      </c>
      <c r="B1449" t="str">
        <f>"02082497"</f>
        <v>02082497</v>
      </c>
      <c r="C1449" t="s">
        <v>8538</v>
      </c>
      <c r="D1449" t="s">
        <v>8539</v>
      </c>
      <c r="E1449" t="s">
        <v>8540</v>
      </c>
      <c r="G1449" t="s">
        <v>8541</v>
      </c>
      <c r="J1449" t="s">
        <v>8542</v>
      </c>
      <c r="L1449" t="s">
        <v>150</v>
      </c>
      <c r="M1449" t="s">
        <v>199</v>
      </c>
      <c r="R1449" t="s">
        <v>8543</v>
      </c>
      <c r="W1449" t="s">
        <v>8540</v>
      </c>
      <c r="X1449" t="s">
        <v>5577</v>
      </c>
      <c r="Y1449" t="s">
        <v>116</v>
      </c>
      <c r="Z1449" t="s">
        <v>117</v>
      </c>
      <c r="AA1449" t="str">
        <f>"14208-2221"</f>
        <v>14208-2221</v>
      </c>
      <c r="AB1449" t="s">
        <v>118</v>
      </c>
      <c r="AC1449" t="s">
        <v>119</v>
      </c>
      <c r="AD1449" t="s">
        <v>113</v>
      </c>
      <c r="AE1449" t="s">
        <v>120</v>
      </c>
      <c r="AG1449" t="s">
        <v>121</v>
      </c>
    </row>
    <row r="1450" spans="1:33" x14ac:dyDescent="0.25">
      <c r="A1450" t="str">
        <f>"1700879368"</f>
        <v>1700879368</v>
      </c>
      <c r="B1450" t="str">
        <f>"01097167"</f>
        <v>01097167</v>
      </c>
      <c r="C1450" t="s">
        <v>8544</v>
      </c>
      <c r="D1450" t="s">
        <v>8545</v>
      </c>
      <c r="E1450" t="s">
        <v>8546</v>
      </c>
      <c r="G1450" t="s">
        <v>8544</v>
      </c>
      <c r="H1450" t="s">
        <v>8547</v>
      </c>
      <c r="J1450" t="s">
        <v>8548</v>
      </c>
      <c r="L1450" t="s">
        <v>150</v>
      </c>
      <c r="M1450" t="s">
        <v>113</v>
      </c>
      <c r="R1450" t="s">
        <v>8549</v>
      </c>
      <c r="W1450" t="s">
        <v>8546</v>
      </c>
      <c r="X1450" t="s">
        <v>8550</v>
      </c>
      <c r="Y1450" t="s">
        <v>8551</v>
      </c>
      <c r="Z1450" t="s">
        <v>117</v>
      </c>
      <c r="AA1450" t="str">
        <f>"14150"</f>
        <v>14150</v>
      </c>
      <c r="AB1450" t="s">
        <v>118</v>
      </c>
      <c r="AC1450" t="s">
        <v>119</v>
      </c>
      <c r="AD1450" t="s">
        <v>113</v>
      </c>
      <c r="AE1450" t="s">
        <v>120</v>
      </c>
      <c r="AG1450" t="s">
        <v>121</v>
      </c>
    </row>
    <row r="1451" spans="1:33" x14ac:dyDescent="0.25">
      <c r="A1451" t="str">
        <f>"1700893575"</f>
        <v>1700893575</v>
      </c>
      <c r="B1451" t="str">
        <f>"00808333"</f>
        <v>00808333</v>
      </c>
      <c r="C1451" t="s">
        <v>8552</v>
      </c>
      <c r="D1451" t="s">
        <v>8553</v>
      </c>
      <c r="E1451" t="s">
        <v>8554</v>
      </c>
      <c r="G1451" t="s">
        <v>8552</v>
      </c>
      <c r="H1451" t="s">
        <v>8555</v>
      </c>
      <c r="J1451" t="s">
        <v>8556</v>
      </c>
      <c r="L1451" t="s">
        <v>142</v>
      </c>
      <c r="M1451" t="s">
        <v>199</v>
      </c>
      <c r="R1451" t="s">
        <v>8557</v>
      </c>
      <c r="W1451" t="s">
        <v>8554</v>
      </c>
      <c r="X1451" t="s">
        <v>784</v>
      </c>
      <c r="Y1451" t="s">
        <v>116</v>
      </c>
      <c r="Z1451" t="s">
        <v>117</v>
      </c>
      <c r="AA1451" t="str">
        <f>"14209-1194"</f>
        <v>14209-1194</v>
      </c>
      <c r="AB1451" t="s">
        <v>118</v>
      </c>
      <c r="AC1451" t="s">
        <v>119</v>
      </c>
      <c r="AD1451" t="s">
        <v>113</v>
      </c>
      <c r="AE1451" t="s">
        <v>120</v>
      </c>
      <c r="AG1451" t="s">
        <v>121</v>
      </c>
    </row>
    <row r="1452" spans="1:33" x14ac:dyDescent="0.25">
      <c r="A1452" t="str">
        <f>"1700899887"</f>
        <v>1700899887</v>
      </c>
      <c r="B1452" t="str">
        <f>"01977311"</f>
        <v>01977311</v>
      </c>
      <c r="C1452" t="s">
        <v>8558</v>
      </c>
      <c r="D1452" t="s">
        <v>8559</v>
      </c>
      <c r="E1452" t="s">
        <v>8560</v>
      </c>
      <c r="G1452" t="s">
        <v>8558</v>
      </c>
      <c r="H1452" t="s">
        <v>6797</v>
      </c>
      <c r="J1452" t="s">
        <v>8561</v>
      </c>
      <c r="L1452" t="s">
        <v>142</v>
      </c>
      <c r="M1452" t="s">
        <v>113</v>
      </c>
      <c r="R1452" t="s">
        <v>8562</v>
      </c>
      <c r="W1452" t="s">
        <v>8560</v>
      </c>
      <c r="X1452" t="s">
        <v>8563</v>
      </c>
      <c r="Y1452" t="s">
        <v>240</v>
      </c>
      <c r="Z1452" t="s">
        <v>117</v>
      </c>
      <c r="AA1452" t="str">
        <f>"14221-1729"</f>
        <v>14221-1729</v>
      </c>
      <c r="AB1452" t="s">
        <v>118</v>
      </c>
      <c r="AC1452" t="s">
        <v>119</v>
      </c>
      <c r="AD1452" t="s">
        <v>113</v>
      </c>
      <c r="AE1452" t="s">
        <v>120</v>
      </c>
      <c r="AG1452" t="s">
        <v>121</v>
      </c>
    </row>
    <row r="1453" spans="1:33" x14ac:dyDescent="0.25">
      <c r="A1453" t="str">
        <f>"1700913027"</f>
        <v>1700913027</v>
      </c>
      <c r="C1453" t="s">
        <v>8564</v>
      </c>
      <c r="G1453" t="s">
        <v>8564</v>
      </c>
      <c r="H1453" t="s">
        <v>590</v>
      </c>
      <c r="J1453" t="s">
        <v>8565</v>
      </c>
      <c r="K1453" t="s">
        <v>303</v>
      </c>
      <c r="L1453" t="s">
        <v>112</v>
      </c>
      <c r="M1453" t="s">
        <v>113</v>
      </c>
      <c r="R1453" t="s">
        <v>8566</v>
      </c>
      <c r="S1453" t="s">
        <v>8567</v>
      </c>
      <c r="T1453" t="s">
        <v>116</v>
      </c>
      <c r="U1453" t="s">
        <v>117</v>
      </c>
      <c r="V1453" t="str">
        <f>"142091912"</f>
        <v>142091912</v>
      </c>
      <c r="AC1453" t="s">
        <v>119</v>
      </c>
      <c r="AD1453" t="s">
        <v>113</v>
      </c>
      <c r="AE1453" t="s">
        <v>306</v>
      </c>
      <c r="AG1453" t="s">
        <v>121</v>
      </c>
    </row>
    <row r="1454" spans="1:33" x14ac:dyDescent="0.25">
      <c r="B1454" t="str">
        <f>"01510856"</f>
        <v>01510856</v>
      </c>
      <c r="C1454" t="s">
        <v>18517</v>
      </c>
      <c r="D1454" t="s">
        <v>18518</v>
      </c>
      <c r="E1454" t="s">
        <v>18517</v>
      </c>
      <c r="F1454">
        <v>161291766</v>
      </c>
      <c r="H1454" t="s">
        <v>713</v>
      </c>
      <c r="L1454" t="s">
        <v>69</v>
      </c>
      <c r="M1454" t="s">
        <v>199</v>
      </c>
      <c r="W1454" t="s">
        <v>18517</v>
      </c>
      <c r="X1454" t="s">
        <v>18519</v>
      </c>
      <c r="Y1454" t="s">
        <v>305</v>
      </c>
      <c r="Z1454" t="s">
        <v>117</v>
      </c>
      <c r="AA1454" t="str">
        <f>"14760-1140"</f>
        <v>14760-1140</v>
      </c>
      <c r="AB1454" t="s">
        <v>291</v>
      </c>
      <c r="AC1454" t="s">
        <v>119</v>
      </c>
      <c r="AD1454" t="s">
        <v>113</v>
      </c>
      <c r="AE1454" t="s">
        <v>120</v>
      </c>
      <c r="AG1454" t="s">
        <v>121</v>
      </c>
    </row>
    <row r="1455" spans="1:33" x14ac:dyDescent="0.25">
      <c r="A1455" t="str">
        <f>"1700957727"</f>
        <v>1700957727</v>
      </c>
      <c r="B1455" t="str">
        <f>"00643150"</f>
        <v>00643150</v>
      </c>
      <c r="C1455" t="s">
        <v>8572</v>
      </c>
      <c r="D1455" t="s">
        <v>8573</v>
      </c>
      <c r="E1455" t="s">
        <v>8574</v>
      </c>
      <c r="G1455" t="s">
        <v>8572</v>
      </c>
      <c r="H1455" t="s">
        <v>8575</v>
      </c>
      <c r="J1455" t="s">
        <v>8576</v>
      </c>
      <c r="L1455" t="s">
        <v>142</v>
      </c>
      <c r="M1455" t="s">
        <v>113</v>
      </c>
      <c r="R1455" t="s">
        <v>8577</v>
      </c>
      <c r="W1455" t="s">
        <v>8574</v>
      </c>
      <c r="X1455" t="s">
        <v>8578</v>
      </c>
      <c r="Y1455" t="s">
        <v>129</v>
      </c>
      <c r="Z1455" t="s">
        <v>117</v>
      </c>
      <c r="AA1455" t="str">
        <f>"14224-1950"</f>
        <v>14224-1950</v>
      </c>
      <c r="AB1455" t="s">
        <v>118</v>
      </c>
      <c r="AC1455" t="s">
        <v>119</v>
      </c>
      <c r="AD1455" t="s">
        <v>113</v>
      </c>
      <c r="AE1455" t="s">
        <v>120</v>
      </c>
      <c r="AG1455" t="s">
        <v>121</v>
      </c>
    </row>
    <row r="1456" spans="1:33" x14ac:dyDescent="0.25">
      <c r="A1456" t="str">
        <f>"1710019880"</f>
        <v>1710019880</v>
      </c>
      <c r="C1456" t="s">
        <v>8579</v>
      </c>
      <c r="G1456" t="s">
        <v>8580</v>
      </c>
      <c r="H1456" t="s">
        <v>8581</v>
      </c>
      <c r="J1456" t="s">
        <v>352</v>
      </c>
      <c r="K1456" t="s">
        <v>303</v>
      </c>
      <c r="L1456" t="s">
        <v>229</v>
      </c>
      <c r="M1456" t="s">
        <v>113</v>
      </c>
      <c r="R1456" t="s">
        <v>8582</v>
      </c>
      <c r="S1456" t="s">
        <v>8583</v>
      </c>
      <c r="T1456" t="s">
        <v>8584</v>
      </c>
      <c r="U1456" t="s">
        <v>7848</v>
      </c>
      <c r="V1456" t="str">
        <f>"921032105"</f>
        <v>921032105</v>
      </c>
      <c r="AC1456" t="s">
        <v>119</v>
      </c>
      <c r="AD1456" t="s">
        <v>113</v>
      </c>
      <c r="AE1456" t="s">
        <v>306</v>
      </c>
      <c r="AG1456" t="s">
        <v>121</v>
      </c>
    </row>
    <row r="1457" spans="1:33" x14ac:dyDescent="0.25">
      <c r="A1457" t="str">
        <f>"1710021373"</f>
        <v>1710021373</v>
      </c>
      <c r="C1457" t="s">
        <v>8585</v>
      </c>
      <c r="G1457" t="s">
        <v>8586</v>
      </c>
      <c r="H1457" t="s">
        <v>437</v>
      </c>
      <c r="J1457" t="s">
        <v>438</v>
      </c>
      <c r="K1457" t="s">
        <v>303</v>
      </c>
      <c r="L1457" t="s">
        <v>229</v>
      </c>
      <c r="M1457" t="s">
        <v>113</v>
      </c>
      <c r="R1457" t="s">
        <v>8587</v>
      </c>
      <c r="S1457" t="s">
        <v>1117</v>
      </c>
      <c r="T1457" t="s">
        <v>318</v>
      </c>
      <c r="U1457" t="s">
        <v>117</v>
      </c>
      <c r="V1457" t="str">
        <f>"142254965"</f>
        <v>142254965</v>
      </c>
      <c r="AC1457" t="s">
        <v>119</v>
      </c>
      <c r="AD1457" t="s">
        <v>113</v>
      </c>
      <c r="AE1457" t="s">
        <v>306</v>
      </c>
      <c r="AG1457" t="s">
        <v>121</v>
      </c>
    </row>
    <row r="1458" spans="1:33" x14ac:dyDescent="0.25">
      <c r="A1458" t="str">
        <f>"1710060686"</f>
        <v>1710060686</v>
      </c>
      <c r="C1458" t="s">
        <v>8588</v>
      </c>
      <c r="G1458" t="s">
        <v>8589</v>
      </c>
      <c r="H1458" t="s">
        <v>8590</v>
      </c>
      <c r="J1458" t="s">
        <v>8591</v>
      </c>
      <c r="K1458" t="s">
        <v>303</v>
      </c>
      <c r="L1458" t="s">
        <v>112</v>
      </c>
      <c r="M1458" t="s">
        <v>113</v>
      </c>
      <c r="R1458" t="s">
        <v>8592</v>
      </c>
      <c r="S1458" t="s">
        <v>8593</v>
      </c>
      <c r="T1458" t="s">
        <v>116</v>
      </c>
      <c r="U1458" t="s">
        <v>117</v>
      </c>
      <c r="V1458" t="str">
        <f>"142031121"</f>
        <v>142031121</v>
      </c>
      <c r="AC1458" t="s">
        <v>119</v>
      </c>
      <c r="AD1458" t="s">
        <v>113</v>
      </c>
      <c r="AE1458" t="s">
        <v>306</v>
      </c>
      <c r="AG1458" t="s">
        <v>121</v>
      </c>
    </row>
    <row r="1459" spans="1:33" x14ac:dyDescent="0.25">
      <c r="A1459" t="str">
        <f>"1285996652"</f>
        <v>1285996652</v>
      </c>
      <c r="C1459" t="s">
        <v>8594</v>
      </c>
      <c r="G1459" t="s">
        <v>8595</v>
      </c>
      <c r="H1459" t="s">
        <v>590</v>
      </c>
      <c r="J1459" t="s">
        <v>8596</v>
      </c>
      <c r="K1459" t="s">
        <v>303</v>
      </c>
      <c r="L1459" t="s">
        <v>112</v>
      </c>
      <c r="M1459" t="s">
        <v>113</v>
      </c>
      <c r="R1459" t="s">
        <v>8597</v>
      </c>
      <c r="S1459" t="s">
        <v>8598</v>
      </c>
      <c r="T1459" t="s">
        <v>326</v>
      </c>
      <c r="U1459" t="s">
        <v>117</v>
      </c>
      <c r="V1459" t="str">
        <f>"141272600"</f>
        <v>141272600</v>
      </c>
      <c r="AC1459" t="s">
        <v>119</v>
      </c>
      <c r="AD1459" t="s">
        <v>113</v>
      </c>
      <c r="AE1459" t="s">
        <v>306</v>
      </c>
      <c r="AG1459" t="s">
        <v>121</v>
      </c>
    </row>
    <row r="1460" spans="1:33" x14ac:dyDescent="0.25">
      <c r="A1460" t="str">
        <f>"1295009744"</f>
        <v>1295009744</v>
      </c>
      <c r="C1460" t="s">
        <v>8599</v>
      </c>
      <c r="G1460" t="s">
        <v>8600</v>
      </c>
      <c r="H1460" t="s">
        <v>8601</v>
      </c>
      <c r="J1460" t="s">
        <v>8602</v>
      </c>
      <c r="K1460" t="s">
        <v>303</v>
      </c>
      <c r="L1460" t="s">
        <v>112</v>
      </c>
      <c r="M1460" t="s">
        <v>113</v>
      </c>
      <c r="R1460" t="s">
        <v>8603</v>
      </c>
      <c r="S1460" t="s">
        <v>8604</v>
      </c>
      <c r="T1460" t="s">
        <v>847</v>
      </c>
      <c r="U1460" t="s">
        <v>117</v>
      </c>
      <c r="V1460" t="str">
        <f>"145691242"</f>
        <v>145691242</v>
      </c>
      <c r="AC1460" t="s">
        <v>119</v>
      </c>
      <c r="AD1460" t="s">
        <v>113</v>
      </c>
      <c r="AE1460" t="s">
        <v>306</v>
      </c>
      <c r="AG1460" t="s">
        <v>121</v>
      </c>
    </row>
    <row r="1461" spans="1:33" x14ac:dyDescent="0.25">
      <c r="A1461" t="str">
        <f>"1295089118"</f>
        <v>1295089118</v>
      </c>
      <c r="C1461" t="s">
        <v>8605</v>
      </c>
      <c r="G1461" t="s">
        <v>8606</v>
      </c>
      <c r="H1461" t="s">
        <v>8607</v>
      </c>
      <c r="K1461" t="s">
        <v>303</v>
      </c>
      <c r="L1461" t="s">
        <v>229</v>
      </c>
      <c r="M1461" t="s">
        <v>113</v>
      </c>
      <c r="R1461" t="s">
        <v>8608</v>
      </c>
      <c r="S1461" t="s">
        <v>354</v>
      </c>
      <c r="T1461" t="s">
        <v>116</v>
      </c>
      <c r="U1461" t="s">
        <v>117</v>
      </c>
      <c r="V1461" t="str">
        <f>"142152814"</f>
        <v>142152814</v>
      </c>
      <c r="AC1461" t="s">
        <v>119</v>
      </c>
      <c r="AD1461" t="s">
        <v>113</v>
      </c>
      <c r="AE1461" t="s">
        <v>306</v>
      </c>
      <c r="AG1461" t="s">
        <v>121</v>
      </c>
    </row>
    <row r="1462" spans="1:33" x14ac:dyDescent="0.25">
      <c r="A1462" t="str">
        <f>"1295169555"</f>
        <v>1295169555</v>
      </c>
      <c r="C1462" t="s">
        <v>8609</v>
      </c>
      <c r="G1462" t="s">
        <v>8610</v>
      </c>
      <c r="H1462" t="s">
        <v>590</v>
      </c>
      <c r="J1462" t="s">
        <v>8611</v>
      </c>
      <c r="K1462" t="s">
        <v>303</v>
      </c>
      <c r="L1462" t="s">
        <v>229</v>
      </c>
      <c r="M1462" t="s">
        <v>113</v>
      </c>
      <c r="R1462" t="s">
        <v>8612</v>
      </c>
      <c r="S1462" t="s">
        <v>651</v>
      </c>
      <c r="T1462" t="s">
        <v>116</v>
      </c>
      <c r="U1462" t="s">
        <v>117</v>
      </c>
      <c r="V1462" t="str">
        <f>"142091912"</f>
        <v>142091912</v>
      </c>
      <c r="AC1462" t="s">
        <v>119</v>
      </c>
      <c r="AD1462" t="s">
        <v>113</v>
      </c>
      <c r="AE1462" t="s">
        <v>306</v>
      </c>
      <c r="AG1462" t="s">
        <v>121</v>
      </c>
    </row>
    <row r="1463" spans="1:33" x14ac:dyDescent="0.25">
      <c r="A1463" t="str">
        <f>"1295700094"</f>
        <v>1295700094</v>
      </c>
      <c r="B1463" t="str">
        <f>"01362165"</f>
        <v>01362165</v>
      </c>
      <c r="C1463" t="s">
        <v>8613</v>
      </c>
      <c r="D1463" t="s">
        <v>8614</v>
      </c>
      <c r="E1463" t="s">
        <v>8615</v>
      </c>
      <c r="G1463" t="s">
        <v>8613</v>
      </c>
      <c r="H1463" t="s">
        <v>8616</v>
      </c>
      <c r="J1463" t="s">
        <v>8617</v>
      </c>
      <c r="L1463" t="s">
        <v>142</v>
      </c>
      <c r="M1463" t="s">
        <v>113</v>
      </c>
      <c r="R1463" t="s">
        <v>8618</v>
      </c>
      <c r="W1463" t="s">
        <v>8615</v>
      </c>
      <c r="X1463" t="s">
        <v>8619</v>
      </c>
      <c r="Y1463" t="s">
        <v>232</v>
      </c>
      <c r="Z1463" t="s">
        <v>117</v>
      </c>
      <c r="AA1463" t="str">
        <f>"10011-8305"</f>
        <v>10011-8305</v>
      </c>
      <c r="AB1463" t="s">
        <v>118</v>
      </c>
      <c r="AC1463" t="s">
        <v>119</v>
      </c>
      <c r="AD1463" t="s">
        <v>113</v>
      </c>
      <c r="AE1463" t="s">
        <v>120</v>
      </c>
      <c r="AG1463" t="s">
        <v>121</v>
      </c>
    </row>
    <row r="1464" spans="1:33" x14ac:dyDescent="0.25">
      <c r="A1464" t="str">
        <f>"1295708774"</f>
        <v>1295708774</v>
      </c>
      <c r="B1464" t="str">
        <f>"01436364"</f>
        <v>01436364</v>
      </c>
      <c r="C1464" t="s">
        <v>8620</v>
      </c>
      <c r="D1464" t="s">
        <v>8621</v>
      </c>
      <c r="E1464" t="s">
        <v>8622</v>
      </c>
      <c r="G1464" t="s">
        <v>1816</v>
      </c>
      <c r="H1464" t="s">
        <v>8623</v>
      </c>
      <c r="J1464" t="s">
        <v>1818</v>
      </c>
      <c r="L1464" t="s">
        <v>150</v>
      </c>
      <c r="M1464" t="s">
        <v>113</v>
      </c>
      <c r="R1464" t="s">
        <v>8624</v>
      </c>
      <c r="W1464" t="s">
        <v>8622</v>
      </c>
      <c r="X1464" t="s">
        <v>921</v>
      </c>
      <c r="Y1464" t="s">
        <v>922</v>
      </c>
      <c r="Z1464" t="s">
        <v>117</v>
      </c>
      <c r="AA1464" t="str">
        <f>"14895-1057"</f>
        <v>14895-1057</v>
      </c>
      <c r="AB1464" t="s">
        <v>528</v>
      </c>
      <c r="AC1464" t="s">
        <v>119</v>
      </c>
      <c r="AD1464" t="s">
        <v>113</v>
      </c>
      <c r="AE1464" t="s">
        <v>120</v>
      </c>
      <c r="AG1464" t="s">
        <v>121</v>
      </c>
    </row>
    <row r="1465" spans="1:33" x14ac:dyDescent="0.25">
      <c r="A1465" t="str">
        <f>"1013058213"</f>
        <v>1013058213</v>
      </c>
      <c r="B1465" t="str">
        <f>"02859869"</f>
        <v>02859869</v>
      </c>
      <c r="C1465" t="s">
        <v>8625</v>
      </c>
      <c r="D1465" t="s">
        <v>8626</v>
      </c>
      <c r="E1465" t="s">
        <v>8627</v>
      </c>
      <c r="G1465" t="s">
        <v>8625</v>
      </c>
      <c r="H1465" t="s">
        <v>205</v>
      </c>
      <c r="J1465" t="s">
        <v>8628</v>
      </c>
      <c r="L1465" t="s">
        <v>142</v>
      </c>
      <c r="M1465" t="s">
        <v>113</v>
      </c>
      <c r="R1465" t="s">
        <v>8629</v>
      </c>
      <c r="W1465" t="s">
        <v>8629</v>
      </c>
      <c r="X1465" t="s">
        <v>8630</v>
      </c>
      <c r="Y1465" t="s">
        <v>1872</v>
      </c>
      <c r="Z1465" t="s">
        <v>117</v>
      </c>
      <c r="AA1465" t="str">
        <f>"14132-9128"</f>
        <v>14132-9128</v>
      </c>
      <c r="AB1465" t="s">
        <v>118</v>
      </c>
      <c r="AC1465" t="s">
        <v>119</v>
      </c>
      <c r="AD1465" t="s">
        <v>113</v>
      </c>
      <c r="AE1465" t="s">
        <v>120</v>
      </c>
      <c r="AG1465" t="s">
        <v>121</v>
      </c>
    </row>
    <row r="1466" spans="1:33" x14ac:dyDescent="0.25">
      <c r="A1466" t="str">
        <f>"1013060987"</f>
        <v>1013060987</v>
      </c>
      <c r="B1466" t="str">
        <f>"03808817"</f>
        <v>03808817</v>
      </c>
      <c r="C1466" t="s">
        <v>8631</v>
      </c>
      <c r="D1466" t="s">
        <v>8632</v>
      </c>
      <c r="E1466" t="s">
        <v>8633</v>
      </c>
      <c r="G1466" t="s">
        <v>8634</v>
      </c>
      <c r="H1466" t="s">
        <v>471</v>
      </c>
      <c r="J1466" t="s">
        <v>8635</v>
      </c>
      <c r="L1466" t="s">
        <v>229</v>
      </c>
      <c r="M1466" t="s">
        <v>113</v>
      </c>
      <c r="R1466" t="s">
        <v>8636</v>
      </c>
      <c r="W1466" t="s">
        <v>8633</v>
      </c>
      <c r="X1466" t="s">
        <v>474</v>
      </c>
      <c r="Y1466" t="s">
        <v>116</v>
      </c>
      <c r="Z1466" t="s">
        <v>117</v>
      </c>
      <c r="AA1466" t="str">
        <f>"14214-1316"</f>
        <v>14214-1316</v>
      </c>
      <c r="AB1466" t="s">
        <v>621</v>
      </c>
      <c r="AC1466" t="s">
        <v>119</v>
      </c>
      <c r="AD1466" t="s">
        <v>113</v>
      </c>
      <c r="AE1466" t="s">
        <v>120</v>
      </c>
      <c r="AG1466" t="s">
        <v>121</v>
      </c>
    </row>
    <row r="1467" spans="1:33" x14ac:dyDescent="0.25">
      <c r="A1467" t="str">
        <f>"1013093889"</f>
        <v>1013093889</v>
      </c>
      <c r="B1467" t="str">
        <f>"00617065"</f>
        <v>00617065</v>
      </c>
      <c r="C1467" t="s">
        <v>8637</v>
      </c>
      <c r="D1467" t="s">
        <v>8638</v>
      </c>
      <c r="E1467" t="s">
        <v>8639</v>
      </c>
      <c r="G1467" t="s">
        <v>8637</v>
      </c>
      <c r="H1467" t="s">
        <v>8640</v>
      </c>
      <c r="J1467" t="s">
        <v>8641</v>
      </c>
      <c r="L1467" t="s">
        <v>150</v>
      </c>
      <c r="M1467" t="s">
        <v>113</v>
      </c>
      <c r="R1467" t="s">
        <v>8642</v>
      </c>
      <c r="W1467" t="s">
        <v>8639</v>
      </c>
      <c r="X1467" t="s">
        <v>2506</v>
      </c>
      <c r="Y1467" t="s">
        <v>240</v>
      </c>
      <c r="Z1467" t="s">
        <v>117</v>
      </c>
      <c r="AA1467" t="str">
        <f>"14221-2723"</f>
        <v>14221-2723</v>
      </c>
      <c r="AB1467" t="s">
        <v>118</v>
      </c>
      <c r="AC1467" t="s">
        <v>119</v>
      </c>
      <c r="AD1467" t="s">
        <v>113</v>
      </c>
      <c r="AE1467" t="s">
        <v>120</v>
      </c>
      <c r="AG1467" t="s">
        <v>121</v>
      </c>
    </row>
    <row r="1468" spans="1:33" x14ac:dyDescent="0.25">
      <c r="A1468" t="str">
        <f>"1013101930"</f>
        <v>1013101930</v>
      </c>
      <c r="C1468" t="s">
        <v>8643</v>
      </c>
      <c r="G1468" t="s">
        <v>8643</v>
      </c>
      <c r="H1468" t="s">
        <v>437</v>
      </c>
      <c r="J1468" t="s">
        <v>438</v>
      </c>
      <c r="K1468" t="s">
        <v>303</v>
      </c>
      <c r="L1468" t="s">
        <v>229</v>
      </c>
      <c r="M1468" t="s">
        <v>113</v>
      </c>
      <c r="R1468" t="s">
        <v>8644</v>
      </c>
      <c r="S1468" t="s">
        <v>1117</v>
      </c>
      <c r="T1468" t="s">
        <v>116</v>
      </c>
      <c r="U1468" t="s">
        <v>117</v>
      </c>
      <c r="V1468" t="str">
        <f>"142254965"</f>
        <v>142254965</v>
      </c>
      <c r="AC1468" t="s">
        <v>119</v>
      </c>
      <c r="AD1468" t="s">
        <v>113</v>
      </c>
      <c r="AE1468" t="s">
        <v>306</v>
      </c>
      <c r="AG1468" t="s">
        <v>121</v>
      </c>
    </row>
    <row r="1469" spans="1:33" x14ac:dyDescent="0.25">
      <c r="A1469" t="str">
        <f>"1013169309"</f>
        <v>1013169309</v>
      </c>
      <c r="C1469" t="s">
        <v>8645</v>
      </c>
      <c r="G1469" t="s">
        <v>8646</v>
      </c>
      <c r="H1469" t="s">
        <v>590</v>
      </c>
      <c r="J1469" t="s">
        <v>8647</v>
      </c>
      <c r="K1469" t="s">
        <v>303</v>
      </c>
      <c r="L1469" t="s">
        <v>229</v>
      </c>
      <c r="M1469" t="s">
        <v>113</v>
      </c>
      <c r="R1469" t="s">
        <v>8648</v>
      </c>
      <c r="S1469" t="s">
        <v>626</v>
      </c>
      <c r="T1469" t="s">
        <v>116</v>
      </c>
      <c r="U1469" t="s">
        <v>117</v>
      </c>
      <c r="V1469" t="str">
        <f>"142102324"</f>
        <v>142102324</v>
      </c>
      <c r="AC1469" t="s">
        <v>119</v>
      </c>
      <c r="AD1469" t="s">
        <v>113</v>
      </c>
      <c r="AE1469" t="s">
        <v>306</v>
      </c>
      <c r="AG1469" t="s">
        <v>121</v>
      </c>
    </row>
    <row r="1470" spans="1:33" x14ac:dyDescent="0.25">
      <c r="A1470" t="str">
        <f>"1013176692"</f>
        <v>1013176692</v>
      </c>
      <c r="B1470" t="str">
        <f>"01994834"</f>
        <v>01994834</v>
      </c>
      <c r="C1470" t="s">
        <v>8649</v>
      </c>
      <c r="D1470" t="s">
        <v>8650</v>
      </c>
      <c r="E1470" t="s">
        <v>8651</v>
      </c>
      <c r="G1470" t="s">
        <v>8652</v>
      </c>
      <c r="H1470" t="s">
        <v>693</v>
      </c>
      <c r="J1470" t="s">
        <v>8653</v>
      </c>
      <c r="L1470" t="s">
        <v>142</v>
      </c>
      <c r="M1470" t="s">
        <v>113</v>
      </c>
      <c r="R1470" t="s">
        <v>8654</v>
      </c>
      <c r="W1470" t="s">
        <v>8651</v>
      </c>
      <c r="X1470" t="s">
        <v>8655</v>
      </c>
      <c r="Y1470" t="s">
        <v>116</v>
      </c>
      <c r="Z1470" t="s">
        <v>117</v>
      </c>
      <c r="AA1470" t="str">
        <f>"14223-1432"</f>
        <v>14223-1432</v>
      </c>
      <c r="AB1470" t="s">
        <v>118</v>
      </c>
      <c r="AC1470" t="s">
        <v>119</v>
      </c>
      <c r="AD1470" t="s">
        <v>113</v>
      </c>
      <c r="AE1470" t="s">
        <v>120</v>
      </c>
      <c r="AG1470" t="s">
        <v>121</v>
      </c>
    </row>
    <row r="1471" spans="1:33" x14ac:dyDescent="0.25">
      <c r="A1471" t="str">
        <f>"1013182021"</f>
        <v>1013182021</v>
      </c>
      <c r="B1471" t="str">
        <f>"01004613"</f>
        <v>01004613</v>
      </c>
      <c r="C1471" t="s">
        <v>3480</v>
      </c>
      <c r="D1471" t="s">
        <v>8656</v>
      </c>
      <c r="E1471" t="s">
        <v>8657</v>
      </c>
      <c r="H1471" t="s">
        <v>8658</v>
      </c>
      <c r="L1471" t="s">
        <v>14</v>
      </c>
      <c r="M1471" t="s">
        <v>113</v>
      </c>
      <c r="R1471" t="s">
        <v>3480</v>
      </c>
      <c r="W1471" t="s">
        <v>8657</v>
      </c>
      <c r="X1471" t="s">
        <v>8659</v>
      </c>
      <c r="Y1471" t="s">
        <v>116</v>
      </c>
      <c r="Z1471" t="s">
        <v>117</v>
      </c>
      <c r="AA1471" t="str">
        <f>"14209-2006"</f>
        <v>14209-2006</v>
      </c>
      <c r="AB1471" t="s">
        <v>5427</v>
      </c>
      <c r="AC1471" t="s">
        <v>119</v>
      </c>
      <c r="AD1471" t="s">
        <v>113</v>
      </c>
      <c r="AE1471" t="s">
        <v>120</v>
      </c>
      <c r="AG1471" t="s">
        <v>121</v>
      </c>
    </row>
    <row r="1472" spans="1:33" x14ac:dyDescent="0.25">
      <c r="A1472" t="str">
        <f>"1013192053"</f>
        <v>1013192053</v>
      </c>
      <c r="B1472" t="str">
        <f>"02396683"</f>
        <v>02396683</v>
      </c>
      <c r="C1472" t="s">
        <v>8660</v>
      </c>
      <c r="D1472" t="s">
        <v>8661</v>
      </c>
      <c r="E1472" t="s">
        <v>8662</v>
      </c>
      <c r="G1472" t="s">
        <v>8663</v>
      </c>
      <c r="H1472" t="s">
        <v>213</v>
      </c>
      <c r="J1472" t="s">
        <v>8664</v>
      </c>
      <c r="L1472" t="s">
        <v>142</v>
      </c>
      <c r="M1472" t="s">
        <v>113</v>
      </c>
      <c r="R1472" t="s">
        <v>8665</v>
      </c>
      <c r="W1472" t="s">
        <v>8662</v>
      </c>
      <c r="X1472" t="s">
        <v>216</v>
      </c>
      <c r="Y1472" t="s">
        <v>116</v>
      </c>
      <c r="Z1472" t="s">
        <v>117</v>
      </c>
      <c r="AA1472" t="str">
        <f>"14222-2006"</f>
        <v>14222-2006</v>
      </c>
      <c r="AB1472" t="s">
        <v>118</v>
      </c>
      <c r="AC1472" t="s">
        <v>119</v>
      </c>
      <c r="AD1472" t="s">
        <v>113</v>
      </c>
      <c r="AE1472" t="s">
        <v>120</v>
      </c>
      <c r="AG1472" t="s">
        <v>121</v>
      </c>
    </row>
    <row r="1473" spans="1:33" x14ac:dyDescent="0.25">
      <c r="A1473" t="str">
        <f>"1114954799"</f>
        <v>1114954799</v>
      </c>
      <c r="B1473" t="str">
        <f>"01907280"</f>
        <v>01907280</v>
      </c>
      <c r="C1473" t="s">
        <v>8666</v>
      </c>
      <c r="D1473" t="s">
        <v>8667</v>
      </c>
      <c r="E1473" t="s">
        <v>8668</v>
      </c>
      <c r="G1473" t="s">
        <v>8669</v>
      </c>
      <c r="H1473" t="s">
        <v>4748</v>
      </c>
      <c r="J1473" t="s">
        <v>8670</v>
      </c>
      <c r="L1473" t="s">
        <v>142</v>
      </c>
      <c r="M1473" t="s">
        <v>113</v>
      </c>
      <c r="R1473" t="s">
        <v>8671</v>
      </c>
      <c r="W1473" t="s">
        <v>8668</v>
      </c>
      <c r="X1473" t="s">
        <v>216</v>
      </c>
      <c r="Y1473" t="s">
        <v>116</v>
      </c>
      <c r="Z1473" t="s">
        <v>117</v>
      </c>
      <c r="AA1473" t="str">
        <f>"14222-2006"</f>
        <v>14222-2006</v>
      </c>
      <c r="AB1473" t="s">
        <v>118</v>
      </c>
      <c r="AC1473" t="s">
        <v>119</v>
      </c>
      <c r="AD1473" t="s">
        <v>113</v>
      </c>
      <c r="AE1473" t="s">
        <v>120</v>
      </c>
      <c r="AG1473" t="s">
        <v>121</v>
      </c>
    </row>
    <row r="1474" spans="1:33" x14ac:dyDescent="0.25">
      <c r="A1474" t="str">
        <f>"1114965738"</f>
        <v>1114965738</v>
      </c>
      <c r="B1474" t="str">
        <f>"01442699"</f>
        <v>01442699</v>
      </c>
      <c r="C1474" t="s">
        <v>8672</v>
      </c>
      <c r="D1474" t="s">
        <v>8673</v>
      </c>
      <c r="E1474" t="s">
        <v>8674</v>
      </c>
      <c r="G1474" t="s">
        <v>8672</v>
      </c>
      <c r="H1474" t="s">
        <v>4924</v>
      </c>
      <c r="J1474" t="s">
        <v>8675</v>
      </c>
      <c r="L1474" t="s">
        <v>112</v>
      </c>
      <c r="M1474" t="s">
        <v>113</v>
      </c>
      <c r="R1474" t="s">
        <v>8676</v>
      </c>
      <c r="W1474" t="s">
        <v>8674</v>
      </c>
      <c r="X1474" t="s">
        <v>1648</v>
      </c>
      <c r="Y1474" t="s">
        <v>116</v>
      </c>
      <c r="Z1474" t="s">
        <v>117</v>
      </c>
      <c r="AA1474" t="str">
        <f>"14214-2648"</f>
        <v>14214-2648</v>
      </c>
      <c r="AB1474" t="s">
        <v>118</v>
      </c>
      <c r="AC1474" t="s">
        <v>119</v>
      </c>
      <c r="AD1474" t="s">
        <v>113</v>
      </c>
      <c r="AE1474" t="s">
        <v>120</v>
      </c>
      <c r="AG1474" t="s">
        <v>121</v>
      </c>
    </row>
    <row r="1475" spans="1:33" x14ac:dyDescent="0.25">
      <c r="A1475" t="str">
        <f>"1114967486"</f>
        <v>1114967486</v>
      </c>
      <c r="B1475" t="str">
        <f>"01775740"</f>
        <v>01775740</v>
      </c>
      <c r="C1475" t="s">
        <v>8677</v>
      </c>
      <c r="D1475" t="s">
        <v>8678</v>
      </c>
      <c r="E1475" t="s">
        <v>8679</v>
      </c>
      <c r="G1475" t="s">
        <v>8677</v>
      </c>
      <c r="H1475" t="s">
        <v>8680</v>
      </c>
      <c r="J1475" t="s">
        <v>8681</v>
      </c>
      <c r="L1475" t="s">
        <v>112</v>
      </c>
      <c r="M1475" t="s">
        <v>113</v>
      </c>
      <c r="R1475" t="s">
        <v>8682</v>
      </c>
      <c r="W1475" t="s">
        <v>8679</v>
      </c>
      <c r="X1475" t="s">
        <v>8683</v>
      </c>
      <c r="Y1475" t="s">
        <v>116</v>
      </c>
      <c r="Z1475" t="s">
        <v>117</v>
      </c>
      <c r="AA1475" t="str">
        <f>"14209-2402"</f>
        <v>14209-2402</v>
      </c>
      <c r="AB1475" t="s">
        <v>118</v>
      </c>
      <c r="AC1475" t="s">
        <v>119</v>
      </c>
      <c r="AD1475" t="s">
        <v>113</v>
      </c>
      <c r="AE1475" t="s">
        <v>120</v>
      </c>
      <c r="AG1475" t="s">
        <v>121</v>
      </c>
    </row>
    <row r="1476" spans="1:33" x14ac:dyDescent="0.25">
      <c r="A1476" t="str">
        <f>"1114976313"</f>
        <v>1114976313</v>
      </c>
      <c r="B1476" t="str">
        <f>"01247410"</f>
        <v>01247410</v>
      </c>
      <c r="C1476" t="s">
        <v>8684</v>
      </c>
      <c r="D1476" t="s">
        <v>8685</v>
      </c>
      <c r="E1476" t="s">
        <v>8686</v>
      </c>
      <c r="G1476" t="s">
        <v>8684</v>
      </c>
      <c r="H1476" t="s">
        <v>205</v>
      </c>
      <c r="J1476" t="s">
        <v>8687</v>
      </c>
      <c r="L1476" t="s">
        <v>142</v>
      </c>
      <c r="M1476" t="s">
        <v>113</v>
      </c>
      <c r="R1476" t="s">
        <v>8688</v>
      </c>
      <c r="W1476" t="s">
        <v>8686</v>
      </c>
      <c r="X1476" t="s">
        <v>176</v>
      </c>
      <c r="Y1476" t="s">
        <v>116</v>
      </c>
      <c r="Z1476" t="s">
        <v>117</v>
      </c>
      <c r="AA1476" t="str">
        <f>"14203-1126"</f>
        <v>14203-1126</v>
      </c>
      <c r="AB1476" t="s">
        <v>118</v>
      </c>
      <c r="AC1476" t="s">
        <v>119</v>
      </c>
      <c r="AD1476" t="s">
        <v>113</v>
      </c>
      <c r="AE1476" t="s">
        <v>120</v>
      </c>
      <c r="AG1476" t="s">
        <v>121</v>
      </c>
    </row>
    <row r="1477" spans="1:33" x14ac:dyDescent="0.25">
      <c r="A1477" t="str">
        <f>"1114982865"</f>
        <v>1114982865</v>
      </c>
      <c r="B1477" t="str">
        <f>"01830799"</f>
        <v>01830799</v>
      </c>
      <c r="C1477" t="s">
        <v>8689</v>
      </c>
      <c r="D1477" t="s">
        <v>8690</v>
      </c>
      <c r="E1477" t="s">
        <v>8691</v>
      </c>
      <c r="G1477" t="s">
        <v>8689</v>
      </c>
      <c r="H1477" t="s">
        <v>8692</v>
      </c>
      <c r="J1477" t="s">
        <v>8693</v>
      </c>
      <c r="L1477" t="s">
        <v>142</v>
      </c>
      <c r="M1477" t="s">
        <v>113</v>
      </c>
      <c r="R1477" t="s">
        <v>8694</v>
      </c>
      <c r="W1477" t="s">
        <v>8695</v>
      </c>
      <c r="X1477" t="s">
        <v>8696</v>
      </c>
      <c r="Y1477" t="s">
        <v>958</v>
      </c>
      <c r="Z1477" t="s">
        <v>117</v>
      </c>
      <c r="AA1477" t="str">
        <f>"14226-2500"</f>
        <v>14226-2500</v>
      </c>
      <c r="AB1477" t="s">
        <v>118</v>
      </c>
      <c r="AC1477" t="s">
        <v>119</v>
      </c>
      <c r="AD1477" t="s">
        <v>113</v>
      </c>
      <c r="AE1477" t="s">
        <v>120</v>
      </c>
      <c r="AG1477" t="s">
        <v>121</v>
      </c>
    </row>
    <row r="1478" spans="1:33" x14ac:dyDescent="0.25">
      <c r="A1478" t="str">
        <f>"1114994084"</f>
        <v>1114994084</v>
      </c>
      <c r="B1478" t="str">
        <f>"02614111"</f>
        <v>02614111</v>
      </c>
      <c r="C1478" t="s">
        <v>8697</v>
      </c>
      <c r="D1478" t="s">
        <v>8698</v>
      </c>
      <c r="E1478" t="s">
        <v>8699</v>
      </c>
      <c r="G1478" t="s">
        <v>8697</v>
      </c>
      <c r="H1478" t="s">
        <v>205</v>
      </c>
      <c r="J1478" t="s">
        <v>8700</v>
      </c>
      <c r="L1478" t="s">
        <v>112</v>
      </c>
      <c r="M1478" t="s">
        <v>113</v>
      </c>
      <c r="R1478" t="s">
        <v>8701</v>
      </c>
      <c r="W1478" t="s">
        <v>8702</v>
      </c>
      <c r="X1478" t="s">
        <v>176</v>
      </c>
      <c r="Y1478" t="s">
        <v>116</v>
      </c>
      <c r="Z1478" t="s">
        <v>117</v>
      </c>
      <c r="AA1478" t="str">
        <f>"14203-1126"</f>
        <v>14203-1126</v>
      </c>
      <c r="AB1478" t="s">
        <v>118</v>
      </c>
      <c r="AC1478" t="s">
        <v>119</v>
      </c>
      <c r="AD1478" t="s">
        <v>113</v>
      </c>
      <c r="AE1478" t="s">
        <v>120</v>
      </c>
      <c r="AG1478" t="s">
        <v>121</v>
      </c>
    </row>
    <row r="1479" spans="1:33" x14ac:dyDescent="0.25">
      <c r="A1479" t="str">
        <f>"1114995388"</f>
        <v>1114995388</v>
      </c>
      <c r="B1479" t="str">
        <f>"01842626"</f>
        <v>01842626</v>
      </c>
      <c r="C1479" t="s">
        <v>8703</v>
      </c>
      <c r="D1479" t="s">
        <v>8704</v>
      </c>
      <c r="E1479" t="s">
        <v>8705</v>
      </c>
      <c r="G1479" t="s">
        <v>8703</v>
      </c>
      <c r="H1479" t="s">
        <v>8706</v>
      </c>
      <c r="J1479" t="s">
        <v>8707</v>
      </c>
      <c r="L1479" t="s">
        <v>112</v>
      </c>
      <c r="M1479" t="s">
        <v>113</v>
      </c>
      <c r="R1479" t="s">
        <v>8705</v>
      </c>
      <c r="W1479" t="s">
        <v>8705</v>
      </c>
      <c r="X1479" t="s">
        <v>8705</v>
      </c>
      <c r="Y1479" t="s">
        <v>958</v>
      </c>
      <c r="Z1479" t="s">
        <v>117</v>
      </c>
      <c r="AA1479" t="str">
        <f>"14226-1039"</f>
        <v>14226-1039</v>
      </c>
      <c r="AB1479" t="s">
        <v>118</v>
      </c>
      <c r="AC1479" t="s">
        <v>119</v>
      </c>
      <c r="AD1479" t="s">
        <v>113</v>
      </c>
      <c r="AE1479" t="s">
        <v>120</v>
      </c>
      <c r="AG1479" t="s">
        <v>121</v>
      </c>
    </row>
    <row r="1480" spans="1:33" x14ac:dyDescent="0.25">
      <c r="A1480" t="str">
        <f>"1114996279"</f>
        <v>1114996279</v>
      </c>
      <c r="B1480" t="str">
        <f>"01842855"</f>
        <v>01842855</v>
      </c>
      <c r="C1480" t="s">
        <v>8708</v>
      </c>
      <c r="D1480" t="s">
        <v>8709</v>
      </c>
      <c r="E1480" t="s">
        <v>8710</v>
      </c>
      <c r="G1480" t="s">
        <v>8708</v>
      </c>
      <c r="H1480" t="s">
        <v>8706</v>
      </c>
      <c r="J1480" t="s">
        <v>8711</v>
      </c>
      <c r="L1480" t="s">
        <v>112</v>
      </c>
      <c r="M1480" t="s">
        <v>113</v>
      </c>
      <c r="R1480" t="s">
        <v>8710</v>
      </c>
      <c r="W1480" t="s">
        <v>8710</v>
      </c>
      <c r="X1480" t="s">
        <v>8710</v>
      </c>
      <c r="Y1480" t="s">
        <v>958</v>
      </c>
      <c r="Z1480" t="s">
        <v>117</v>
      </c>
      <c r="AA1480" t="str">
        <f>"14226-1039"</f>
        <v>14226-1039</v>
      </c>
      <c r="AB1480" t="s">
        <v>118</v>
      </c>
      <c r="AC1480" t="s">
        <v>119</v>
      </c>
      <c r="AD1480" t="s">
        <v>113</v>
      </c>
      <c r="AE1480" t="s">
        <v>120</v>
      </c>
      <c r="AG1480" t="s">
        <v>121</v>
      </c>
    </row>
    <row r="1481" spans="1:33" x14ac:dyDescent="0.25">
      <c r="A1481" t="str">
        <f>"1124002217"</f>
        <v>1124002217</v>
      </c>
      <c r="B1481" t="str">
        <f>"02687341"</f>
        <v>02687341</v>
      </c>
      <c r="C1481" t="s">
        <v>8712</v>
      </c>
      <c r="D1481" t="s">
        <v>8713</v>
      </c>
      <c r="E1481" t="s">
        <v>8714</v>
      </c>
      <c r="G1481" t="s">
        <v>8712</v>
      </c>
      <c r="H1481" t="s">
        <v>227</v>
      </c>
      <c r="J1481" t="s">
        <v>8715</v>
      </c>
      <c r="L1481" t="s">
        <v>142</v>
      </c>
      <c r="M1481" t="s">
        <v>113</v>
      </c>
      <c r="R1481" t="s">
        <v>8716</v>
      </c>
      <c r="W1481" t="s">
        <v>8714</v>
      </c>
      <c r="X1481" t="s">
        <v>1318</v>
      </c>
      <c r="Y1481" t="s">
        <v>1319</v>
      </c>
      <c r="Z1481" t="s">
        <v>117</v>
      </c>
      <c r="AA1481" t="str">
        <f>"11373-1329"</f>
        <v>11373-1329</v>
      </c>
      <c r="AB1481" t="s">
        <v>118</v>
      </c>
      <c r="AC1481" t="s">
        <v>119</v>
      </c>
      <c r="AD1481" t="s">
        <v>113</v>
      </c>
      <c r="AE1481" t="s">
        <v>120</v>
      </c>
      <c r="AG1481" t="s">
        <v>121</v>
      </c>
    </row>
    <row r="1482" spans="1:33" x14ac:dyDescent="0.25">
      <c r="A1482" t="str">
        <f>"1205975232"</f>
        <v>1205975232</v>
      </c>
      <c r="B1482" t="str">
        <f>"02870139"</f>
        <v>02870139</v>
      </c>
      <c r="C1482" t="s">
        <v>8717</v>
      </c>
      <c r="D1482" t="s">
        <v>8718</v>
      </c>
      <c r="E1482" t="s">
        <v>8719</v>
      </c>
      <c r="G1482" t="s">
        <v>8717</v>
      </c>
      <c r="H1482" t="s">
        <v>3942</v>
      </c>
      <c r="J1482" t="s">
        <v>8720</v>
      </c>
      <c r="L1482" t="s">
        <v>142</v>
      </c>
      <c r="M1482" t="s">
        <v>113</v>
      </c>
      <c r="R1482" t="s">
        <v>8721</v>
      </c>
      <c r="W1482" t="s">
        <v>8722</v>
      </c>
      <c r="X1482" t="s">
        <v>4821</v>
      </c>
      <c r="Y1482" t="s">
        <v>116</v>
      </c>
      <c r="Z1482" t="s">
        <v>117</v>
      </c>
      <c r="AA1482" t="str">
        <f>"14203-1126"</f>
        <v>14203-1126</v>
      </c>
      <c r="AB1482" t="s">
        <v>118</v>
      </c>
      <c r="AC1482" t="s">
        <v>119</v>
      </c>
      <c r="AD1482" t="s">
        <v>113</v>
      </c>
      <c r="AE1482" t="s">
        <v>120</v>
      </c>
      <c r="AG1482" t="s">
        <v>121</v>
      </c>
    </row>
    <row r="1483" spans="1:33" x14ac:dyDescent="0.25">
      <c r="A1483" t="str">
        <f>"1205977063"</f>
        <v>1205977063</v>
      </c>
      <c r="B1483" t="str">
        <f>"01089472"</f>
        <v>01089472</v>
      </c>
      <c r="C1483" t="s">
        <v>8723</v>
      </c>
      <c r="D1483" t="s">
        <v>8724</v>
      </c>
      <c r="E1483" t="s">
        <v>8725</v>
      </c>
      <c r="G1483" t="s">
        <v>8726</v>
      </c>
      <c r="H1483" t="s">
        <v>7255</v>
      </c>
      <c r="J1483" t="s">
        <v>8727</v>
      </c>
      <c r="L1483" t="s">
        <v>150</v>
      </c>
      <c r="M1483" t="s">
        <v>113</v>
      </c>
      <c r="R1483" t="s">
        <v>8728</v>
      </c>
      <c r="W1483" t="s">
        <v>8725</v>
      </c>
      <c r="Y1483" t="s">
        <v>240</v>
      </c>
      <c r="Z1483" t="s">
        <v>117</v>
      </c>
      <c r="AA1483" t="str">
        <f>"14221-6315"</f>
        <v>14221-6315</v>
      </c>
      <c r="AB1483" t="s">
        <v>118</v>
      </c>
      <c r="AC1483" t="s">
        <v>119</v>
      </c>
      <c r="AD1483" t="s">
        <v>113</v>
      </c>
      <c r="AE1483" t="s">
        <v>120</v>
      </c>
      <c r="AG1483" t="s">
        <v>121</v>
      </c>
    </row>
    <row r="1484" spans="1:33" x14ac:dyDescent="0.25">
      <c r="A1484" t="str">
        <f>"1205985330"</f>
        <v>1205985330</v>
      </c>
      <c r="B1484" t="str">
        <f>"01364612"</f>
        <v>01364612</v>
      </c>
      <c r="C1484" t="s">
        <v>8729</v>
      </c>
      <c r="D1484" t="s">
        <v>8730</v>
      </c>
      <c r="E1484" t="s">
        <v>8731</v>
      </c>
      <c r="G1484" t="s">
        <v>8729</v>
      </c>
      <c r="H1484" t="s">
        <v>8732</v>
      </c>
      <c r="L1484" t="s">
        <v>229</v>
      </c>
      <c r="M1484" t="s">
        <v>113</v>
      </c>
      <c r="R1484" t="s">
        <v>8729</v>
      </c>
      <c r="W1484" t="s">
        <v>8729</v>
      </c>
      <c r="X1484" t="s">
        <v>8733</v>
      </c>
      <c r="Y1484" t="s">
        <v>153</v>
      </c>
      <c r="Z1484" t="s">
        <v>117</v>
      </c>
      <c r="AA1484" t="str">
        <f>"14304-2212"</f>
        <v>14304-2212</v>
      </c>
      <c r="AB1484" t="s">
        <v>1146</v>
      </c>
      <c r="AC1484" t="s">
        <v>119</v>
      </c>
      <c r="AD1484" t="s">
        <v>113</v>
      </c>
      <c r="AE1484" t="s">
        <v>120</v>
      </c>
      <c r="AG1484" t="s">
        <v>121</v>
      </c>
    </row>
    <row r="1485" spans="1:33" x14ac:dyDescent="0.25">
      <c r="A1485" t="str">
        <f>"1205985645"</f>
        <v>1205985645</v>
      </c>
      <c r="B1485" t="str">
        <f>"02142487"</f>
        <v>02142487</v>
      </c>
      <c r="C1485" t="s">
        <v>8734</v>
      </c>
      <c r="D1485" t="s">
        <v>8735</v>
      </c>
      <c r="E1485" t="s">
        <v>8736</v>
      </c>
      <c r="G1485" t="s">
        <v>8734</v>
      </c>
      <c r="H1485" t="s">
        <v>7177</v>
      </c>
      <c r="J1485" t="s">
        <v>8737</v>
      </c>
      <c r="L1485" t="s">
        <v>142</v>
      </c>
      <c r="M1485" t="s">
        <v>113</v>
      </c>
      <c r="R1485" t="s">
        <v>8738</v>
      </c>
      <c r="W1485" t="s">
        <v>8736</v>
      </c>
      <c r="X1485" t="s">
        <v>8739</v>
      </c>
      <c r="Y1485" t="s">
        <v>116</v>
      </c>
      <c r="Z1485" t="s">
        <v>117</v>
      </c>
      <c r="AA1485" t="str">
        <f>"14203-2209"</f>
        <v>14203-2209</v>
      </c>
      <c r="AB1485" t="s">
        <v>118</v>
      </c>
      <c r="AC1485" t="s">
        <v>119</v>
      </c>
      <c r="AD1485" t="s">
        <v>113</v>
      </c>
      <c r="AE1485" t="s">
        <v>120</v>
      </c>
      <c r="AG1485" t="s">
        <v>121</v>
      </c>
    </row>
    <row r="1486" spans="1:33" x14ac:dyDescent="0.25">
      <c r="A1486" t="str">
        <f>"1205989597"</f>
        <v>1205989597</v>
      </c>
      <c r="C1486" t="s">
        <v>8740</v>
      </c>
      <c r="G1486" t="s">
        <v>8740</v>
      </c>
      <c r="H1486" t="s">
        <v>471</v>
      </c>
      <c r="J1486" t="s">
        <v>8741</v>
      </c>
      <c r="K1486" t="s">
        <v>303</v>
      </c>
      <c r="L1486" t="s">
        <v>229</v>
      </c>
      <c r="M1486" t="s">
        <v>113</v>
      </c>
      <c r="R1486" t="s">
        <v>8742</v>
      </c>
      <c r="S1486" t="s">
        <v>821</v>
      </c>
      <c r="T1486" t="s">
        <v>318</v>
      </c>
      <c r="U1486" t="s">
        <v>117</v>
      </c>
      <c r="V1486" t="str">
        <f>"14225"</f>
        <v>14225</v>
      </c>
      <c r="AC1486" t="s">
        <v>119</v>
      </c>
      <c r="AD1486" t="s">
        <v>113</v>
      </c>
      <c r="AE1486" t="s">
        <v>306</v>
      </c>
      <c r="AG1486" t="s">
        <v>121</v>
      </c>
    </row>
    <row r="1487" spans="1:33" x14ac:dyDescent="0.25">
      <c r="A1487" t="str">
        <f>"1295836955"</f>
        <v>1295836955</v>
      </c>
      <c r="B1487" t="str">
        <f>"01952634"</f>
        <v>01952634</v>
      </c>
      <c r="C1487" t="s">
        <v>8743</v>
      </c>
      <c r="D1487" t="s">
        <v>8744</v>
      </c>
      <c r="E1487" t="s">
        <v>8745</v>
      </c>
      <c r="G1487" t="s">
        <v>8746</v>
      </c>
      <c r="H1487" t="s">
        <v>8747</v>
      </c>
      <c r="J1487" t="s">
        <v>8748</v>
      </c>
      <c r="L1487" t="s">
        <v>142</v>
      </c>
      <c r="M1487" t="s">
        <v>113</v>
      </c>
      <c r="R1487" t="s">
        <v>8749</v>
      </c>
      <c r="W1487" t="s">
        <v>8745</v>
      </c>
      <c r="X1487" t="s">
        <v>8750</v>
      </c>
      <c r="Y1487" t="s">
        <v>2946</v>
      </c>
      <c r="Z1487" t="s">
        <v>117</v>
      </c>
      <c r="AA1487" t="str">
        <f>"14075-2600"</f>
        <v>14075-2600</v>
      </c>
      <c r="AB1487" t="s">
        <v>118</v>
      </c>
      <c r="AC1487" t="s">
        <v>119</v>
      </c>
      <c r="AD1487" t="s">
        <v>113</v>
      </c>
      <c r="AE1487" t="s">
        <v>120</v>
      </c>
      <c r="AG1487" t="s">
        <v>121</v>
      </c>
    </row>
    <row r="1488" spans="1:33" x14ac:dyDescent="0.25">
      <c r="A1488" t="str">
        <f>"1720210503"</f>
        <v>1720210503</v>
      </c>
      <c r="B1488" t="str">
        <f>"03561960"</f>
        <v>03561960</v>
      </c>
      <c r="C1488" t="s">
        <v>8751</v>
      </c>
      <c r="D1488" t="s">
        <v>8752</v>
      </c>
      <c r="E1488" t="s">
        <v>8753</v>
      </c>
      <c r="G1488" t="s">
        <v>8751</v>
      </c>
      <c r="H1488" t="s">
        <v>8754</v>
      </c>
      <c r="J1488" t="s">
        <v>8755</v>
      </c>
      <c r="L1488" t="s">
        <v>150</v>
      </c>
      <c r="M1488" t="s">
        <v>113</v>
      </c>
      <c r="R1488" t="s">
        <v>8756</v>
      </c>
      <c r="W1488" t="s">
        <v>8753</v>
      </c>
      <c r="X1488" t="s">
        <v>176</v>
      </c>
      <c r="Y1488" t="s">
        <v>116</v>
      </c>
      <c r="Z1488" t="s">
        <v>117</v>
      </c>
      <c r="AA1488" t="str">
        <f>"14203-1126"</f>
        <v>14203-1126</v>
      </c>
      <c r="AB1488" t="s">
        <v>118</v>
      </c>
      <c r="AC1488" t="s">
        <v>119</v>
      </c>
      <c r="AD1488" t="s">
        <v>113</v>
      </c>
      <c r="AE1488" t="s">
        <v>120</v>
      </c>
      <c r="AG1488" t="s">
        <v>121</v>
      </c>
    </row>
    <row r="1489" spans="1:33" x14ac:dyDescent="0.25">
      <c r="A1489" t="str">
        <f>"1720212277"</f>
        <v>1720212277</v>
      </c>
      <c r="B1489" t="str">
        <f>"03225147"</f>
        <v>03225147</v>
      </c>
      <c r="C1489" t="s">
        <v>8757</v>
      </c>
      <c r="D1489" t="s">
        <v>8758</v>
      </c>
      <c r="E1489" t="s">
        <v>8759</v>
      </c>
      <c r="G1489" t="s">
        <v>8757</v>
      </c>
      <c r="H1489" t="s">
        <v>205</v>
      </c>
      <c r="J1489" t="s">
        <v>8760</v>
      </c>
      <c r="L1489" t="s">
        <v>142</v>
      </c>
      <c r="M1489" t="s">
        <v>113</v>
      </c>
      <c r="R1489" t="s">
        <v>8761</v>
      </c>
      <c r="W1489" t="s">
        <v>8759</v>
      </c>
      <c r="X1489" t="s">
        <v>6289</v>
      </c>
      <c r="Y1489" t="s">
        <v>240</v>
      </c>
      <c r="Z1489" t="s">
        <v>117</v>
      </c>
      <c r="AA1489" t="str">
        <f>"14221-8216"</f>
        <v>14221-8216</v>
      </c>
      <c r="AB1489" t="s">
        <v>118</v>
      </c>
      <c r="AC1489" t="s">
        <v>119</v>
      </c>
      <c r="AD1489" t="s">
        <v>113</v>
      </c>
      <c r="AE1489" t="s">
        <v>120</v>
      </c>
      <c r="AG1489" t="s">
        <v>121</v>
      </c>
    </row>
    <row r="1490" spans="1:33" x14ac:dyDescent="0.25">
      <c r="A1490" t="str">
        <f>"1720219108"</f>
        <v>1720219108</v>
      </c>
      <c r="B1490" t="str">
        <f>"03469289"</f>
        <v>03469289</v>
      </c>
      <c r="C1490" t="s">
        <v>8762</v>
      </c>
      <c r="D1490" t="s">
        <v>8763</v>
      </c>
      <c r="E1490" t="s">
        <v>8764</v>
      </c>
      <c r="G1490" t="s">
        <v>8762</v>
      </c>
      <c r="H1490" t="s">
        <v>8765</v>
      </c>
      <c r="J1490" t="s">
        <v>8766</v>
      </c>
      <c r="L1490" t="s">
        <v>112</v>
      </c>
      <c r="M1490" t="s">
        <v>113</v>
      </c>
      <c r="R1490" t="s">
        <v>8767</v>
      </c>
      <c r="W1490" t="s">
        <v>8764</v>
      </c>
      <c r="X1490" t="s">
        <v>838</v>
      </c>
      <c r="Y1490" t="s">
        <v>240</v>
      </c>
      <c r="Z1490" t="s">
        <v>117</v>
      </c>
      <c r="AA1490" t="str">
        <f>"14221-3647"</f>
        <v>14221-3647</v>
      </c>
      <c r="AB1490" t="s">
        <v>118</v>
      </c>
      <c r="AC1490" t="s">
        <v>119</v>
      </c>
      <c r="AD1490" t="s">
        <v>113</v>
      </c>
      <c r="AE1490" t="s">
        <v>120</v>
      </c>
      <c r="AG1490" t="s">
        <v>121</v>
      </c>
    </row>
    <row r="1491" spans="1:33" x14ac:dyDescent="0.25">
      <c r="A1491" t="str">
        <f>"1720229180"</f>
        <v>1720229180</v>
      </c>
      <c r="B1491" t="str">
        <f>"03083070"</f>
        <v>03083070</v>
      </c>
      <c r="C1491" t="s">
        <v>8768</v>
      </c>
      <c r="D1491" t="s">
        <v>8769</v>
      </c>
      <c r="E1491" t="s">
        <v>8770</v>
      </c>
      <c r="G1491" t="s">
        <v>8768</v>
      </c>
      <c r="H1491" t="s">
        <v>1227</v>
      </c>
      <c r="J1491" t="s">
        <v>8771</v>
      </c>
      <c r="L1491" t="s">
        <v>112</v>
      </c>
      <c r="M1491" t="s">
        <v>113</v>
      </c>
      <c r="R1491" t="s">
        <v>8772</v>
      </c>
      <c r="W1491" t="s">
        <v>8773</v>
      </c>
      <c r="X1491" t="s">
        <v>8774</v>
      </c>
      <c r="Y1491" t="s">
        <v>958</v>
      </c>
      <c r="Z1491" t="s">
        <v>117</v>
      </c>
      <c r="AA1491" t="str">
        <f>"14226-1727"</f>
        <v>14226-1727</v>
      </c>
      <c r="AB1491" t="s">
        <v>118</v>
      </c>
      <c r="AC1491" t="s">
        <v>119</v>
      </c>
      <c r="AD1491" t="s">
        <v>113</v>
      </c>
      <c r="AE1491" t="s">
        <v>120</v>
      </c>
      <c r="AG1491" t="s">
        <v>121</v>
      </c>
    </row>
    <row r="1492" spans="1:33" x14ac:dyDescent="0.25">
      <c r="A1492" t="str">
        <f>"1720262686"</f>
        <v>1720262686</v>
      </c>
      <c r="B1492" t="str">
        <f>"03720454"</f>
        <v>03720454</v>
      </c>
      <c r="C1492" t="s">
        <v>8775</v>
      </c>
      <c r="D1492" t="s">
        <v>8776</v>
      </c>
      <c r="E1492" t="s">
        <v>8777</v>
      </c>
      <c r="G1492" t="s">
        <v>8775</v>
      </c>
      <c r="H1492" t="s">
        <v>8778</v>
      </c>
      <c r="J1492" t="s">
        <v>8779</v>
      </c>
      <c r="L1492" t="s">
        <v>142</v>
      </c>
      <c r="M1492" t="s">
        <v>113</v>
      </c>
      <c r="R1492" t="s">
        <v>8780</v>
      </c>
      <c r="W1492" t="s">
        <v>8777</v>
      </c>
      <c r="X1492" t="s">
        <v>6840</v>
      </c>
      <c r="Y1492" t="s">
        <v>2946</v>
      </c>
      <c r="Z1492" t="s">
        <v>117</v>
      </c>
      <c r="AA1492" t="str">
        <f>"14075-4231"</f>
        <v>14075-4231</v>
      </c>
      <c r="AB1492" t="s">
        <v>118</v>
      </c>
      <c r="AC1492" t="s">
        <v>119</v>
      </c>
      <c r="AD1492" t="s">
        <v>113</v>
      </c>
      <c r="AE1492" t="s">
        <v>120</v>
      </c>
      <c r="AG1492" t="s">
        <v>121</v>
      </c>
    </row>
    <row r="1493" spans="1:33" x14ac:dyDescent="0.25">
      <c r="A1493" t="str">
        <f>"1720309131"</f>
        <v>1720309131</v>
      </c>
      <c r="C1493" t="s">
        <v>8781</v>
      </c>
      <c r="G1493" t="s">
        <v>8782</v>
      </c>
      <c r="H1493" t="s">
        <v>2120</v>
      </c>
      <c r="J1493" t="s">
        <v>352</v>
      </c>
      <c r="K1493" t="s">
        <v>303</v>
      </c>
      <c r="L1493" t="s">
        <v>229</v>
      </c>
      <c r="M1493" t="s">
        <v>113</v>
      </c>
      <c r="R1493" t="s">
        <v>8783</v>
      </c>
      <c r="S1493" t="s">
        <v>405</v>
      </c>
      <c r="T1493" t="s">
        <v>116</v>
      </c>
      <c r="U1493" t="s">
        <v>117</v>
      </c>
      <c r="V1493" t="str">
        <f>"142151139"</f>
        <v>142151139</v>
      </c>
      <c r="AC1493" t="s">
        <v>119</v>
      </c>
      <c r="AD1493" t="s">
        <v>113</v>
      </c>
      <c r="AE1493" t="s">
        <v>306</v>
      </c>
      <c r="AG1493" t="s">
        <v>121</v>
      </c>
    </row>
    <row r="1494" spans="1:33" x14ac:dyDescent="0.25">
      <c r="A1494" t="str">
        <f>"1720328412"</f>
        <v>1720328412</v>
      </c>
      <c r="B1494" t="str">
        <f>"03603032"</f>
        <v>03603032</v>
      </c>
      <c r="C1494" t="s">
        <v>8784</v>
      </c>
      <c r="D1494" t="s">
        <v>8785</v>
      </c>
      <c r="E1494" t="s">
        <v>8786</v>
      </c>
      <c r="G1494" t="s">
        <v>8787</v>
      </c>
      <c r="H1494" t="s">
        <v>8788</v>
      </c>
      <c r="J1494" t="s">
        <v>1387</v>
      </c>
      <c r="L1494" t="s">
        <v>150</v>
      </c>
      <c r="M1494" t="s">
        <v>113</v>
      </c>
      <c r="R1494" t="s">
        <v>8789</v>
      </c>
      <c r="W1494" t="s">
        <v>8786</v>
      </c>
      <c r="X1494" t="s">
        <v>3792</v>
      </c>
      <c r="Y1494" t="s">
        <v>3793</v>
      </c>
      <c r="Z1494" t="s">
        <v>117</v>
      </c>
      <c r="AA1494" t="str">
        <f>"14042-9501"</f>
        <v>14042-9501</v>
      </c>
      <c r="AB1494" t="s">
        <v>118</v>
      </c>
      <c r="AC1494" t="s">
        <v>119</v>
      </c>
      <c r="AD1494" t="s">
        <v>113</v>
      </c>
      <c r="AE1494" t="s">
        <v>120</v>
      </c>
      <c r="AG1494" t="s">
        <v>121</v>
      </c>
    </row>
    <row r="1495" spans="1:33" x14ac:dyDescent="0.25">
      <c r="A1495" t="str">
        <f>"1376509976"</f>
        <v>1376509976</v>
      </c>
      <c r="B1495" t="str">
        <f>"00877569"</f>
        <v>00877569</v>
      </c>
      <c r="C1495" t="s">
        <v>8790</v>
      </c>
      <c r="D1495" t="s">
        <v>8791</v>
      </c>
      <c r="E1495" t="s">
        <v>8792</v>
      </c>
      <c r="G1495" t="s">
        <v>8790</v>
      </c>
      <c r="H1495" t="s">
        <v>8793</v>
      </c>
      <c r="J1495" t="s">
        <v>8794</v>
      </c>
      <c r="L1495" t="s">
        <v>150</v>
      </c>
      <c r="M1495" t="s">
        <v>113</v>
      </c>
      <c r="R1495" t="s">
        <v>8795</v>
      </c>
      <c r="W1495" t="s">
        <v>8796</v>
      </c>
      <c r="X1495" t="s">
        <v>8797</v>
      </c>
      <c r="Y1495" t="s">
        <v>2786</v>
      </c>
      <c r="Z1495" t="s">
        <v>117</v>
      </c>
      <c r="AA1495" t="str">
        <f>"14026-1035"</f>
        <v>14026-1035</v>
      </c>
      <c r="AB1495" t="s">
        <v>118</v>
      </c>
      <c r="AC1495" t="s">
        <v>119</v>
      </c>
      <c r="AD1495" t="s">
        <v>113</v>
      </c>
      <c r="AE1495" t="s">
        <v>120</v>
      </c>
      <c r="AG1495" t="s">
        <v>121</v>
      </c>
    </row>
    <row r="1496" spans="1:33" x14ac:dyDescent="0.25">
      <c r="A1496" t="str">
        <f>"1376524264"</f>
        <v>1376524264</v>
      </c>
      <c r="B1496" t="str">
        <f>"02614006"</f>
        <v>02614006</v>
      </c>
      <c r="C1496" t="s">
        <v>8798</v>
      </c>
      <c r="D1496" t="s">
        <v>8799</v>
      </c>
      <c r="E1496" t="s">
        <v>8800</v>
      </c>
      <c r="G1496" t="s">
        <v>8798</v>
      </c>
      <c r="H1496" t="s">
        <v>579</v>
      </c>
      <c r="J1496" t="s">
        <v>8801</v>
      </c>
      <c r="L1496" t="s">
        <v>142</v>
      </c>
      <c r="M1496" t="s">
        <v>113</v>
      </c>
      <c r="R1496" t="s">
        <v>8800</v>
      </c>
      <c r="W1496" t="s">
        <v>8800</v>
      </c>
      <c r="X1496" t="s">
        <v>8800</v>
      </c>
      <c r="Y1496" t="s">
        <v>153</v>
      </c>
      <c r="Z1496" t="s">
        <v>117</v>
      </c>
      <c r="AA1496" t="str">
        <f>"14301-1813"</f>
        <v>14301-1813</v>
      </c>
      <c r="AB1496" t="s">
        <v>118</v>
      </c>
      <c r="AC1496" t="s">
        <v>119</v>
      </c>
      <c r="AD1496" t="s">
        <v>113</v>
      </c>
      <c r="AE1496" t="s">
        <v>120</v>
      </c>
      <c r="AG1496" t="s">
        <v>121</v>
      </c>
    </row>
    <row r="1497" spans="1:33" x14ac:dyDescent="0.25">
      <c r="A1497" t="str">
        <f>"1376529164"</f>
        <v>1376529164</v>
      </c>
      <c r="B1497" t="str">
        <f>"00776650"</f>
        <v>00776650</v>
      </c>
      <c r="C1497" t="s">
        <v>8802</v>
      </c>
      <c r="D1497" t="s">
        <v>8803</v>
      </c>
      <c r="E1497" t="s">
        <v>8804</v>
      </c>
      <c r="G1497" t="s">
        <v>8802</v>
      </c>
      <c r="H1497" t="s">
        <v>1507</v>
      </c>
      <c r="J1497" t="s">
        <v>8805</v>
      </c>
      <c r="L1497" t="s">
        <v>112</v>
      </c>
      <c r="M1497" t="s">
        <v>113</v>
      </c>
      <c r="R1497" t="s">
        <v>8806</v>
      </c>
      <c r="W1497" t="s">
        <v>8804</v>
      </c>
      <c r="X1497" t="s">
        <v>176</v>
      </c>
      <c r="Y1497" t="s">
        <v>116</v>
      </c>
      <c r="Z1497" t="s">
        <v>117</v>
      </c>
      <c r="AA1497" t="str">
        <f>"14203-1126"</f>
        <v>14203-1126</v>
      </c>
      <c r="AB1497" t="s">
        <v>118</v>
      </c>
      <c r="AC1497" t="s">
        <v>119</v>
      </c>
      <c r="AD1497" t="s">
        <v>113</v>
      </c>
      <c r="AE1497" t="s">
        <v>120</v>
      </c>
      <c r="AG1497" t="s">
        <v>121</v>
      </c>
    </row>
    <row r="1498" spans="1:33" x14ac:dyDescent="0.25">
      <c r="A1498" t="str">
        <f>"1376535393"</f>
        <v>1376535393</v>
      </c>
      <c r="B1498" t="str">
        <f>"02563546"</f>
        <v>02563546</v>
      </c>
      <c r="C1498" t="s">
        <v>8807</v>
      </c>
      <c r="D1498" t="s">
        <v>8808</v>
      </c>
      <c r="E1498" t="s">
        <v>8809</v>
      </c>
      <c r="G1498" t="s">
        <v>1816</v>
      </c>
      <c r="H1498" t="s">
        <v>8810</v>
      </c>
      <c r="J1498" t="s">
        <v>1818</v>
      </c>
      <c r="L1498" t="s">
        <v>142</v>
      </c>
      <c r="M1498" t="s">
        <v>113</v>
      </c>
      <c r="R1498" t="s">
        <v>8811</v>
      </c>
      <c r="W1498" t="s">
        <v>8809</v>
      </c>
      <c r="X1498" t="s">
        <v>518</v>
      </c>
      <c r="Y1498" t="s">
        <v>305</v>
      </c>
      <c r="Z1498" t="s">
        <v>117</v>
      </c>
      <c r="AA1498" t="str">
        <f>"14760-1500"</f>
        <v>14760-1500</v>
      </c>
      <c r="AB1498" t="s">
        <v>118</v>
      </c>
      <c r="AC1498" t="s">
        <v>119</v>
      </c>
      <c r="AD1498" t="s">
        <v>113</v>
      </c>
      <c r="AE1498" t="s">
        <v>120</v>
      </c>
      <c r="AG1498" t="s">
        <v>121</v>
      </c>
    </row>
    <row r="1499" spans="1:33" x14ac:dyDescent="0.25">
      <c r="A1499" t="str">
        <f>"1376549683"</f>
        <v>1376549683</v>
      </c>
      <c r="B1499" t="str">
        <f>"01548838"</f>
        <v>01548838</v>
      </c>
      <c r="C1499" t="s">
        <v>8812</v>
      </c>
      <c r="D1499" t="s">
        <v>8813</v>
      </c>
      <c r="E1499" t="s">
        <v>8814</v>
      </c>
      <c r="G1499" t="s">
        <v>8812</v>
      </c>
      <c r="H1499" t="s">
        <v>707</v>
      </c>
      <c r="J1499" t="s">
        <v>8815</v>
      </c>
      <c r="L1499" t="s">
        <v>142</v>
      </c>
      <c r="M1499" t="s">
        <v>113</v>
      </c>
      <c r="R1499" t="s">
        <v>8816</v>
      </c>
      <c r="W1499" t="s">
        <v>8814</v>
      </c>
      <c r="X1499" t="s">
        <v>8817</v>
      </c>
      <c r="Y1499" t="s">
        <v>116</v>
      </c>
      <c r="Z1499" t="s">
        <v>117</v>
      </c>
      <c r="AA1499" t="str">
        <f>"14263-0001"</f>
        <v>14263-0001</v>
      </c>
      <c r="AB1499" t="s">
        <v>118</v>
      </c>
      <c r="AC1499" t="s">
        <v>119</v>
      </c>
      <c r="AD1499" t="s">
        <v>113</v>
      </c>
      <c r="AE1499" t="s">
        <v>120</v>
      </c>
      <c r="AG1499" t="s">
        <v>121</v>
      </c>
    </row>
    <row r="1500" spans="1:33" x14ac:dyDescent="0.25">
      <c r="A1500" t="str">
        <f>"1376549808"</f>
        <v>1376549808</v>
      </c>
      <c r="B1500" t="str">
        <f>"01572036"</f>
        <v>01572036</v>
      </c>
      <c r="C1500" t="s">
        <v>8818</v>
      </c>
      <c r="D1500" t="s">
        <v>8819</v>
      </c>
      <c r="E1500" t="s">
        <v>8820</v>
      </c>
      <c r="H1500" t="s">
        <v>8821</v>
      </c>
      <c r="L1500" t="s">
        <v>1033</v>
      </c>
      <c r="M1500" t="s">
        <v>113</v>
      </c>
      <c r="R1500" t="s">
        <v>8822</v>
      </c>
      <c r="W1500" t="s">
        <v>8823</v>
      </c>
      <c r="X1500" t="s">
        <v>8824</v>
      </c>
      <c r="Y1500" t="s">
        <v>1628</v>
      </c>
      <c r="Z1500" t="s">
        <v>117</v>
      </c>
      <c r="AA1500" t="str">
        <f>"14411-1431"</f>
        <v>14411-1431</v>
      </c>
      <c r="AB1500" t="s">
        <v>2359</v>
      </c>
      <c r="AC1500" t="s">
        <v>119</v>
      </c>
      <c r="AD1500" t="s">
        <v>113</v>
      </c>
      <c r="AE1500" t="s">
        <v>120</v>
      </c>
      <c r="AG1500" t="s">
        <v>121</v>
      </c>
    </row>
    <row r="1501" spans="1:33" x14ac:dyDescent="0.25">
      <c r="A1501" t="str">
        <f>"1689656852"</f>
        <v>1689656852</v>
      </c>
      <c r="B1501" t="str">
        <f>"00356134"</f>
        <v>00356134</v>
      </c>
      <c r="C1501" t="s">
        <v>2000</v>
      </c>
      <c r="D1501" t="s">
        <v>11546</v>
      </c>
      <c r="E1501" t="s">
        <v>11547</v>
      </c>
      <c r="G1501" t="s">
        <v>11547</v>
      </c>
      <c r="H1501" t="s">
        <v>2003</v>
      </c>
      <c r="L1501" t="s">
        <v>280</v>
      </c>
      <c r="M1501" t="s">
        <v>199</v>
      </c>
      <c r="R1501" t="s">
        <v>11548</v>
      </c>
      <c r="W1501" t="s">
        <v>11547</v>
      </c>
      <c r="X1501" t="s">
        <v>2006</v>
      </c>
      <c r="Y1501" t="s">
        <v>2007</v>
      </c>
      <c r="Z1501" t="s">
        <v>117</v>
      </c>
      <c r="AA1501" t="str">
        <f>"14727-1317"</f>
        <v>14727-1317</v>
      </c>
      <c r="AB1501" t="s">
        <v>979</v>
      </c>
      <c r="AC1501" t="s">
        <v>119</v>
      </c>
      <c r="AD1501" t="s">
        <v>113</v>
      </c>
      <c r="AE1501" t="s">
        <v>120</v>
      </c>
      <c r="AG1501" t="s">
        <v>121</v>
      </c>
    </row>
    <row r="1502" spans="1:33" x14ac:dyDescent="0.25">
      <c r="A1502" t="str">
        <f>"1376626713"</f>
        <v>1376626713</v>
      </c>
      <c r="B1502" t="str">
        <f>"02090646"</f>
        <v>02090646</v>
      </c>
      <c r="C1502" t="s">
        <v>8830</v>
      </c>
      <c r="D1502" t="s">
        <v>8831</v>
      </c>
      <c r="E1502" t="s">
        <v>8832</v>
      </c>
      <c r="G1502" t="s">
        <v>8830</v>
      </c>
      <c r="H1502" t="s">
        <v>213</v>
      </c>
      <c r="J1502" t="s">
        <v>8833</v>
      </c>
      <c r="L1502" t="s">
        <v>142</v>
      </c>
      <c r="M1502" t="s">
        <v>199</v>
      </c>
      <c r="R1502" t="s">
        <v>8834</v>
      </c>
      <c r="W1502" t="s">
        <v>8832</v>
      </c>
      <c r="X1502" t="s">
        <v>5537</v>
      </c>
      <c r="Y1502" t="s">
        <v>116</v>
      </c>
      <c r="Z1502" t="s">
        <v>117</v>
      </c>
      <c r="AA1502" t="str">
        <f>"14222-2006"</f>
        <v>14222-2006</v>
      </c>
      <c r="AB1502" t="s">
        <v>118</v>
      </c>
      <c r="AC1502" t="s">
        <v>119</v>
      </c>
      <c r="AD1502" t="s">
        <v>113</v>
      </c>
      <c r="AE1502" t="s">
        <v>120</v>
      </c>
      <c r="AG1502" t="s">
        <v>121</v>
      </c>
    </row>
    <row r="1503" spans="1:33" x14ac:dyDescent="0.25">
      <c r="A1503" t="str">
        <f>"1376640540"</f>
        <v>1376640540</v>
      </c>
      <c r="B1503" t="str">
        <f>"02344012"</f>
        <v>02344012</v>
      </c>
      <c r="C1503" t="s">
        <v>8835</v>
      </c>
      <c r="D1503" t="s">
        <v>8836</v>
      </c>
      <c r="E1503" t="s">
        <v>8837</v>
      </c>
      <c r="G1503" t="s">
        <v>8835</v>
      </c>
      <c r="H1503" t="s">
        <v>8838</v>
      </c>
      <c r="J1503" t="s">
        <v>8839</v>
      </c>
      <c r="L1503" t="s">
        <v>142</v>
      </c>
      <c r="M1503" t="s">
        <v>113</v>
      </c>
      <c r="R1503" t="s">
        <v>8840</v>
      </c>
      <c r="W1503" t="s">
        <v>8841</v>
      </c>
      <c r="X1503" t="s">
        <v>8842</v>
      </c>
      <c r="Y1503" t="s">
        <v>240</v>
      </c>
      <c r="Z1503" t="s">
        <v>117</v>
      </c>
      <c r="AA1503" t="str">
        <f>"14221-6444"</f>
        <v>14221-6444</v>
      </c>
      <c r="AB1503" t="s">
        <v>1755</v>
      </c>
      <c r="AC1503" t="s">
        <v>119</v>
      </c>
      <c r="AD1503" t="s">
        <v>113</v>
      </c>
      <c r="AE1503" t="s">
        <v>120</v>
      </c>
      <c r="AG1503" t="s">
        <v>121</v>
      </c>
    </row>
    <row r="1504" spans="1:33" x14ac:dyDescent="0.25">
      <c r="A1504" t="str">
        <f>"1376689778"</f>
        <v>1376689778</v>
      </c>
      <c r="C1504" t="s">
        <v>8843</v>
      </c>
      <c r="G1504" t="s">
        <v>8843</v>
      </c>
      <c r="H1504" t="s">
        <v>227</v>
      </c>
      <c r="J1504" t="s">
        <v>8844</v>
      </c>
      <c r="K1504" t="s">
        <v>303</v>
      </c>
      <c r="L1504" t="s">
        <v>112</v>
      </c>
      <c r="M1504" t="s">
        <v>113</v>
      </c>
      <c r="R1504" t="s">
        <v>8845</v>
      </c>
      <c r="S1504" t="s">
        <v>8846</v>
      </c>
      <c r="T1504" t="s">
        <v>8847</v>
      </c>
      <c r="U1504" t="s">
        <v>8848</v>
      </c>
      <c r="V1504" t="str">
        <f>"852983220"</f>
        <v>852983220</v>
      </c>
      <c r="AC1504" t="s">
        <v>119</v>
      </c>
      <c r="AD1504" t="s">
        <v>113</v>
      </c>
      <c r="AE1504" t="s">
        <v>306</v>
      </c>
      <c r="AG1504" t="s">
        <v>121</v>
      </c>
    </row>
    <row r="1505" spans="1:33" x14ac:dyDescent="0.25">
      <c r="A1505" t="str">
        <f>"1376690925"</f>
        <v>1376690925</v>
      </c>
      <c r="C1505" t="s">
        <v>8849</v>
      </c>
      <c r="G1505" t="s">
        <v>8850</v>
      </c>
      <c r="H1505" t="s">
        <v>437</v>
      </c>
      <c r="J1505" t="s">
        <v>438</v>
      </c>
      <c r="K1505" t="s">
        <v>303</v>
      </c>
      <c r="L1505" t="s">
        <v>229</v>
      </c>
      <c r="M1505" t="s">
        <v>113</v>
      </c>
      <c r="R1505" t="s">
        <v>8851</v>
      </c>
      <c r="S1505" t="s">
        <v>1117</v>
      </c>
      <c r="T1505" t="s">
        <v>318</v>
      </c>
      <c r="U1505" t="s">
        <v>117</v>
      </c>
      <c r="V1505" t="str">
        <f>"142254965"</f>
        <v>142254965</v>
      </c>
      <c r="AC1505" t="s">
        <v>119</v>
      </c>
      <c r="AD1505" t="s">
        <v>113</v>
      </c>
      <c r="AE1505" t="s">
        <v>306</v>
      </c>
      <c r="AG1505" t="s">
        <v>121</v>
      </c>
    </row>
    <row r="1506" spans="1:33" x14ac:dyDescent="0.25">
      <c r="A1506" t="str">
        <f>"1366489221"</f>
        <v>1366489221</v>
      </c>
      <c r="B1506" t="str">
        <f>"00475452"</f>
        <v>00475452</v>
      </c>
      <c r="C1506" t="s">
        <v>869</v>
      </c>
      <c r="D1506" t="s">
        <v>12192</v>
      </c>
      <c r="E1506" t="s">
        <v>12193</v>
      </c>
      <c r="G1506" t="s">
        <v>12180</v>
      </c>
      <c r="H1506" t="s">
        <v>12194</v>
      </c>
      <c r="J1506" t="s">
        <v>861</v>
      </c>
      <c r="L1506" t="s">
        <v>280</v>
      </c>
      <c r="M1506" t="s">
        <v>199</v>
      </c>
      <c r="R1506" t="s">
        <v>869</v>
      </c>
      <c r="W1506" t="s">
        <v>12195</v>
      </c>
      <c r="X1506" t="s">
        <v>1845</v>
      </c>
      <c r="Y1506" t="s">
        <v>816</v>
      </c>
      <c r="Z1506" t="s">
        <v>117</v>
      </c>
      <c r="AA1506" t="str">
        <f>"14120-6150"</f>
        <v>14120-6150</v>
      </c>
      <c r="AB1506" t="s">
        <v>979</v>
      </c>
      <c r="AC1506" t="s">
        <v>119</v>
      </c>
      <c r="AD1506" t="s">
        <v>113</v>
      </c>
      <c r="AE1506" t="s">
        <v>120</v>
      </c>
      <c r="AG1506" t="s">
        <v>121</v>
      </c>
    </row>
    <row r="1507" spans="1:33" x14ac:dyDescent="0.25">
      <c r="A1507" t="str">
        <f>"1013349497"</f>
        <v>1013349497</v>
      </c>
      <c r="C1507" t="s">
        <v>8857</v>
      </c>
      <c r="G1507" t="s">
        <v>8858</v>
      </c>
      <c r="H1507" t="s">
        <v>8859</v>
      </c>
      <c r="J1507" t="s">
        <v>8860</v>
      </c>
      <c r="K1507" t="s">
        <v>303</v>
      </c>
      <c r="L1507" t="s">
        <v>229</v>
      </c>
      <c r="M1507" t="s">
        <v>113</v>
      </c>
      <c r="R1507" t="s">
        <v>8861</v>
      </c>
      <c r="S1507" t="s">
        <v>8862</v>
      </c>
      <c r="T1507" t="s">
        <v>8863</v>
      </c>
      <c r="U1507" t="s">
        <v>8864</v>
      </c>
      <c r="V1507" t="str">
        <f>"074583057"</f>
        <v>074583057</v>
      </c>
      <c r="AC1507" t="s">
        <v>119</v>
      </c>
      <c r="AD1507" t="s">
        <v>113</v>
      </c>
      <c r="AE1507" t="s">
        <v>306</v>
      </c>
      <c r="AG1507" t="s">
        <v>121</v>
      </c>
    </row>
    <row r="1508" spans="1:33" x14ac:dyDescent="0.25">
      <c r="A1508" t="str">
        <f>"1013349653"</f>
        <v>1013349653</v>
      </c>
      <c r="B1508" t="str">
        <f>"03637134"</f>
        <v>03637134</v>
      </c>
      <c r="C1508" t="s">
        <v>8865</v>
      </c>
      <c r="D1508" t="s">
        <v>8866</v>
      </c>
      <c r="E1508" t="s">
        <v>8867</v>
      </c>
      <c r="G1508" t="s">
        <v>8868</v>
      </c>
      <c r="H1508" t="s">
        <v>8869</v>
      </c>
      <c r="J1508" t="s">
        <v>8870</v>
      </c>
      <c r="L1508" t="s">
        <v>112</v>
      </c>
      <c r="M1508" t="s">
        <v>113</v>
      </c>
      <c r="R1508" t="s">
        <v>8871</v>
      </c>
      <c r="W1508" t="s">
        <v>8867</v>
      </c>
      <c r="X1508" t="s">
        <v>838</v>
      </c>
      <c r="Y1508" t="s">
        <v>240</v>
      </c>
      <c r="Z1508" t="s">
        <v>117</v>
      </c>
      <c r="AA1508" t="str">
        <f>"14221-3647"</f>
        <v>14221-3647</v>
      </c>
      <c r="AB1508" t="s">
        <v>118</v>
      </c>
      <c r="AC1508" t="s">
        <v>119</v>
      </c>
      <c r="AD1508" t="s">
        <v>113</v>
      </c>
      <c r="AE1508" t="s">
        <v>120</v>
      </c>
      <c r="AG1508" t="s">
        <v>121</v>
      </c>
    </row>
    <row r="1509" spans="1:33" x14ac:dyDescent="0.25">
      <c r="A1509" t="str">
        <f>"1013901412"</f>
        <v>1013901412</v>
      </c>
      <c r="B1509" t="str">
        <f>"01139679"</f>
        <v>01139679</v>
      </c>
      <c r="C1509" t="s">
        <v>8872</v>
      </c>
      <c r="D1509" t="s">
        <v>8873</v>
      </c>
      <c r="E1509" t="s">
        <v>8874</v>
      </c>
      <c r="G1509" t="s">
        <v>8872</v>
      </c>
      <c r="H1509" t="s">
        <v>8875</v>
      </c>
      <c r="J1509" t="s">
        <v>8876</v>
      </c>
      <c r="L1509" t="s">
        <v>142</v>
      </c>
      <c r="M1509" t="s">
        <v>113</v>
      </c>
      <c r="R1509" t="s">
        <v>8877</v>
      </c>
      <c r="W1509" t="s">
        <v>8874</v>
      </c>
      <c r="X1509" t="s">
        <v>8878</v>
      </c>
      <c r="Y1509" t="s">
        <v>240</v>
      </c>
      <c r="Z1509" t="s">
        <v>117</v>
      </c>
      <c r="AA1509" t="str">
        <f>"14221-5367"</f>
        <v>14221-5367</v>
      </c>
      <c r="AB1509" t="s">
        <v>118</v>
      </c>
      <c r="AC1509" t="s">
        <v>119</v>
      </c>
      <c r="AD1509" t="s">
        <v>113</v>
      </c>
      <c r="AE1509" t="s">
        <v>120</v>
      </c>
      <c r="AG1509" t="s">
        <v>121</v>
      </c>
    </row>
    <row r="1510" spans="1:33" x14ac:dyDescent="0.25">
      <c r="A1510" t="str">
        <f>"1013913425"</f>
        <v>1013913425</v>
      </c>
      <c r="B1510" t="str">
        <f>"02148516"</f>
        <v>02148516</v>
      </c>
      <c r="C1510" t="s">
        <v>8879</v>
      </c>
      <c r="D1510" t="s">
        <v>8880</v>
      </c>
      <c r="E1510" t="s">
        <v>8881</v>
      </c>
      <c r="G1510" t="s">
        <v>8879</v>
      </c>
      <c r="H1510" t="s">
        <v>8882</v>
      </c>
      <c r="J1510" t="s">
        <v>8883</v>
      </c>
      <c r="L1510" t="s">
        <v>142</v>
      </c>
      <c r="M1510" t="s">
        <v>113</v>
      </c>
      <c r="R1510" t="s">
        <v>8884</v>
      </c>
      <c r="W1510" t="s">
        <v>8881</v>
      </c>
      <c r="X1510" t="s">
        <v>216</v>
      </c>
      <c r="Y1510" t="s">
        <v>116</v>
      </c>
      <c r="Z1510" t="s">
        <v>117</v>
      </c>
      <c r="AA1510" t="str">
        <f>"14222-2006"</f>
        <v>14222-2006</v>
      </c>
      <c r="AB1510" t="s">
        <v>118</v>
      </c>
      <c r="AC1510" t="s">
        <v>119</v>
      </c>
      <c r="AD1510" t="s">
        <v>113</v>
      </c>
      <c r="AE1510" t="s">
        <v>120</v>
      </c>
      <c r="AG1510" t="s">
        <v>121</v>
      </c>
    </row>
    <row r="1511" spans="1:33" x14ac:dyDescent="0.25">
      <c r="A1511" t="str">
        <f>"1013922723"</f>
        <v>1013922723</v>
      </c>
      <c r="B1511" t="str">
        <f>"02342203"</f>
        <v>02342203</v>
      </c>
      <c r="C1511" t="s">
        <v>8885</v>
      </c>
      <c r="D1511" t="s">
        <v>8886</v>
      </c>
      <c r="E1511" t="s">
        <v>8887</v>
      </c>
      <c r="G1511" t="s">
        <v>8888</v>
      </c>
      <c r="H1511" t="s">
        <v>205</v>
      </c>
      <c r="J1511" t="s">
        <v>8889</v>
      </c>
      <c r="L1511" t="s">
        <v>142</v>
      </c>
      <c r="M1511" t="s">
        <v>113</v>
      </c>
      <c r="R1511" t="s">
        <v>8890</v>
      </c>
      <c r="W1511" t="s">
        <v>8890</v>
      </c>
      <c r="X1511" t="s">
        <v>8891</v>
      </c>
      <c r="Y1511" t="s">
        <v>240</v>
      </c>
      <c r="Z1511" t="s">
        <v>117</v>
      </c>
      <c r="AA1511" t="str">
        <f>"14221-5800"</f>
        <v>14221-5800</v>
      </c>
      <c r="AB1511" t="s">
        <v>118</v>
      </c>
      <c r="AC1511" t="s">
        <v>119</v>
      </c>
      <c r="AD1511" t="s">
        <v>113</v>
      </c>
      <c r="AE1511" t="s">
        <v>120</v>
      </c>
      <c r="AG1511" t="s">
        <v>121</v>
      </c>
    </row>
    <row r="1512" spans="1:33" x14ac:dyDescent="0.25">
      <c r="A1512" t="str">
        <f>"1013935386"</f>
        <v>1013935386</v>
      </c>
      <c r="B1512" t="str">
        <f>"01793493"</f>
        <v>01793493</v>
      </c>
      <c r="C1512" t="s">
        <v>8892</v>
      </c>
      <c r="D1512" t="s">
        <v>8893</v>
      </c>
      <c r="E1512" t="s">
        <v>8894</v>
      </c>
      <c r="G1512" t="s">
        <v>8895</v>
      </c>
      <c r="H1512" t="s">
        <v>8896</v>
      </c>
      <c r="J1512" t="s">
        <v>8897</v>
      </c>
      <c r="L1512" t="s">
        <v>142</v>
      </c>
      <c r="M1512" t="s">
        <v>113</v>
      </c>
      <c r="R1512" t="s">
        <v>8894</v>
      </c>
      <c r="W1512" t="s">
        <v>8894</v>
      </c>
      <c r="X1512" t="s">
        <v>176</v>
      </c>
      <c r="Y1512" t="s">
        <v>116</v>
      </c>
      <c r="Z1512" t="s">
        <v>117</v>
      </c>
      <c r="AA1512" t="str">
        <f>"14203-1126"</f>
        <v>14203-1126</v>
      </c>
      <c r="AB1512" t="s">
        <v>118</v>
      </c>
      <c r="AC1512" t="s">
        <v>119</v>
      </c>
      <c r="AD1512" t="s">
        <v>113</v>
      </c>
      <c r="AE1512" t="s">
        <v>120</v>
      </c>
      <c r="AG1512" t="s">
        <v>121</v>
      </c>
    </row>
    <row r="1513" spans="1:33" x14ac:dyDescent="0.25">
      <c r="A1513" t="str">
        <f>"1013966647"</f>
        <v>1013966647</v>
      </c>
      <c r="B1513" t="str">
        <f>"01899054"</f>
        <v>01899054</v>
      </c>
      <c r="C1513" t="s">
        <v>8898</v>
      </c>
      <c r="D1513" t="s">
        <v>8899</v>
      </c>
      <c r="E1513" t="s">
        <v>8900</v>
      </c>
      <c r="G1513" t="s">
        <v>330</v>
      </c>
      <c r="H1513" t="s">
        <v>8901</v>
      </c>
      <c r="J1513" t="s">
        <v>332</v>
      </c>
      <c r="L1513" t="s">
        <v>112</v>
      </c>
      <c r="M1513" t="s">
        <v>113</v>
      </c>
      <c r="R1513" t="s">
        <v>8902</v>
      </c>
      <c r="W1513" t="s">
        <v>8900</v>
      </c>
      <c r="X1513" t="s">
        <v>2713</v>
      </c>
      <c r="Y1513" t="s">
        <v>318</v>
      </c>
      <c r="Z1513" t="s">
        <v>117</v>
      </c>
      <c r="AA1513" t="str">
        <f>"14227-1461"</f>
        <v>14227-1461</v>
      </c>
      <c r="AB1513" t="s">
        <v>118</v>
      </c>
      <c r="AC1513" t="s">
        <v>119</v>
      </c>
      <c r="AD1513" t="s">
        <v>113</v>
      </c>
      <c r="AE1513" t="s">
        <v>120</v>
      </c>
      <c r="AG1513" t="s">
        <v>121</v>
      </c>
    </row>
    <row r="1514" spans="1:33" x14ac:dyDescent="0.25">
      <c r="A1514" t="str">
        <f>"1013966696"</f>
        <v>1013966696</v>
      </c>
      <c r="B1514" t="str">
        <f>"00611436"</f>
        <v>00611436</v>
      </c>
      <c r="C1514" t="s">
        <v>8903</v>
      </c>
      <c r="D1514" t="s">
        <v>8904</v>
      </c>
      <c r="E1514" t="s">
        <v>8905</v>
      </c>
      <c r="G1514" t="s">
        <v>8903</v>
      </c>
      <c r="H1514" t="s">
        <v>205</v>
      </c>
      <c r="J1514" t="s">
        <v>8906</v>
      </c>
      <c r="L1514" t="s">
        <v>142</v>
      </c>
      <c r="M1514" t="s">
        <v>113</v>
      </c>
      <c r="R1514" t="s">
        <v>8907</v>
      </c>
      <c r="W1514" t="s">
        <v>8908</v>
      </c>
      <c r="X1514" t="s">
        <v>8909</v>
      </c>
      <c r="Y1514" t="s">
        <v>240</v>
      </c>
      <c r="Z1514" t="s">
        <v>117</v>
      </c>
      <c r="AA1514" t="str">
        <f>"14221-8024"</f>
        <v>14221-8024</v>
      </c>
      <c r="AB1514" t="s">
        <v>118</v>
      </c>
      <c r="AC1514" t="s">
        <v>119</v>
      </c>
      <c r="AD1514" t="s">
        <v>113</v>
      </c>
      <c r="AE1514" t="s">
        <v>120</v>
      </c>
      <c r="AG1514" t="s">
        <v>121</v>
      </c>
    </row>
    <row r="1515" spans="1:33" x14ac:dyDescent="0.25">
      <c r="A1515" t="str">
        <f>"1013974070"</f>
        <v>1013974070</v>
      </c>
      <c r="B1515" t="str">
        <f>"02021869"</f>
        <v>02021869</v>
      </c>
      <c r="C1515" t="s">
        <v>8910</v>
      </c>
      <c r="D1515" t="s">
        <v>8911</v>
      </c>
      <c r="E1515" t="s">
        <v>8912</v>
      </c>
      <c r="G1515" t="s">
        <v>8913</v>
      </c>
      <c r="H1515" t="s">
        <v>7960</v>
      </c>
      <c r="J1515" t="s">
        <v>8914</v>
      </c>
      <c r="L1515" t="s">
        <v>142</v>
      </c>
      <c r="M1515" t="s">
        <v>113</v>
      </c>
      <c r="R1515" t="s">
        <v>8915</v>
      </c>
      <c r="W1515" t="s">
        <v>8912</v>
      </c>
      <c r="X1515" t="s">
        <v>8916</v>
      </c>
      <c r="Y1515" t="s">
        <v>116</v>
      </c>
      <c r="Z1515" t="s">
        <v>117</v>
      </c>
      <c r="AA1515" t="str">
        <f>"14222-2006"</f>
        <v>14222-2006</v>
      </c>
      <c r="AB1515" t="s">
        <v>118</v>
      </c>
      <c r="AC1515" t="s">
        <v>119</v>
      </c>
      <c r="AD1515" t="s">
        <v>113</v>
      </c>
      <c r="AE1515" t="s">
        <v>120</v>
      </c>
      <c r="AG1515" t="s">
        <v>121</v>
      </c>
    </row>
    <row r="1516" spans="1:33" x14ac:dyDescent="0.25">
      <c r="A1516" t="str">
        <f>"1023152691"</f>
        <v>1023152691</v>
      </c>
      <c r="C1516" t="s">
        <v>8917</v>
      </c>
      <c r="G1516" t="s">
        <v>8918</v>
      </c>
      <c r="H1516" t="s">
        <v>437</v>
      </c>
      <c r="J1516" t="s">
        <v>438</v>
      </c>
      <c r="K1516" t="s">
        <v>303</v>
      </c>
      <c r="L1516" t="s">
        <v>229</v>
      </c>
      <c r="M1516" t="s">
        <v>113</v>
      </c>
      <c r="R1516" t="s">
        <v>8919</v>
      </c>
      <c r="S1516" t="s">
        <v>6577</v>
      </c>
      <c r="T1516" t="s">
        <v>116</v>
      </c>
      <c r="U1516" t="s">
        <v>117</v>
      </c>
      <c r="V1516" t="str">
        <f>"142121845"</f>
        <v>142121845</v>
      </c>
      <c r="AC1516" t="s">
        <v>119</v>
      </c>
      <c r="AD1516" t="s">
        <v>113</v>
      </c>
      <c r="AE1516" t="s">
        <v>306</v>
      </c>
      <c r="AG1516" t="s">
        <v>121</v>
      </c>
    </row>
    <row r="1517" spans="1:33" x14ac:dyDescent="0.25">
      <c r="A1517" t="str">
        <f>"1023163813"</f>
        <v>1023163813</v>
      </c>
      <c r="B1517" t="str">
        <f>"04463549"</f>
        <v>04463549</v>
      </c>
      <c r="C1517" t="s">
        <v>8920</v>
      </c>
      <c r="D1517" t="s">
        <v>8921</v>
      </c>
      <c r="E1517" t="s">
        <v>8922</v>
      </c>
      <c r="G1517" t="s">
        <v>8923</v>
      </c>
      <c r="H1517" t="s">
        <v>8924</v>
      </c>
      <c r="J1517" t="s">
        <v>8925</v>
      </c>
      <c r="L1517" t="s">
        <v>229</v>
      </c>
      <c r="M1517" t="s">
        <v>113</v>
      </c>
      <c r="R1517" t="s">
        <v>8926</v>
      </c>
      <c r="W1517" t="s">
        <v>8922</v>
      </c>
      <c r="AB1517" t="s">
        <v>118</v>
      </c>
      <c r="AC1517" t="s">
        <v>119</v>
      </c>
      <c r="AD1517" t="s">
        <v>113</v>
      </c>
      <c r="AE1517" t="s">
        <v>120</v>
      </c>
      <c r="AG1517" t="s">
        <v>121</v>
      </c>
    </row>
    <row r="1518" spans="1:33" x14ac:dyDescent="0.25">
      <c r="A1518" t="str">
        <f>"1023164738"</f>
        <v>1023164738</v>
      </c>
      <c r="B1518" t="str">
        <f>"01636355"</f>
        <v>01636355</v>
      </c>
      <c r="C1518" t="s">
        <v>8927</v>
      </c>
      <c r="D1518" t="s">
        <v>8928</v>
      </c>
      <c r="E1518" t="s">
        <v>8929</v>
      </c>
      <c r="G1518" t="s">
        <v>8930</v>
      </c>
      <c r="H1518" t="s">
        <v>3814</v>
      </c>
      <c r="J1518" t="s">
        <v>8931</v>
      </c>
      <c r="L1518" t="s">
        <v>142</v>
      </c>
      <c r="M1518" t="s">
        <v>113</v>
      </c>
      <c r="R1518" t="s">
        <v>8929</v>
      </c>
      <c r="W1518" t="s">
        <v>8929</v>
      </c>
      <c r="X1518" t="s">
        <v>8932</v>
      </c>
      <c r="Y1518" t="s">
        <v>240</v>
      </c>
      <c r="Z1518" t="s">
        <v>117</v>
      </c>
      <c r="AA1518" t="str">
        <f>"14221"</f>
        <v>14221</v>
      </c>
      <c r="AB1518" t="s">
        <v>118</v>
      </c>
      <c r="AC1518" t="s">
        <v>119</v>
      </c>
      <c r="AD1518" t="s">
        <v>113</v>
      </c>
      <c r="AE1518" t="s">
        <v>120</v>
      </c>
      <c r="AG1518" t="s">
        <v>121</v>
      </c>
    </row>
    <row r="1519" spans="1:33" x14ac:dyDescent="0.25">
      <c r="A1519" t="str">
        <f>"1023175361"</f>
        <v>1023175361</v>
      </c>
      <c r="B1519" t="str">
        <f>"01210599"</f>
        <v>01210599</v>
      </c>
      <c r="C1519" t="s">
        <v>8933</v>
      </c>
      <c r="D1519" t="s">
        <v>8934</v>
      </c>
      <c r="E1519" t="s">
        <v>8935</v>
      </c>
      <c r="G1519" t="s">
        <v>8936</v>
      </c>
      <c r="H1519" t="s">
        <v>8937</v>
      </c>
      <c r="J1519" t="s">
        <v>8938</v>
      </c>
      <c r="L1519" t="s">
        <v>142</v>
      </c>
      <c r="M1519" t="s">
        <v>113</v>
      </c>
      <c r="R1519" t="s">
        <v>8939</v>
      </c>
      <c r="W1519" t="s">
        <v>8935</v>
      </c>
      <c r="X1519" t="s">
        <v>8940</v>
      </c>
      <c r="Y1519" t="s">
        <v>240</v>
      </c>
      <c r="Z1519" t="s">
        <v>117</v>
      </c>
      <c r="AA1519" t="str">
        <f>"14221-2644"</f>
        <v>14221-2644</v>
      </c>
      <c r="AB1519" t="s">
        <v>118</v>
      </c>
      <c r="AC1519" t="s">
        <v>119</v>
      </c>
      <c r="AD1519" t="s">
        <v>113</v>
      </c>
      <c r="AE1519" t="s">
        <v>120</v>
      </c>
      <c r="AG1519" t="s">
        <v>121</v>
      </c>
    </row>
    <row r="1520" spans="1:33" x14ac:dyDescent="0.25">
      <c r="A1520" t="str">
        <f>"1023191962"</f>
        <v>1023191962</v>
      </c>
      <c r="B1520" t="str">
        <f>"00638702"</f>
        <v>00638702</v>
      </c>
      <c r="C1520" t="s">
        <v>8941</v>
      </c>
      <c r="D1520" t="s">
        <v>8942</v>
      </c>
      <c r="E1520" t="s">
        <v>8943</v>
      </c>
      <c r="H1520" t="s">
        <v>8944</v>
      </c>
      <c r="L1520" t="s">
        <v>112</v>
      </c>
      <c r="M1520" t="s">
        <v>113</v>
      </c>
      <c r="R1520" t="s">
        <v>8945</v>
      </c>
      <c r="W1520" t="s">
        <v>8943</v>
      </c>
      <c r="X1520" t="s">
        <v>8946</v>
      </c>
      <c r="Y1520" t="s">
        <v>153</v>
      </c>
      <c r="Z1520" t="s">
        <v>117</v>
      </c>
      <c r="AA1520" t="str">
        <f>"14301-1072"</f>
        <v>14301-1072</v>
      </c>
      <c r="AB1520" t="s">
        <v>634</v>
      </c>
      <c r="AC1520" t="s">
        <v>119</v>
      </c>
      <c r="AD1520" t="s">
        <v>113</v>
      </c>
      <c r="AE1520" t="s">
        <v>120</v>
      </c>
      <c r="AG1520" t="s">
        <v>121</v>
      </c>
    </row>
    <row r="1521" spans="1:33" x14ac:dyDescent="0.25">
      <c r="A1521" t="str">
        <f>"1023205358"</f>
        <v>1023205358</v>
      </c>
      <c r="C1521" t="s">
        <v>8947</v>
      </c>
      <c r="G1521" t="s">
        <v>8947</v>
      </c>
      <c r="H1521" t="s">
        <v>8948</v>
      </c>
      <c r="J1521" t="s">
        <v>8949</v>
      </c>
      <c r="K1521" t="s">
        <v>303</v>
      </c>
      <c r="L1521" t="s">
        <v>112</v>
      </c>
      <c r="M1521" t="s">
        <v>113</v>
      </c>
      <c r="R1521" t="s">
        <v>8950</v>
      </c>
      <c r="S1521" t="s">
        <v>8951</v>
      </c>
      <c r="T1521" t="s">
        <v>8952</v>
      </c>
      <c r="U1521" t="s">
        <v>8953</v>
      </c>
      <c r="V1521" t="str">
        <f>"068514647"</f>
        <v>068514647</v>
      </c>
      <c r="AC1521" t="s">
        <v>119</v>
      </c>
      <c r="AD1521" t="s">
        <v>113</v>
      </c>
      <c r="AE1521" t="s">
        <v>306</v>
      </c>
      <c r="AG1521" t="s">
        <v>121</v>
      </c>
    </row>
    <row r="1522" spans="1:33" x14ac:dyDescent="0.25">
      <c r="A1522" t="str">
        <f>"1023229192"</f>
        <v>1023229192</v>
      </c>
      <c r="B1522" t="str">
        <f>"01129955"</f>
        <v>01129955</v>
      </c>
      <c r="C1522" t="s">
        <v>1542</v>
      </c>
      <c r="D1522" t="s">
        <v>8954</v>
      </c>
      <c r="E1522" t="s">
        <v>3693</v>
      </c>
      <c r="H1522" t="s">
        <v>1456</v>
      </c>
      <c r="L1522" t="s">
        <v>69</v>
      </c>
      <c r="M1522" t="s">
        <v>113</v>
      </c>
      <c r="R1522" t="s">
        <v>1453</v>
      </c>
      <c r="W1522" t="s">
        <v>3693</v>
      </c>
      <c r="X1522" t="s">
        <v>8955</v>
      </c>
      <c r="Y1522" t="s">
        <v>1545</v>
      </c>
      <c r="Z1522" t="s">
        <v>117</v>
      </c>
      <c r="AA1522" t="str">
        <f>"14218-2708"</f>
        <v>14218-2708</v>
      </c>
      <c r="AB1522" t="s">
        <v>282</v>
      </c>
      <c r="AC1522" t="s">
        <v>119</v>
      </c>
      <c r="AD1522" t="s">
        <v>113</v>
      </c>
      <c r="AE1522" t="s">
        <v>120</v>
      </c>
      <c r="AG1522" t="s">
        <v>121</v>
      </c>
    </row>
    <row r="1523" spans="1:33" x14ac:dyDescent="0.25">
      <c r="A1523" t="str">
        <f>"1457473514"</f>
        <v>1457473514</v>
      </c>
      <c r="B1523" t="str">
        <f>"02961008"</f>
        <v>02961008</v>
      </c>
      <c r="C1523" t="s">
        <v>9755</v>
      </c>
      <c r="D1523" t="s">
        <v>9756</v>
      </c>
      <c r="E1523" t="s">
        <v>9757</v>
      </c>
      <c r="G1523" t="s">
        <v>9758</v>
      </c>
      <c r="H1523" t="s">
        <v>9759</v>
      </c>
      <c r="L1523" t="s">
        <v>5113</v>
      </c>
      <c r="M1523" t="s">
        <v>199</v>
      </c>
      <c r="R1523" t="s">
        <v>9755</v>
      </c>
      <c r="W1523" t="s">
        <v>9758</v>
      </c>
      <c r="X1523" t="s">
        <v>1459</v>
      </c>
      <c r="Y1523" t="s">
        <v>305</v>
      </c>
      <c r="Z1523" t="s">
        <v>117</v>
      </c>
      <c r="AA1523" t="str">
        <f>"14760-1100"</f>
        <v>14760-1100</v>
      </c>
      <c r="AB1523" t="s">
        <v>291</v>
      </c>
      <c r="AC1523" t="s">
        <v>119</v>
      </c>
      <c r="AD1523" t="s">
        <v>113</v>
      </c>
      <c r="AE1523" t="s">
        <v>120</v>
      </c>
      <c r="AG1523" t="s">
        <v>121</v>
      </c>
    </row>
    <row r="1524" spans="1:33" x14ac:dyDescent="0.25">
      <c r="A1524" t="str">
        <f>"1023232444"</f>
        <v>1023232444</v>
      </c>
      <c r="B1524" t="str">
        <f>"00449101"</f>
        <v>00449101</v>
      </c>
      <c r="C1524" t="s">
        <v>8959</v>
      </c>
      <c r="D1524" t="s">
        <v>8960</v>
      </c>
      <c r="E1524" t="s">
        <v>8961</v>
      </c>
      <c r="G1524" t="s">
        <v>8962</v>
      </c>
      <c r="H1524" t="s">
        <v>1746</v>
      </c>
      <c r="L1524" t="s">
        <v>112</v>
      </c>
      <c r="M1524" t="s">
        <v>113</v>
      </c>
      <c r="R1524" t="s">
        <v>8962</v>
      </c>
      <c r="W1524" t="s">
        <v>8961</v>
      </c>
      <c r="X1524" t="s">
        <v>8963</v>
      </c>
      <c r="Y1524" t="s">
        <v>978</v>
      </c>
      <c r="Z1524" t="s">
        <v>117</v>
      </c>
      <c r="AA1524" t="str">
        <f>"14081-9706"</f>
        <v>14081-9706</v>
      </c>
      <c r="AB1524" t="s">
        <v>118</v>
      </c>
      <c r="AC1524" t="s">
        <v>119</v>
      </c>
      <c r="AD1524" t="s">
        <v>113</v>
      </c>
      <c r="AE1524" t="s">
        <v>120</v>
      </c>
      <c r="AG1524" t="s">
        <v>121</v>
      </c>
    </row>
    <row r="1525" spans="1:33" x14ac:dyDescent="0.25">
      <c r="A1525" t="str">
        <f>"1316922057"</f>
        <v>1316922057</v>
      </c>
      <c r="B1525" t="str">
        <f>"02686964"</f>
        <v>02686964</v>
      </c>
      <c r="C1525" t="s">
        <v>8964</v>
      </c>
      <c r="D1525" t="s">
        <v>8965</v>
      </c>
      <c r="E1525" t="s">
        <v>8966</v>
      </c>
      <c r="G1525" t="s">
        <v>8964</v>
      </c>
      <c r="H1525" t="s">
        <v>227</v>
      </c>
      <c r="J1525" t="s">
        <v>8967</v>
      </c>
      <c r="L1525" t="s">
        <v>142</v>
      </c>
      <c r="M1525" t="s">
        <v>113</v>
      </c>
      <c r="R1525" t="s">
        <v>8968</v>
      </c>
      <c r="W1525" t="s">
        <v>8966</v>
      </c>
      <c r="X1525" t="s">
        <v>1318</v>
      </c>
      <c r="Y1525" t="s">
        <v>1319</v>
      </c>
      <c r="Z1525" t="s">
        <v>117</v>
      </c>
      <c r="AA1525" t="str">
        <f>"11373-1329"</f>
        <v>11373-1329</v>
      </c>
      <c r="AB1525" t="s">
        <v>118</v>
      </c>
      <c r="AC1525" t="s">
        <v>119</v>
      </c>
      <c r="AD1525" t="s">
        <v>113</v>
      </c>
      <c r="AE1525" t="s">
        <v>120</v>
      </c>
      <c r="AG1525" t="s">
        <v>121</v>
      </c>
    </row>
    <row r="1526" spans="1:33" x14ac:dyDescent="0.25">
      <c r="A1526" t="str">
        <f>"1316923253"</f>
        <v>1316923253</v>
      </c>
      <c r="B1526" t="str">
        <f>"02697414"</f>
        <v>02697414</v>
      </c>
      <c r="C1526" t="s">
        <v>8969</v>
      </c>
      <c r="D1526" t="s">
        <v>8970</v>
      </c>
      <c r="E1526" t="s">
        <v>8971</v>
      </c>
      <c r="G1526" t="s">
        <v>8969</v>
      </c>
      <c r="H1526" t="s">
        <v>1006</v>
      </c>
      <c r="J1526" t="s">
        <v>8972</v>
      </c>
      <c r="L1526" t="s">
        <v>142</v>
      </c>
      <c r="M1526" t="s">
        <v>113</v>
      </c>
      <c r="R1526" t="s">
        <v>8973</v>
      </c>
      <c r="W1526" t="s">
        <v>8971</v>
      </c>
      <c r="X1526" t="s">
        <v>1297</v>
      </c>
      <c r="Y1526" t="s">
        <v>240</v>
      </c>
      <c r="Z1526" t="s">
        <v>117</v>
      </c>
      <c r="AA1526" t="str">
        <f>"14221-2917"</f>
        <v>14221-2917</v>
      </c>
      <c r="AB1526" t="s">
        <v>118</v>
      </c>
      <c r="AC1526" t="s">
        <v>119</v>
      </c>
      <c r="AD1526" t="s">
        <v>113</v>
      </c>
      <c r="AE1526" t="s">
        <v>120</v>
      </c>
      <c r="AG1526" t="s">
        <v>121</v>
      </c>
    </row>
    <row r="1527" spans="1:33" x14ac:dyDescent="0.25">
      <c r="A1527" t="str">
        <f>"1689880494"</f>
        <v>1689880494</v>
      </c>
      <c r="B1527" t="str">
        <f>"02999815"</f>
        <v>02999815</v>
      </c>
      <c r="C1527" t="s">
        <v>3490</v>
      </c>
      <c r="D1527" t="s">
        <v>3491</v>
      </c>
      <c r="E1527" t="s">
        <v>3492</v>
      </c>
      <c r="G1527" t="s">
        <v>3493</v>
      </c>
      <c r="H1527" t="s">
        <v>3494</v>
      </c>
      <c r="J1527" t="s">
        <v>3495</v>
      </c>
      <c r="L1527" t="s">
        <v>3496</v>
      </c>
      <c r="M1527" t="s">
        <v>199</v>
      </c>
      <c r="R1527" t="s">
        <v>3490</v>
      </c>
      <c r="W1527" t="s">
        <v>3492</v>
      </c>
      <c r="X1527" t="s">
        <v>3497</v>
      </c>
      <c r="Y1527" t="s">
        <v>116</v>
      </c>
      <c r="Z1527" t="s">
        <v>117</v>
      </c>
      <c r="AA1527" t="str">
        <f>"14215-3021"</f>
        <v>14215-3021</v>
      </c>
      <c r="AB1527" t="s">
        <v>979</v>
      </c>
      <c r="AC1527" t="s">
        <v>119</v>
      </c>
      <c r="AD1527" t="s">
        <v>199</v>
      </c>
      <c r="AE1527" t="s">
        <v>120</v>
      </c>
      <c r="AG1527" t="s">
        <v>121</v>
      </c>
    </row>
    <row r="1528" spans="1:33" x14ac:dyDescent="0.25">
      <c r="A1528" t="str">
        <f>"1316928468"</f>
        <v>1316928468</v>
      </c>
      <c r="B1528" t="str">
        <f>"01958272"</f>
        <v>01958272</v>
      </c>
      <c r="C1528" t="s">
        <v>8980</v>
      </c>
      <c r="D1528" t="s">
        <v>8981</v>
      </c>
      <c r="E1528" t="s">
        <v>8982</v>
      </c>
      <c r="G1528" t="s">
        <v>8980</v>
      </c>
      <c r="H1528" t="s">
        <v>707</v>
      </c>
      <c r="J1528" t="s">
        <v>8983</v>
      </c>
      <c r="L1528" t="s">
        <v>142</v>
      </c>
      <c r="M1528" t="s">
        <v>113</v>
      </c>
      <c r="R1528" t="s">
        <v>8982</v>
      </c>
      <c r="W1528" t="s">
        <v>8982</v>
      </c>
      <c r="X1528" t="s">
        <v>8984</v>
      </c>
      <c r="Y1528" t="s">
        <v>116</v>
      </c>
      <c r="Z1528" t="s">
        <v>117</v>
      </c>
      <c r="AA1528" t="str">
        <f>"14203-1126"</f>
        <v>14203-1126</v>
      </c>
      <c r="AB1528" t="s">
        <v>118</v>
      </c>
      <c r="AC1528" t="s">
        <v>119</v>
      </c>
      <c r="AD1528" t="s">
        <v>113</v>
      </c>
      <c r="AE1528" t="s">
        <v>120</v>
      </c>
      <c r="AG1528" t="s">
        <v>121</v>
      </c>
    </row>
    <row r="1529" spans="1:33" x14ac:dyDescent="0.25">
      <c r="A1529" t="str">
        <f>"1316929086"</f>
        <v>1316929086</v>
      </c>
      <c r="B1529" t="str">
        <f>"02258726"</f>
        <v>02258726</v>
      </c>
      <c r="C1529" t="s">
        <v>8985</v>
      </c>
      <c r="D1529" t="s">
        <v>8986</v>
      </c>
      <c r="E1529" t="s">
        <v>8987</v>
      </c>
      <c r="G1529" t="s">
        <v>8985</v>
      </c>
      <c r="H1529" t="s">
        <v>8988</v>
      </c>
      <c r="J1529" t="s">
        <v>8989</v>
      </c>
      <c r="L1529" t="s">
        <v>112</v>
      </c>
      <c r="M1529" t="s">
        <v>113</v>
      </c>
      <c r="R1529" t="s">
        <v>8990</v>
      </c>
      <c r="W1529" t="s">
        <v>8991</v>
      </c>
      <c r="X1529" t="s">
        <v>838</v>
      </c>
      <c r="Y1529" t="s">
        <v>240</v>
      </c>
      <c r="Z1529" t="s">
        <v>117</v>
      </c>
      <c r="AA1529" t="str">
        <f>"14221-3647"</f>
        <v>14221-3647</v>
      </c>
      <c r="AB1529" t="s">
        <v>118</v>
      </c>
      <c r="AC1529" t="s">
        <v>119</v>
      </c>
      <c r="AD1529" t="s">
        <v>113</v>
      </c>
      <c r="AE1529" t="s">
        <v>120</v>
      </c>
      <c r="AG1529" t="s">
        <v>121</v>
      </c>
    </row>
    <row r="1530" spans="1:33" x14ac:dyDescent="0.25">
      <c r="A1530" t="str">
        <f>"1104137728"</f>
        <v>1104137728</v>
      </c>
      <c r="B1530" t="str">
        <f>"03251934"</f>
        <v>03251934</v>
      </c>
      <c r="C1530" t="s">
        <v>8992</v>
      </c>
      <c r="D1530" t="s">
        <v>8993</v>
      </c>
      <c r="E1530" t="s">
        <v>8994</v>
      </c>
      <c r="G1530" t="s">
        <v>8992</v>
      </c>
      <c r="H1530" t="s">
        <v>213</v>
      </c>
      <c r="J1530" t="s">
        <v>8995</v>
      </c>
      <c r="L1530" t="s">
        <v>142</v>
      </c>
      <c r="M1530" t="s">
        <v>199</v>
      </c>
      <c r="R1530" t="s">
        <v>8994</v>
      </c>
      <c r="W1530" t="s">
        <v>8994</v>
      </c>
      <c r="X1530" t="s">
        <v>7792</v>
      </c>
      <c r="Y1530" t="s">
        <v>116</v>
      </c>
      <c r="Z1530" t="s">
        <v>117</v>
      </c>
      <c r="AA1530" t="str">
        <f>"14209-2102"</f>
        <v>14209-2102</v>
      </c>
      <c r="AB1530" t="s">
        <v>118</v>
      </c>
      <c r="AC1530" t="s">
        <v>119</v>
      </c>
      <c r="AD1530" t="s">
        <v>113</v>
      </c>
      <c r="AE1530" t="s">
        <v>120</v>
      </c>
      <c r="AG1530" t="s">
        <v>121</v>
      </c>
    </row>
    <row r="1531" spans="1:33" x14ac:dyDescent="0.25">
      <c r="A1531" t="str">
        <f>"1104809417"</f>
        <v>1104809417</v>
      </c>
      <c r="B1531" t="str">
        <f>"02331166"</f>
        <v>02331166</v>
      </c>
      <c r="C1531" t="s">
        <v>8996</v>
      </c>
      <c r="D1531" t="s">
        <v>8997</v>
      </c>
      <c r="E1531" t="s">
        <v>8998</v>
      </c>
      <c r="G1531" t="s">
        <v>8999</v>
      </c>
      <c r="H1531" t="s">
        <v>707</v>
      </c>
      <c r="J1531" t="s">
        <v>9000</v>
      </c>
      <c r="L1531" t="s">
        <v>142</v>
      </c>
      <c r="M1531" t="s">
        <v>113</v>
      </c>
      <c r="R1531" t="s">
        <v>9001</v>
      </c>
      <c r="W1531" t="s">
        <v>8998</v>
      </c>
      <c r="X1531" t="s">
        <v>709</v>
      </c>
      <c r="Y1531" t="s">
        <v>116</v>
      </c>
      <c r="Z1531" t="s">
        <v>117</v>
      </c>
      <c r="AA1531" t="str">
        <f>"14263-0001"</f>
        <v>14263-0001</v>
      </c>
      <c r="AB1531" t="s">
        <v>118</v>
      </c>
      <c r="AC1531" t="s">
        <v>119</v>
      </c>
      <c r="AD1531" t="s">
        <v>113</v>
      </c>
      <c r="AE1531" t="s">
        <v>120</v>
      </c>
      <c r="AG1531" t="s">
        <v>121</v>
      </c>
    </row>
    <row r="1532" spans="1:33" x14ac:dyDescent="0.25">
      <c r="A1532" t="str">
        <f>"1104815679"</f>
        <v>1104815679</v>
      </c>
      <c r="B1532" t="str">
        <f>"03222671"</f>
        <v>03222671</v>
      </c>
      <c r="C1532" t="s">
        <v>9002</v>
      </c>
      <c r="D1532" t="s">
        <v>9003</v>
      </c>
      <c r="E1532" t="s">
        <v>9004</v>
      </c>
      <c r="G1532" t="s">
        <v>9002</v>
      </c>
      <c r="H1532" t="s">
        <v>419</v>
      </c>
      <c r="J1532" t="s">
        <v>9005</v>
      </c>
      <c r="L1532" t="s">
        <v>142</v>
      </c>
      <c r="M1532" t="s">
        <v>113</v>
      </c>
      <c r="R1532" t="s">
        <v>9004</v>
      </c>
      <c r="W1532" t="s">
        <v>9006</v>
      </c>
      <c r="X1532" t="s">
        <v>216</v>
      </c>
      <c r="Y1532" t="s">
        <v>116</v>
      </c>
      <c r="Z1532" t="s">
        <v>117</v>
      </c>
      <c r="AA1532" t="str">
        <f>"14222-2006"</f>
        <v>14222-2006</v>
      </c>
      <c r="AB1532" t="s">
        <v>118</v>
      </c>
      <c r="AC1532" t="s">
        <v>119</v>
      </c>
      <c r="AD1532" t="s">
        <v>113</v>
      </c>
      <c r="AE1532" t="s">
        <v>120</v>
      </c>
      <c r="AG1532" t="s">
        <v>121</v>
      </c>
    </row>
    <row r="1533" spans="1:33" x14ac:dyDescent="0.25">
      <c r="A1533" t="str">
        <f>"1104816065"</f>
        <v>1104816065</v>
      </c>
      <c r="B1533" t="str">
        <f>"01245578"</f>
        <v>01245578</v>
      </c>
      <c r="C1533" t="s">
        <v>9007</v>
      </c>
      <c r="D1533" t="s">
        <v>9008</v>
      </c>
      <c r="E1533" t="s">
        <v>9009</v>
      </c>
      <c r="G1533" t="s">
        <v>9007</v>
      </c>
      <c r="H1533" t="s">
        <v>9010</v>
      </c>
      <c r="J1533" t="s">
        <v>9011</v>
      </c>
      <c r="L1533" t="s">
        <v>150</v>
      </c>
      <c r="M1533" t="s">
        <v>113</v>
      </c>
      <c r="R1533" t="s">
        <v>9012</v>
      </c>
      <c r="W1533" t="s">
        <v>9009</v>
      </c>
      <c r="Y1533" t="s">
        <v>116</v>
      </c>
      <c r="Z1533" t="s">
        <v>117</v>
      </c>
      <c r="AA1533" t="str">
        <f>"14222-2099"</f>
        <v>14222-2099</v>
      </c>
      <c r="AB1533" t="s">
        <v>118</v>
      </c>
      <c r="AC1533" t="s">
        <v>119</v>
      </c>
      <c r="AD1533" t="s">
        <v>113</v>
      </c>
      <c r="AE1533" t="s">
        <v>120</v>
      </c>
      <c r="AG1533" t="s">
        <v>121</v>
      </c>
    </row>
    <row r="1534" spans="1:33" x14ac:dyDescent="0.25">
      <c r="A1534" t="str">
        <f>"1104819200"</f>
        <v>1104819200</v>
      </c>
      <c r="B1534" t="str">
        <f>"00758241"</f>
        <v>00758241</v>
      </c>
      <c r="C1534" t="s">
        <v>9013</v>
      </c>
      <c r="D1534" t="s">
        <v>9014</v>
      </c>
      <c r="E1534" t="s">
        <v>9015</v>
      </c>
      <c r="L1534" t="s">
        <v>728</v>
      </c>
      <c r="M1534" t="s">
        <v>113</v>
      </c>
      <c r="R1534" t="s">
        <v>9013</v>
      </c>
      <c r="W1534" t="s">
        <v>9016</v>
      </c>
      <c r="X1534" t="s">
        <v>5577</v>
      </c>
      <c r="Y1534" t="s">
        <v>116</v>
      </c>
      <c r="Z1534" t="s">
        <v>117</v>
      </c>
      <c r="AA1534" t="str">
        <f>"14208-2221"</f>
        <v>14208-2221</v>
      </c>
      <c r="AB1534" t="s">
        <v>118</v>
      </c>
      <c r="AC1534" t="s">
        <v>119</v>
      </c>
      <c r="AD1534" t="s">
        <v>113</v>
      </c>
      <c r="AE1534" t="s">
        <v>120</v>
      </c>
      <c r="AG1534" t="s">
        <v>121</v>
      </c>
    </row>
    <row r="1535" spans="1:33" x14ac:dyDescent="0.25">
      <c r="A1535" t="str">
        <f>"1104819952"</f>
        <v>1104819952</v>
      </c>
      <c r="B1535" t="str">
        <f>"01744921"</f>
        <v>01744921</v>
      </c>
      <c r="C1535" t="s">
        <v>9017</v>
      </c>
      <c r="D1535" t="s">
        <v>9018</v>
      </c>
      <c r="E1535" t="s">
        <v>9019</v>
      </c>
      <c r="G1535" t="s">
        <v>9017</v>
      </c>
      <c r="H1535" t="s">
        <v>9020</v>
      </c>
      <c r="J1535" t="s">
        <v>9021</v>
      </c>
      <c r="L1535" t="s">
        <v>150</v>
      </c>
      <c r="M1535" t="s">
        <v>113</v>
      </c>
      <c r="R1535" t="s">
        <v>9022</v>
      </c>
      <c r="W1535" t="s">
        <v>9023</v>
      </c>
      <c r="X1535" t="s">
        <v>9024</v>
      </c>
      <c r="Y1535" t="s">
        <v>116</v>
      </c>
      <c r="Z1535" t="s">
        <v>117</v>
      </c>
      <c r="AA1535" t="str">
        <f>"14220-1634"</f>
        <v>14220-1634</v>
      </c>
      <c r="AB1535" t="s">
        <v>118</v>
      </c>
      <c r="AC1535" t="s">
        <v>119</v>
      </c>
      <c r="AD1535" t="s">
        <v>113</v>
      </c>
      <c r="AE1535" t="s">
        <v>120</v>
      </c>
      <c r="AG1535" t="s">
        <v>121</v>
      </c>
    </row>
    <row r="1536" spans="1:33" x14ac:dyDescent="0.25">
      <c r="A1536" t="str">
        <f>"1104820026"</f>
        <v>1104820026</v>
      </c>
      <c r="B1536" t="str">
        <f>"01973591"</f>
        <v>01973591</v>
      </c>
      <c r="C1536" t="s">
        <v>9025</v>
      </c>
      <c r="D1536" t="s">
        <v>9026</v>
      </c>
      <c r="E1536" t="s">
        <v>9027</v>
      </c>
      <c r="G1536" t="s">
        <v>9028</v>
      </c>
      <c r="H1536" t="s">
        <v>1050</v>
      </c>
      <c r="J1536" t="s">
        <v>9029</v>
      </c>
      <c r="L1536" t="s">
        <v>150</v>
      </c>
      <c r="M1536" t="s">
        <v>113</v>
      </c>
      <c r="R1536" t="s">
        <v>9030</v>
      </c>
      <c r="W1536" t="s">
        <v>9031</v>
      </c>
      <c r="X1536" t="s">
        <v>9032</v>
      </c>
      <c r="Y1536" t="s">
        <v>816</v>
      </c>
      <c r="Z1536" t="s">
        <v>117</v>
      </c>
      <c r="AA1536" t="str">
        <f>"14120-1114"</f>
        <v>14120-1114</v>
      </c>
      <c r="AB1536" t="s">
        <v>118</v>
      </c>
      <c r="AC1536" t="s">
        <v>119</v>
      </c>
      <c r="AD1536" t="s">
        <v>113</v>
      </c>
      <c r="AE1536" t="s">
        <v>120</v>
      </c>
      <c r="AG1536" t="s">
        <v>121</v>
      </c>
    </row>
    <row r="1537" spans="1:33" x14ac:dyDescent="0.25">
      <c r="A1537" t="str">
        <f>"1104821453"</f>
        <v>1104821453</v>
      </c>
      <c r="B1537" t="str">
        <f>"00653136"</f>
        <v>00653136</v>
      </c>
      <c r="C1537" t="s">
        <v>9033</v>
      </c>
      <c r="D1537" t="s">
        <v>9034</v>
      </c>
      <c r="E1537" t="s">
        <v>9035</v>
      </c>
      <c r="G1537" t="s">
        <v>9033</v>
      </c>
      <c r="H1537" t="s">
        <v>9036</v>
      </c>
      <c r="J1537" t="s">
        <v>9037</v>
      </c>
      <c r="L1537" t="s">
        <v>142</v>
      </c>
      <c r="M1537" t="s">
        <v>113</v>
      </c>
      <c r="R1537" t="s">
        <v>9038</v>
      </c>
      <c r="W1537" t="s">
        <v>9039</v>
      </c>
      <c r="X1537" t="s">
        <v>9040</v>
      </c>
      <c r="Y1537" t="s">
        <v>377</v>
      </c>
      <c r="Z1537" t="s">
        <v>117</v>
      </c>
      <c r="AA1537" t="str">
        <f>"14217-1094"</f>
        <v>14217-1094</v>
      </c>
      <c r="AB1537" t="s">
        <v>118</v>
      </c>
      <c r="AC1537" t="s">
        <v>119</v>
      </c>
      <c r="AD1537" t="s">
        <v>113</v>
      </c>
      <c r="AE1537" t="s">
        <v>120</v>
      </c>
      <c r="AG1537" t="s">
        <v>121</v>
      </c>
    </row>
    <row r="1538" spans="1:33" x14ac:dyDescent="0.25">
      <c r="A1538" t="str">
        <f>"1104841980"</f>
        <v>1104841980</v>
      </c>
      <c r="B1538" t="str">
        <f>"02150934"</f>
        <v>02150934</v>
      </c>
      <c r="C1538" t="s">
        <v>9041</v>
      </c>
      <c r="D1538" t="s">
        <v>9042</v>
      </c>
      <c r="E1538" t="s">
        <v>9043</v>
      </c>
      <c r="G1538" t="s">
        <v>9041</v>
      </c>
      <c r="H1538" t="s">
        <v>9044</v>
      </c>
      <c r="J1538" t="s">
        <v>9045</v>
      </c>
      <c r="L1538" t="s">
        <v>112</v>
      </c>
      <c r="M1538" t="s">
        <v>113</v>
      </c>
      <c r="R1538" t="s">
        <v>9046</v>
      </c>
      <c r="W1538" t="s">
        <v>9047</v>
      </c>
      <c r="X1538" t="s">
        <v>838</v>
      </c>
      <c r="Y1538" t="s">
        <v>240</v>
      </c>
      <c r="Z1538" t="s">
        <v>117</v>
      </c>
      <c r="AA1538" t="str">
        <f>"14221-3698"</f>
        <v>14221-3698</v>
      </c>
      <c r="AB1538" t="s">
        <v>118</v>
      </c>
      <c r="AC1538" t="s">
        <v>119</v>
      </c>
      <c r="AD1538" t="s">
        <v>113</v>
      </c>
      <c r="AE1538" t="s">
        <v>120</v>
      </c>
      <c r="AG1538" t="s">
        <v>121</v>
      </c>
    </row>
    <row r="1539" spans="1:33" x14ac:dyDescent="0.25">
      <c r="A1539" t="str">
        <f>"1104865294"</f>
        <v>1104865294</v>
      </c>
      <c r="B1539" t="str">
        <f>"01882017"</f>
        <v>01882017</v>
      </c>
      <c r="C1539" t="s">
        <v>9048</v>
      </c>
      <c r="D1539" t="s">
        <v>9049</v>
      </c>
      <c r="E1539" t="s">
        <v>9050</v>
      </c>
      <c r="G1539" t="s">
        <v>9048</v>
      </c>
      <c r="H1539" t="s">
        <v>9051</v>
      </c>
      <c r="J1539" t="s">
        <v>9052</v>
      </c>
      <c r="L1539" t="s">
        <v>142</v>
      </c>
      <c r="M1539" t="s">
        <v>113</v>
      </c>
      <c r="R1539" t="s">
        <v>9053</v>
      </c>
      <c r="W1539" t="s">
        <v>9053</v>
      </c>
      <c r="X1539" t="s">
        <v>9054</v>
      </c>
      <c r="Y1539" t="s">
        <v>145</v>
      </c>
      <c r="Z1539" t="s">
        <v>117</v>
      </c>
      <c r="AA1539" t="str">
        <f>"14051-2606"</f>
        <v>14051-2606</v>
      </c>
      <c r="AB1539" t="s">
        <v>118</v>
      </c>
      <c r="AC1539" t="s">
        <v>119</v>
      </c>
      <c r="AD1539" t="s">
        <v>113</v>
      </c>
      <c r="AE1539" t="s">
        <v>120</v>
      </c>
      <c r="AG1539" t="s">
        <v>121</v>
      </c>
    </row>
    <row r="1540" spans="1:33" x14ac:dyDescent="0.25">
      <c r="A1540" t="str">
        <f>"1104892025"</f>
        <v>1104892025</v>
      </c>
      <c r="B1540" t="str">
        <f>"01401490"</f>
        <v>01401490</v>
      </c>
      <c r="C1540" t="s">
        <v>9055</v>
      </c>
      <c r="D1540" t="s">
        <v>9056</v>
      </c>
      <c r="E1540" t="s">
        <v>9057</v>
      </c>
      <c r="G1540" t="s">
        <v>9055</v>
      </c>
      <c r="H1540" t="s">
        <v>559</v>
      </c>
      <c r="L1540" t="s">
        <v>112</v>
      </c>
      <c r="M1540" t="s">
        <v>113</v>
      </c>
      <c r="R1540" t="s">
        <v>9058</v>
      </c>
      <c r="W1540" t="s">
        <v>9057</v>
      </c>
      <c r="X1540" t="s">
        <v>9059</v>
      </c>
      <c r="Y1540" t="s">
        <v>116</v>
      </c>
      <c r="Z1540" t="s">
        <v>117</v>
      </c>
      <c r="AA1540" t="str">
        <f>"14203-1116"</f>
        <v>14203-1116</v>
      </c>
      <c r="AB1540" t="s">
        <v>118</v>
      </c>
      <c r="AC1540" t="s">
        <v>119</v>
      </c>
      <c r="AD1540" t="s">
        <v>113</v>
      </c>
      <c r="AE1540" t="s">
        <v>120</v>
      </c>
      <c r="AG1540" t="s">
        <v>121</v>
      </c>
    </row>
    <row r="1541" spans="1:33" x14ac:dyDescent="0.25">
      <c r="A1541" t="str">
        <f>"1104895184"</f>
        <v>1104895184</v>
      </c>
      <c r="B1541" t="str">
        <f>"02023105"</f>
        <v>02023105</v>
      </c>
      <c r="C1541" t="s">
        <v>9060</v>
      </c>
      <c r="D1541" t="s">
        <v>9061</v>
      </c>
      <c r="E1541" t="s">
        <v>9062</v>
      </c>
      <c r="G1541" t="s">
        <v>9063</v>
      </c>
      <c r="H1541" t="s">
        <v>579</v>
      </c>
      <c r="J1541" t="s">
        <v>9064</v>
      </c>
      <c r="L1541" t="s">
        <v>142</v>
      </c>
      <c r="M1541" t="s">
        <v>113</v>
      </c>
      <c r="R1541" t="s">
        <v>9065</v>
      </c>
      <c r="W1541" t="s">
        <v>9062</v>
      </c>
      <c r="X1541" t="s">
        <v>9066</v>
      </c>
      <c r="Y1541" t="s">
        <v>240</v>
      </c>
      <c r="Z1541" t="s">
        <v>117</v>
      </c>
      <c r="AA1541" t="str">
        <f>"14221-3698"</f>
        <v>14221-3698</v>
      </c>
      <c r="AB1541" t="s">
        <v>118</v>
      </c>
      <c r="AC1541" t="s">
        <v>119</v>
      </c>
      <c r="AD1541" t="s">
        <v>113</v>
      </c>
      <c r="AE1541" t="s">
        <v>120</v>
      </c>
      <c r="AG1541" t="s">
        <v>121</v>
      </c>
    </row>
    <row r="1542" spans="1:33" x14ac:dyDescent="0.25">
      <c r="A1542" t="str">
        <f>"1104896570"</f>
        <v>1104896570</v>
      </c>
      <c r="B1542" t="str">
        <f>"02490980"</f>
        <v>02490980</v>
      </c>
      <c r="C1542" t="s">
        <v>9067</v>
      </c>
      <c r="D1542" t="s">
        <v>9068</v>
      </c>
      <c r="E1542" t="s">
        <v>9069</v>
      </c>
      <c r="H1542" t="s">
        <v>2384</v>
      </c>
      <c r="L1542" t="s">
        <v>142</v>
      </c>
      <c r="M1542" t="s">
        <v>113</v>
      </c>
      <c r="R1542" t="s">
        <v>9069</v>
      </c>
      <c r="W1542" t="s">
        <v>9069</v>
      </c>
      <c r="X1542" t="s">
        <v>9070</v>
      </c>
      <c r="Y1542" t="s">
        <v>663</v>
      </c>
      <c r="Z1542" t="s">
        <v>117</v>
      </c>
      <c r="AA1542" t="str">
        <f>"14094-5376"</f>
        <v>14094-5376</v>
      </c>
      <c r="AB1542" t="s">
        <v>118</v>
      </c>
      <c r="AC1542" t="s">
        <v>119</v>
      </c>
      <c r="AD1542" t="s">
        <v>113</v>
      </c>
      <c r="AE1542" t="s">
        <v>120</v>
      </c>
      <c r="AG1542" t="s">
        <v>121</v>
      </c>
    </row>
    <row r="1543" spans="1:33" x14ac:dyDescent="0.25">
      <c r="B1543" t="str">
        <f>"02704603"</f>
        <v>02704603</v>
      </c>
      <c r="C1543" t="s">
        <v>11681</v>
      </c>
      <c r="D1543" t="s">
        <v>11682</v>
      </c>
      <c r="E1543" t="s">
        <v>11681</v>
      </c>
      <c r="H1543" t="s">
        <v>11683</v>
      </c>
      <c r="L1543" t="s">
        <v>69</v>
      </c>
      <c r="M1543" t="s">
        <v>113</v>
      </c>
      <c r="W1543" t="s">
        <v>11681</v>
      </c>
      <c r="X1543" t="s">
        <v>11666</v>
      </c>
      <c r="Y1543" t="s">
        <v>305</v>
      </c>
      <c r="Z1543" t="s">
        <v>117</v>
      </c>
      <c r="AA1543" t="str">
        <f>"14760"</f>
        <v>14760</v>
      </c>
      <c r="AB1543" t="s">
        <v>291</v>
      </c>
      <c r="AC1543" t="s">
        <v>119</v>
      </c>
      <c r="AD1543" t="s">
        <v>113</v>
      </c>
      <c r="AE1543" t="s">
        <v>120</v>
      </c>
      <c r="AG1543" t="s">
        <v>121</v>
      </c>
    </row>
    <row r="1544" spans="1:33" x14ac:dyDescent="0.25">
      <c r="A1544" t="str">
        <f>"1255403614"</f>
        <v>1255403614</v>
      </c>
      <c r="C1544" t="s">
        <v>9078</v>
      </c>
      <c r="G1544" t="s">
        <v>9079</v>
      </c>
      <c r="H1544" t="s">
        <v>590</v>
      </c>
      <c r="J1544" t="s">
        <v>9080</v>
      </c>
      <c r="K1544" t="s">
        <v>303</v>
      </c>
      <c r="L1544" t="s">
        <v>112</v>
      </c>
      <c r="M1544" t="s">
        <v>113</v>
      </c>
      <c r="R1544" t="s">
        <v>9081</v>
      </c>
      <c r="S1544" t="s">
        <v>1433</v>
      </c>
      <c r="T1544" t="s">
        <v>116</v>
      </c>
      <c r="U1544" t="s">
        <v>117</v>
      </c>
      <c r="V1544" t="str">
        <f>"142242635"</f>
        <v>142242635</v>
      </c>
      <c r="AC1544" t="s">
        <v>119</v>
      </c>
      <c r="AD1544" t="s">
        <v>113</v>
      </c>
      <c r="AE1544" t="s">
        <v>306</v>
      </c>
      <c r="AG1544" t="s">
        <v>121</v>
      </c>
    </row>
    <row r="1545" spans="1:33" x14ac:dyDescent="0.25">
      <c r="A1545" t="str">
        <f>"1255412128"</f>
        <v>1255412128</v>
      </c>
      <c r="B1545" t="str">
        <f>"02346349"</f>
        <v>02346349</v>
      </c>
      <c r="C1545" t="s">
        <v>9082</v>
      </c>
      <c r="D1545" t="s">
        <v>9083</v>
      </c>
      <c r="E1545" t="s">
        <v>9084</v>
      </c>
      <c r="G1545" t="s">
        <v>9085</v>
      </c>
      <c r="H1545" t="s">
        <v>351</v>
      </c>
      <c r="J1545" t="s">
        <v>352</v>
      </c>
      <c r="L1545" t="s">
        <v>1033</v>
      </c>
      <c r="M1545" t="s">
        <v>113</v>
      </c>
      <c r="R1545" t="s">
        <v>9086</v>
      </c>
      <c r="W1545" t="s">
        <v>9087</v>
      </c>
      <c r="X1545" t="s">
        <v>409</v>
      </c>
      <c r="Y1545" t="s">
        <v>116</v>
      </c>
      <c r="Z1545" t="s">
        <v>117</v>
      </c>
      <c r="AA1545" t="str">
        <f>"14215-2814"</f>
        <v>14215-2814</v>
      </c>
      <c r="AB1545" t="s">
        <v>118</v>
      </c>
      <c r="AC1545" t="s">
        <v>119</v>
      </c>
      <c r="AD1545" t="s">
        <v>113</v>
      </c>
      <c r="AE1545" t="s">
        <v>120</v>
      </c>
      <c r="AG1545" t="s">
        <v>121</v>
      </c>
    </row>
    <row r="1546" spans="1:33" x14ac:dyDescent="0.25">
      <c r="A1546" t="str">
        <f>"1659451383"</f>
        <v>1659451383</v>
      </c>
      <c r="C1546" t="s">
        <v>9088</v>
      </c>
      <c r="G1546" t="s">
        <v>9089</v>
      </c>
      <c r="H1546" t="s">
        <v>351</v>
      </c>
      <c r="J1546" t="s">
        <v>352</v>
      </c>
      <c r="K1546" t="s">
        <v>303</v>
      </c>
      <c r="L1546" t="s">
        <v>229</v>
      </c>
      <c r="M1546" t="s">
        <v>113</v>
      </c>
      <c r="R1546" t="s">
        <v>9090</v>
      </c>
      <c r="S1546" t="s">
        <v>405</v>
      </c>
      <c r="T1546" t="s">
        <v>116</v>
      </c>
      <c r="U1546" t="s">
        <v>117</v>
      </c>
      <c r="V1546" t="str">
        <f>"142151139"</f>
        <v>142151139</v>
      </c>
      <c r="AC1546" t="s">
        <v>119</v>
      </c>
      <c r="AD1546" t="s">
        <v>113</v>
      </c>
      <c r="AE1546" t="s">
        <v>306</v>
      </c>
      <c r="AG1546" t="s">
        <v>121</v>
      </c>
    </row>
    <row r="1547" spans="1:33" x14ac:dyDescent="0.25">
      <c r="A1547" t="str">
        <f>"1659452175"</f>
        <v>1659452175</v>
      </c>
      <c r="B1547" t="str">
        <f>"00647498"</f>
        <v>00647498</v>
      </c>
      <c r="C1547" t="s">
        <v>9091</v>
      </c>
      <c r="D1547" t="s">
        <v>9092</v>
      </c>
      <c r="E1547" t="s">
        <v>9093</v>
      </c>
      <c r="G1547" t="s">
        <v>9091</v>
      </c>
      <c r="H1547" t="s">
        <v>9094</v>
      </c>
      <c r="L1547" t="s">
        <v>142</v>
      </c>
      <c r="M1547" t="s">
        <v>199</v>
      </c>
      <c r="R1547" t="s">
        <v>9095</v>
      </c>
      <c r="W1547" t="s">
        <v>9093</v>
      </c>
      <c r="X1547" t="s">
        <v>9096</v>
      </c>
      <c r="Y1547" t="s">
        <v>958</v>
      </c>
      <c r="Z1547" t="s">
        <v>117</v>
      </c>
      <c r="AA1547" t="str">
        <f>"14226-2004"</f>
        <v>14226-2004</v>
      </c>
      <c r="AB1547" t="s">
        <v>118</v>
      </c>
      <c r="AC1547" t="s">
        <v>119</v>
      </c>
      <c r="AD1547" t="s">
        <v>113</v>
      </c>
      <c r="AE1547" t="s">
        <v>120</v>
      </c>
      <c r="AG1547" t="s">
        <v>121</v>
      </c>
    </row>
    <row r="1548" spans="1:33" x14ac:dyDescent="0.25">
      <c r="A1548" t="str">
        <f>"1659513190"</f>
        <v>1659513190</v>
      </c>
      <c r="B1548" t="str">
        <f>"03860299"</f>
        <v>03860299</v>
      </c>
      <c r="C1548" t="s">
        <v>9097</v>
      </c>
      <c r="D1548" t="s">
        <v>9098</v>
      </c>
      <c r="E1548" t="s">
        <v>9099</v>
      </c>
      <c r="G1548" t="s">
        <v>9100</v>
      </c>
      <c r="H1548" t="s">
        <v>9101</v>
      </c>
      <c r="J1548" t="s">
        <v>9102</v>
      </c>
      <c r="L1548" t="s">
        <v>112</v>
      </c>
      <c r="M1548" t="s">
        <v>113</v>
      </c>
      <c r="R1548" t="s">
        <v>9103</v>
      </c>
      <c r="W1548" t="s">
        <v>9099</v>
      </c>
      <c r="X1548" t="s">
        <v>216</v>
      </c>
      <c r="Y1548" t="s">
        <v>116</v>
      </c>
      <c r="Z1548" t="s">
        <v>117</v>
      </c>
      <c r="AA1548" t="str">
        <f>"14222-2006"</f>
        <v>14222-2006</v>
      </c>
      <c r="AB1548" t="s">
        <v>118</v>
      </c>
      <c r="AC1548" t="s">
        <v>119</v>
      </c>
      <c r="AD1548" t="s">
        <v>113</v>
      </c>
      <c r="AE1548" t="s">
        <v>120</v>
      </c>
      <c r="AG1548" t="s">
        <v>121</v>
      </c>
    </row>
    <row r="1549" spans="1:33" x14ac:dyDescent="0.25">
      <c r="A1549" t="str">
        <f>"1659514594"</f>
        <v>1659514594</v>
      </c>
      <c r="B1549" t="str">
        <f>"03163504"</f>
        <v>03163504</v>
      </c>
      <c r="C1549" t="s">
        <v>9104</v>
      </c>
      <c r="D1549" t="s">
        <v>9105</v>
      </c>
      <c r="E1549" t="s">
        <v>9106</v>
      </c>
      <c r="G1549" t="s">
        <v>9107</v>
      </c>
      <c r="H1549" t="s">
        <v>9108</v>
      </c>
      <c r="J1549" t="s">
        <v>9109</v>
      </c>
      <c r="L1549" t="s">
        <v>150</v>
      </c>
      <c r="M1549" t="s">
        <v>113</v>
      </c>
      <c r="R1549" t="s">
        <v>9110</v>
      </c>
      <c r="W1549" t="s">
        <v>9106</v>
      </c>
      <c r="X1549" t="s">
        <v>9111</v>
      </c>
      <c r="Y1549" t="s">
        <v>240</v>
      </c>
      <c r="Z1549" t="s">
        <v>117</v>
      </c>
      <c r="AA1549" t="str">
        <f>"14221-8024"</f>
        <v>14221-8024</v>
      </c>
      <c r="AB1549" t="s">
        <v>118</v>
      </c>
      <c r="AC1549" t="s">
        <v>119</v>
      </c>
      <c r="AD1549" t="s">
        <v>113</v>
      </c>
      <c r="AE1549" t="s">
        <v>120</v>
      </c>
      <c r="AG1549" t="s">
        <v>121</v>
      </c>
    </row>
    <row r="1550" spans="1:33" x14ac:dyDescent="0.25">
      <c r="A1550" t="str">
        <f>"1659523215"</f>
        <v>1659523215</v>
      </c>
      <c r="B1550" t="str">
        <f>"03065336"</f>
        <v>03065336</v>
      </c>
      <c r="C1550" t="s">
        <v>9112</v>
      </c>
      <c r="D1550" t="s">
        <v>9113</v>
      </c>
      <c r="E1550" t="s">
        <v>9114</v>
      </c>
      <c r="G1550" t="s">
        <v>9115</v>
      </c>
      <c r="H1550" t="s">
        <v>205</v>
      </c>
      <c r="J1550" t="s">
        <v>9116</v>
      </c>
      <c r="L1550" t="s">
        <v>142</v>
      </c>
      <c r="M1550" t="s">
        <v>113</v>
      </c>
      <c r="R1550" t="s">
        <v>9117</v>
      </c>
      <c r="W1550" t="s">
        <v>9114</v>
      </c>
      <c r="X1550" t="s">
        <v>2607</v>
      </c>
      <c r="Y1550" t="s">
        <v>116</v>
      </c>
      <c r="Z1550" t="s">
        <v>117</v>
      </c>
      <c r="AA1550" t="str">
        <f>"14203-1149"</f>
        <v>14203-1149</v>
      </c>
      <c r="AB1550" t="s">
        <v>118</v>
      </c>
      <c r="AC1550" t="s">
        <v>119</v>
      </c>
      <c r="AD1550" t="s">
        <v>113</v>
      </c>
      <c r="AE1550" t="s">
        <v>120</v>
      </c>
      <c r="AG1550" t="s">
        <v>121</v>
      </c>
    </row>
    <row r="1551" spans="1:33" x14ac:dyDescent="0.25">
      <c r="A1551" t="str">
        <f>"1659530582"</f>
        <v>1659530582</v>
      </c>
      <c r="B1551" t="str">
        <f>"03804744"</f>
        <v>03804744</v>
      </c>
      <c r="C1551" t="s">
        <v>9118</v>
      </c>
      <c r="D1551" t="s">
        <v>9119</v>
      </c>
      <c r="E1551" t="s">
        <v>9120</v>
      </c>
      <c r="G1551" t="s">
        <v>9121</v>
      </c>
      <c r="H1551" t="s">
        <v>1700</v>
      </c>
      <c r="J1551" t="s">
        <v>9122</v>
      </c>
      <c r="L1551" t="s">
        <v>112</v>
      </c>
      <c r="M1551" t="s">
        <v>113</v>
      </c>
      <c r="R1551" t="s">
        <v>9123</v>
      </c>
      <c r="W1551" t="s">
        <v>9124</v>
      </c>
      <c r="X1551" t="s">
        <v>1703</v>
      </c>
      <c r="Y1551" t="s">
        <v>116</v>
      </c>
      <c r="Z1551" t="s">
        <v>117</v>
      </c>
      <c r="AA1551" t="str">
        <f>"14209-2013"</f>
        <v>14209-2013</v>
      </c>
      <c r="AB1551" t="s">
        <v>621</v>
      </c>
      <c r="AC1551" t="s">
        <v>119</v>
      </c>
      <c r="AD1551" t="s">
        <v>113</v>
      </c>
      <c r="AE1551" t="s">
        <v>120</v>
      </c>
      <c r="AG1551" t="s">
        <v>121</v>
      </c>
    </row>
    <row r="1552" spans="1:33" x14ac:dyDescent="0.25">
      <c r="A1552" t="str">
        <f>"1659533404"</f>
        <v>1659533404</v>
      </c>
      <c r="B1552" t="str">
        <f>"03865294"</f>
        <v>03865294</v>
      </c>
      <c r="C1552" t="s">
        <v>9125</v>
      </c>
      <c r="D1552" t="s">
        <v>9126</v>
      </c>
      <c r="E1552" t="s">
        <v>9127</v>
      </c>
      <c r="G1552" t="s">
        <v>9128</v>
      </c>
      <c r="H1552" t="s">
        <v>9129</v>
      </c>
      <c r="J1552" t="s">
        <v>9130</v>
      </c>
      <c r="L1552" t="s">
        <v>142</v>
      </c>
      <c r="M1552" t="s">
        <v>113</v>
      </c>
      <c r="R1552" t="s">
        <v>9131</v>
      </c>
      <c r="W1552" t="s">
        <v>9132</v>
      </c>
      <c r="X1552" t="s">
        <v>8487</v>
      </c>
      <c r="Y1552" t="s">
        <v>326</v>
      </c>
      <c r="Z1552" t="s">
        <v>117</v>
      </c>
      <c r="AA1552" t="str">
        <f>"14127-1842"</f>
        <v>14127-1842</v>
      </c>
      <c r="AB1552" t="s">
        <v>118</v>
      </c>
      <c r="AC1552" t="s">
        <v>119</v>
      </c>
      <c r="AD1552" t="s">
        <v>113</v>
      </c>
      <c r="AE1552" t="s">
        <v>120</v>
      </c>
      <c r="AG1552" t="s">
        <v>121</v>
      </c>
    </row>
    <row r="1553" spans="1:33" x14ac:dyDescent="0.25">
      <c r="A1553" t="str">
        <f>"1659534659"</f>
        <v>1659534659</v>
      </c>
      <c r="C1553" t="s">
        <v>9133</v>
      </c>
      <c r="G1553" t="s">
        <v>9134</v>
      </c>
      <c r="H1553" t="s">
        <v>351</v>
      </c>
      <c r="J1553" t="s">
        <v>352</v>
      </c>
      <c r="K1553" t="s">
        <v>303</v>
      </c>
      <c r="L1553" t="s">
        <v>229</v>
      </c>
      <c r="M1553" t="s">
        <v>113</v>
      </c>
      <c r="R1553" t="s">
        <v>9135</v>
      </c>
      <c r="S1553" t="s">
        <v>409</v>
      </c>
      <c r="T1553" t="s">
        <v>116</v>
      </c>
      <c r="U1553" t="s">
        <v>117</v>
      </c>
      <c r="V1553" t="str">
        <f>"14215"</f>
        <v>14215</v>
      </c>
      <c r="AC1553" t="s">
        <v>119</v>
      </c>
      <c r="AD1553" t="s">
        <v>113</v>
      </c>
      <c r="AE1553" t="s">
        <v>306</v>
      </c>
      <c r="AG1553" t="s">
        <v>121</v>
      </c>
    </row>
    <row r="1554" spans="1:33" x14ac:dyDescent="0.25">
      <c r="A1554" t="str">
        <f>"1659607190"</f>
        <v>1659607190</v>
      </c>
      <c r="B1554" t="str">
        <f>"03696962"</f>
        <v>03696962</v>
      </c>
      <c r="C1554" t="s">
        <v>9136</v>
      </c>
      <c r="D1554" t="s">
        <v>9137</v>
      </c>
      <c r="E1554" t="s">
        <v>9138</v>
      </c>
      <c r="G1554" t="s">
        <v>9136</v>
      </c>
      <c r="J1554" t="s">
        <v>9139</v>
      </c>
      <c r="L1554" t="s">
        <v>112</v>
      </c>
      <c r="M1554" t="s">
        <v>113</v>
      </c>
      <c r="R1554" t="s">
        <v>9138</v>
      </c>
      <c r="W1554" t="s">
        <v>9138</v>
      </c>
      <c r="X1554" t="s">
        <v>176</v>
      </c>
      <c r="Y1554" t="s">
        <v>116</v>
      </c>
      <c r="Z1554" t="s">
        <v>117</v>
      </c>
      <c r="AA1554" t="str">
        <f>"14203-1126"</f>
        <v>14203-1126</v>
      </c>
      <c r="AB1554" t="s">
        <v>118</v>
      </c>
      <c r="AC1554" t="s">
        <v>119</v>
      </c>
      <c r="AD1554" t="s">
        <v>113</v>
      </c>
      <c r="AE1554" t="s">
        <v>120</v>
      </c>
      <c r="AG1554" t="s">
        <v>121</v>
      </c>
    </row>
    <row r="1555" spans="1:33" x14ac:dyDescent="0.25">
      <c r="A1555" t="str">
        <f>"1659613073"</f>
        <v>1659613073</v>
      </c>
      <c r="B1555" t="str">
        <f>"03797853"</f>
        <v>03797853</v>
      </c>
      <c r="C1555" t="s">
        <v>9140</v>
      </c>
      <c r="D1555" t="s">
        <v>9141</v>
      </c>
      <c r="E1555" t="s">
        <v>9142</v>
      </c>
      <c r="G1555" t="s">
        <v>9140</v>
      </c>
      <c r="H1555" t="s">
        <v>9143</v>
      </c>
      <c r="J1555" t="s">
        <v>9144</v>
      </c>
      <c r="L1555" t="s">
        <v>112</v>
      </c>
      <c r="M1555" t="s">
        <v>113</v>
      </c>
      <c r="R1555" t="s">
        <v>9145</v>
      </c>
      <c r="W1555" t="s">
        <v>9142</v>
      </c>
      <c r="X1555" t="s">
        <v>9146</v>
      </c>
      <c r="Y1555" t="s">
        <v>305</v>
      </c>
      <c r="Z1555" t="s">
        <v>117</v>
      </c>
      <c r="AA1555" t="str">
        <f>"14760-1858"</f>
        <v>14760-1858</v>
      </c>
      <c r="AB1555" t="s">
        <v>118</v>
      </c>
      <c r="AC1555" t="s">
        <v>119</v>
      </c>
      <c r="AD1555" t="s">
        <v>113</v>
      </c>
      <c r="AE1555" t="s">
        <v>120</v>
      </c>
      <c r="AG1555" t="s">
        <v>121</v>
      </c>
    </row>
    <row r="1556" spans="1:33" x14ac:dyDescent="0.25">
      <c r="A1556" t="str">
        <f>"1659682441"</f>
        <v>1659682441</v>
      </c>
      <c r="B1556" t="str">
        <f>"03242573"</f>
        <v>03242573</v>
      </c>
      <c r="C1556" t="s">
        <v>9147</v>
      </c>
      <c r="D1556" t="s">
        <v>9148</v>
      </c>
      <c r="E1556" t="s">
        <v>9149</v>
      </c>
      <c r="G1556" t="s">
        <v>9150</v>
      </c>
      <c r="H1556" t="s">
        <v>9151</v>
      </c>
      <c r="L1556" t="s">
        <v>150</v>
      </c>
      <c r="M1556" t="s">
        <v>113</v>
      </c>
      <c r="R1556" t="s">
        <v>9150</v>
      </c>
      <c r="W1556" t="s">
        <v>9149</v>
      </c>
      <c r="X1556" t="s">
        <v>152</v>
      </c>
      <c r="Y1556" t="s">
        <v>153</v>
      </c>
      <c r="Z1556" t="s">
        <v>117</v>
      </c>
      <c r="AA1556" t="str">
        <f>"14301-1813"</f>
        <v>14301-1813</v>
      </c>
      <c r="AB1556" t="s">
        <v>118</v>
      </c>
      <c r="AC1556" t="s">
        <v>119</v>
      </c>
      <c r="AD1556" t="s">
        <v>113</v>
      </c>
      <c r="AE1556" t="s">
        <v>120</v>
      </c>
      <c r="AG1556" t="s">
        <v>121</v>
      </c>
    </row>
    <row r="1557" spans="1:33" x14ac:dyDescent="0.25">
      <c r="A1557" t="str">
        <f>"1760633168"</f>
        <v>1760633168</v>
      </c>
      <c r="B1557" t="str">
        <f>"03035027"</f>
        <v>03035027</v>
      </c>
      <c r="C1557" t="s">
        <v>9152</v>
      </c>
      <c r="D1557" t="s">
        <v>9153</v>
      </c>
      <c r="E1557" t="s">
        <v>9154</v>
      </c>
      <c r="G1557" t="s">
        <v>9155</v>
      </c>
      <c r="H1557" t="s">
        <v>579</v>
      </c>
      <c r="J1557" t="s">
        <v>9156</v>
      </c>
      <c r="L1557" t="s">
        <v>112</v>
      </c>
      <c r="M1557" t="s">
        <v>113</v>
      </c>
      <c r="R1557" t="s">
        <v>9157</v>
      </c>
      <c r="W1557" t="s">
        <v>9154</v>
      </c>
      <c r="X1557" t="s">
        <v>152</v>
      </c>
      <c r="Y1557" t="s">
        <v>153</v>
      </c>
      <c r="Z1557" t="s">
        <v>117</v>
      </c>
      <c r="AA1557" t="str">
        <f>"14301-1813"</f>
        <v>14301-1813</v>
      </c>
      <c r="AB1557" t="s">
        <v>118</v>
      </c>
      <c r="AC1557" t="s">
        <v>119</v>
      </c>
      <c r="AD1557" t="s">
        <v>113</v>
      </c>
      <c r="AE1557" t="s">
        <v>120</v>
      </c>
      <c r="AG1557" t="s">
        <v>121</v>
      </c>
    </row>
    <row r="1558" spans="1:33" x14ac:dyDescent="0.25">
      <c r="A1558" t="str">
        <f>"1760634000"</f>
        <v>1760634000</v>
      </c>
      <c r="C1558" t="s">
        <v>9158</v>
      </c>
      <c r="G1558" t="s">
        <v>9158</v>
      </c>
      <c r="H1558" t="s">
        <v>590</v>
      </c>
      <c r="J1558" t="s">
        <v>9159</v>
      </c>
      <c r="K1558" t="s">
        <v>303</v>
      </c>
      <c r="L1558" t="s">
        <v>112</v>
      </c>
      <c r="M1558" t="s">
        <v>113</v>
      </c>
      <c r="R1558" t="s">
        <v>9160</v>
      </c>
      <c r="S1558" t="s">
        <v>626</v>
      </c>
      <c r="T1558" t="s">
        <v>116</v>
      </c>
      <c r="U1558" t="s">
        <v>117</v>
      </c>
      <c r="V1558" t="str">
        <f>"142102324"</f>
        <v>142102324</v>
      </c>
      <c r="AC1558" t="s">
        <v>119</v>
      </c>
      <c r="AD1558" t="s">
        <v>113</v>
      </c>
      <c r="AE1558" t="s">
        <v>306</v>
      </c>
      <c r="AG1558" t="s">
        <v>121</v>
      </c>
    </row>
    <row r="1559" spans="1:33" x14ac:dyDescent="0.25">
      <c r="A1559" t="str">
        <f>"1760636146"</f>
        <v>1760636146</v>
      </c>
      <c r="B1559" t="str">
        <f>"03437969"</f>
        <v>03437969</v>
      </c>
      <c r="C1559" t="s">
        <v>9161</v>
      </c>
      <c r="D1559" t="s">
        <v>9162</v>
      </c>
      <c r="E1559" t="s">
        <v>9163</v>
      </c>
      <c r="G1559" t="s">
        <v>9161</v>
      </c>
      <c r="H1559" t="s">
        <v>9164</v>
      </c>
      <c r="J1559" t="s">
        <v>9165</v>
      </c>
      <c r="L1559" t="s">
        <v>142</v>
      </c>
      <c r="M1559" t="s">
        <v>113</v>
      </c>
      <c r="R1559" t="s">
        <v>9166</v>
      </c>
      <c r="W1559" t="s">
        <v>9163</v>
      </c>
      <c r="X1559" t="s">
        <v>176</v>
      </c>
      <c r="Y1559" t="s">
        <v>116</v>
      </c>
      <c r="Z1559" t="s">
        <v>117</v>
      </c>
      <c r="AA1559" t="str">
        <f>"14203-1126"</f>
        <v>14203-1126</v>
      </c>
      <c r="AB1559" t="s">
        <v>118</v>
      </c>
      <c r="AC1559" t="s">
        <v>119</v>
      </c>
      <c r="AD1559" t="s">
        <v>113</v>
      </c>
      <c r="AE1559" t="s">
        <v>120</v>
      </c>
      <c r="AG1559" t="s">
        <v>121</v>
      </c>
    </row>
    <row r="1560" spans="1:33" x14ac:dyDescent="0.25">
      <c r="A1560" t="str">
        <f>"1760654586"</f>
        <v>1760654586</v>
      </c>
      <c r="B1560" t="str">
        <f>"03506943"</f>
        <v>03506943</v>
      </c>
      <c r="C1560" t="s">
        <v>9167</v>
      </c>
      <c r="D1560" t="s">
        <v>9168</v>
      </c>
      <c r="E1560" t="s">
        <v>9169</v>
      </c>
      <c r="G1560" t="s">
        <v>9169</v>
      </c>
      <c r="H1560" t="s">
        <v>4813</v>
      </c>
      <c r="L1560" t="s">
        <v>150</v>
      </c>
      <c r="M1560" t="s">
        <v>113</v>
      </c>
      <c r="R1560" t="s">
        <v>9169</v>
      </c>
      <c r="W1560" t="s">
        <v>9169</v>
      </c>
      <c r="X1560" t="s">
        <v>9170</v>
      </c>
      <c r="Y1560" t="s">
        <v>153</v>
      </c>
      <c r="Z1560" t="s">
        <v>117</v>
      </c>
      <c r="AA1560" t="str">
        <f>"14301-1841"</f>
        <v>14301-1841</v>
      </c>
      <c r="AB1560" t="s">
        <v>118</v>
      </c>
      <c r="AC1560" t="s">
        <v>119</v>
      </c>
      <c r="AD1560" t="s">
        <v>113</v>
      </c>
      <c r="AE1560" t="s">
        <v>120</v>
      </c>
      <c r="AG1560" t="s">
        <v>121</v>
      </c>
    </row>
    <row r="1561" spans="1:33" x14ac:dyDescent="0.25">
      <c r="A1561" t="str">
        <f>"1326460767"</f>
        <v>1326460767</v>
      </c>
      <c r="C1561" t="s">
        <v>9171</v>
      </c>
      <c r="G1561" t="s">
        <v>9172</v>
      </c>
      <c r="H1561" t="s">
        <v>351</v>
      </c>
      <c r="J1561" t="s">
        <v>352</v>
      </c>
      <c r="K1561" t="s">
        <v>303</v>
      </c>
      <c r="L1561" t="s">
        <v>229</v>
      </c>
      <c r="M1561" t="s">
        <v>113</v>
      </c>
      <c r="R1561" t="s">
        <v>9173</v>
      </c>
      <c r="S1561" t="s">
        <v>354</v>
      </c>
      <c r="T1561" t="s">
        <v>116</v>
      </c>
      <c r="U1561" t="s">
        <v>117</v>
      </c>
      <c r="V1561" t="str">
        <f>"142152814"</f>
        <v>142152814</v>
      </c>
      <c r="AC1561" t="s">
        <v>119</v>
      </c>
      <c r="AD1561" t="s">
        <v>113</v>
      </c>
      <c r="AE1561" t="s">
        <v>306</v>
      </c>
      <c r="AG1561" t="s">
        <v>121</v>
      </c>
    </row>
    <row r="1562" spans="1:33" x14ac:dyDescent="0.25">
      <c r="A1562" t="str">
        <f>"1326463258"</f>
        <v>1326463258</v>
      </c>
      <c r="C1562" t="s">
        <v>9174</v>
      </c>
      <c r="G1562" t="s">
        <v>9175</v>
      </c>
      <c r="H1562" t="s">
        <v>351</v>
      </c>
      <c r="J1562" t="s">
        <v>352</v>
      </c>
      <c r="K1562" t="s">
        <v>303</v>
      </c>
      <c r="L1562" t="s">
        <v>229</v>
      </c>
      <c r="M1562" t="s">
        <v>113</v>
      </c>
      <c r="R1562" t="s">
        <v>9176</v>
      </c>
      <c r="S1562" t="s">
        <v>354</v>
      </c>
      <c r="T1562" t="s">
        <v>116</v>
      </c>
      <c r="U1562" t="s">
        <v>117</v>
      </c>
      <c r="V1562" t="str">
        <f>"142152814"</f>
        <v>142152814</v>
      </c>
      <c r="AC1562" t="s">
        <v>119</v>
      </c>
      <c r="AD1562" t="s">
        <v>113</v>
      </c>
      <c r="AE1562" t="s">
        <v>306</v>
      </c>
      <c r="AG1562" t="s">
        <v>121</v>
      </c>
    </row>
    <row r="1563" spans="1:33" x14ac:dyDescent="0.25">
      <c r="A1563" t="str">
        <f>"1215143029"</f>
        <v>1215143029</v>
      </c>
      <c r="B1563" t="str">
        <f>"00708205"</f>
        <v>00708205</v>
      </c>
      <c r="C1563" t="s">
        <v>3490</v>
      </c>
      <c r="D1563" t="s">
        <v>8198</v>
      </c>
      <c r="E1563" t="s">
        <v>8199</v>
      </c>
      <c r="G1563" t="s">
        <v>8200</v>
      </c>
      <c r="H1563" t="s">
        <v>3494</v>
      </c>
      <c r="J1563" t="s">
        <v>3495</v>
      </c>
      <c r="L1563" t="s">
        <v>8201</v>
      </c>
      <c r="M1563" t="s">
        <v>199</v>
      </c>
      <c r="R1563" t="s">
        <v>3490</v>
      </c>
      <c r="W1563" t="s">
        <v>8202</v>
      </c>
      <c r="X1563" t="s">
        <v>253</v>
      </c>
      <c r="Y1563" t="s">
        <v>116</v>
      </c>
      <c r="Z1563" t="s">
        <v>117</v>
      </c>
      <c r="AA1563" t="str">
        <f>"14215-3021"</f>
        <v>14215-3021</v>
      </c>
      <c r="AB1563" t="s">
        <v>979</v>
      </c>
      <c r="AC1563" t="s">
        <v>119</v>
      </c>
      <c r="AD1563" t="s">
        <v>113</v>
      </c>
      <c r="AE1563" t="s">
        <v>120</v>
      </c>
      <c r="AG1563" t="s">
        <v>121</v>
      </c>
    </row>
    <row r="1564" spans="1:33" x14ac:dyDescent="0.25">
      <c r="A1564" t="str">
        <f>"1336102458"</f>
        <v>1336102458</v>
      </c>
      <c r="B1564" t="str">
        <f>"01086497"</f>
        <v>01086497</v>
      </c>
      <c r="C1564" t="s">
        <v>9184</v>
      </c>
      <c r="D1564" t="s">
        <v>9185</v>
      </c>
      <c r="E1564" t="s">
        <v>9186</v>
      </c>
      <c r="G1564" t="s">
        <v>9187</v>
      </c>
      <c r="H1564" t="s">
        <v>579</v>
      </c>
      <c r="J1564" t="s">
        <v>9188</v>
      </c>
      <c r="L1564" t="s">
        <v>142</v>
      </c>
      <c r="M1564" t="s">
        <v>113</v>
      </c>
      <c r="R1564" t="s">
        <v>9189</v>
      </c>
      <c r="W1564" t="s">
        <v>9186</v>
      </c>
      <c r="X1564" t="s">
        <v>1405</v>
      </c>
      <c r="Y1564" t="s">
        <v>153</v>
      </c>
      <c r="Z1564" t="s">
        <v>117</v>
      </c>
      <c r="AA1564" t="str">
        <f>"14301-1841"</f>
        <v>14301-1841</v>
      </c>
      <c r="AB1564" t="s">
        <v>118</v>
      </c>
      <c r="AC1564" t="s">
        <v>119</v>
      </c>
      <c r="AD1564" t="s">
        <v>113</v>
      </c>
      <c r="AE1564" t="s">
        <v>120</v>
      </c>
      <c r="AG1564" t="s">
        <v>121</v>
      </c>
    </row>
    <row r="1565" spans="1:33" x14ac:dyDescent="0.25">
      <c r="A1565" t="str">
        <f>"1336104694"</f>
        <v>1336104694</v>
      </c>
      <c r="B1565" t="str">
        <f>"00604297"</f>
        <v>00604297</v>
      </c>
      <c r="C1565" t="s">
        <v>9190</v>
      </c>
      <c r="D1565" t="s">
        <v>9191</v>
      </c>
      <c r="E1565" t="s">
        <v>9192</v>
      </c>
      <c r="G1565" t="s">
        <v>9190</v>
      </c>
      <c r="H1565" t="s">
        <v>9193</v>
      </c>
      <c r="J1565" t="s">
        <v>9194</v>
      </c>
      <c r="L1565" t="s">
        <v>150</v>
      </c>
      <c r="M1565" t="s">
        <v>113</v>
      </c>
      <c r="R1565" t="s">
        <v>9195</v>
      </c>
      <c r="W1565" t="s">
        <v>9192</v>
      </c>
      <c r="X1565" t="s">
        <v>9196</v>
      </c>
      <c r="Y1565" t="s">
        <v>958</v>
      </c>
      <c r="Z1565" t="s">
        <v>117</v>
      </c>
      <c r="AA1565" t="str">
        <f>"14226-2201"</f>
        <v>14226-2201</v>
      </c>
      <c r="AB1565" t="s">
        <v>118</v>
      </c>
      <c r="AC1565" t="s">
        <v>119</v>
      </c>
      <c r="AD1565" t="s">
        <v>113</v>
      </c>
      <c r="AE1565" t="s">
        <v>120</v>
      </c>
      <c r="AG1565" t="s">
        <v>121</v>
      </c>
    </row>
    <row r="1566" spans="1:33" x14ac:dyDescent="0.25">
      <c r="A1566" t="str">
        <f>"1336110048"</f>
        <v>1336110048</v>
      </c>
      <c r="B1566" t="str">
        <f>"01047185"</f>
        <v>01047185</v>
      </c>
      <c r="C1566" t="s">
        <v>9197</v>
      </c>
      <c r="D1566" t="s">
        <v>9198</v>
      </c>
      <c r="E1566" t="s">
        <v>9199</v>
      </c>
      <c r="G1566" t="s">
        <v>9197</v>
      </c>
      <c r="H1566" t="s">
        <v>9200</v>
      </c>
      <c r="J1566" t="s">
        <v>9201</v>
      </c>
      <c r="L1566" t="s">
        <v>142</v>
      </c>
      <c r="M1566" t="s">
        <v>113</v>
      </c>
      <c r="R1566" t="s">
        <v>9202</v>
      </c>
      <c r="W1566" t="s">
        <v>9199</v>
      </c>
      <c r="X1566" t="s">
        <v>176</v>
      </c>
      <c r="Y1566" t="s">
        <v>116</v>
      </c>
      <c r="Z1566" t="s">
        <v>117</v>
      </c>
      <c r="AA1566" t="str">
        <f>"14203-1126"</f>
        <v>14203-1126</v>
      </c>
      <c r="AB1566" t="s">
        <v>118</v>
      </c>
      <c r="AC1566" t="s">
        <v>119</v>
      </c>
      <c r="AD1566" t="s">
        <v>113</v>
      </c>
      <c r="AE1566" t="s">
        <v>120</v>
      </c>
      <c r="AG1566" t="s">
        <v>121</v>
      </c>
    </row>
    <row r="1567" spans="1:33" x14ac:dyDescent="0.25">
      <c r="A1567" t="str">
        <f>"1336113810"</f>
        <v>1336113810</v>
      </c>
      <c r="B1567" t="str">
        <f>"03455089"</f>
        <v>03455089</v>
      </c>
      <c r="C1567" t="s">
        <v>9203</v>
      </c>
      <c r="D1567" t="s">
        <v>9204</v>
      </c>
      <c r="E1567" t="s">
        <v>9205</v>
      </c>
      <c r="G1567" t="s">
        <v>9203</v>
      </c>
      <c r="H1567" t="s">
        <v>2591</v>
      </c>
      <c r="L1567" t="s">
        <v>229</v>
      </c>
      <c r="M1567" t="s">
        <v>113</v>
      </c>
      <c r="R1567" t="s">
        <v>9203</v>
      </c>
      <c r="W1567" t="s">
        <v>9205</v>
      </c>
      <c r="X1567" t="s">
        <v>9206</v>
      </c>
      <c r="Y1567" t="s">
        <v>153</v>
      </c>
      <c r="Z1567" t="s">
        <v>117</v>
      </c>
      <c r="AA1567" t="str">
        <f>"14304-2878"</f>
        <v>14304-2878</v>
      </c>
      <c r="AB1567" t="s">
        <v>872</v>
      </c>
      <c r="AC1567" t="s">
        <v>119</v>
      </c>
      <c r="AD1567" t="s">
        <v>113</v>
      </c>
      <c r="AE1567" t="s">
        <v>120</v>
      </c>
      <c r="AG1567" t="s">
        <v>121</v>
      </c>
    </row>
    <row r="1568" spans="1:33" x14ac:dyDescent="0.25">
      <c r="A1568" t="str">
        <f>"1336121524"</f>
        <v>1336121524</v>
      </c>
      <c r="B1568" t="str">
        <f>"01244839"</f>
        <v>01244839</v>
      </c>
      <c r="C1568" t="s">
        <v>9207</v>
      </c>
      <c r="D1568" t="s">
        <v>9208</v>
      </c>
      <c r="E1568" t="s">
        <v>9209</v>
      </c>
      <c r="G1568" t="s">
        <v>9207</v>
      </c>
      <c r="H1568" t="s">
        <v>9210</v>
      </c>
      <c r="J1568" t="s">
        <v>9211</v>
      </c>
      <c r="L1568" t="s">
        <v>142</v>
      </c>
      <c r="M1568" t="s">
        <v>113</v>
      </c>
      <c r="R1568" t="s">
        <v>9212</v>
      </c>
      <c r="W1568" t="s">
        <v>9209</v>
      </c>
      <c r="X1568" t="s">
        <v>1275</v>
      </c>
      <c r="Y1568" t="s">
        <v>116</v>
      </c>
      <c r="Z1568" t="s">
        <v>117</v>
      </c>
      <c r="AA1568" t="str">
        <f>"14214-8001"</f>
        <v>14214-8001</v>
      </c>
      <c r="AB1568" t="s">
        <v>118</v>
      </c>
      <c r="AC1568" t="s">
        <v>119</v>
      </c>
      <c r="AD1568" t="s">
        <v>113</v>
      </c>
      <c r="AE1568" t="s">
        <v>120</v>
      </c>
      <c r="AG1568" t="s">
        <v>121</v>
      </c>
    </row>
    <row r="1569" spans="1:33" x14ac:dyDescent="0.25">
      <c r="A1569" t="str">
        <f>"1336143742"</f>
        <v>1336143742</v>
      </c>
      <c r="B1569" t="str">
        <f>"00755784"</f>
        <v>00755784</v>
      </c>
      <c r="C1569" t="s">
        <v>9213</v>
      </c>
      <c r="D1569" t="s">
        <v>9214</v>
      </c>
      <c r="E1569" t="s">
        <v>9215</v>
      </c>
      <c r="G1569" t="s">
        <v>9213</v>
      </c>
      <c r="H1569" t="s">
        <v>4197</v>
      </c>
      <c r="J1569" t="s">
        <v>9216</v>
      </c>
      <c r="L1569" t="s">
        <v>112</v>
      </c>
      <c r="M1569" t="s">
        <v>113</v>
      </c>
      <c r="R1569" t="s">
        <v>9217</v>
      </c>
      <c r="W1569" t="s">
        <v>9218</v>
      </c>
      <c r="X1569" t="s">
        <v>2601</v>
      </c>
      <c r="Y1569" t="s">
        <v>153</v>
      </c>
      <c r="Z1569" t="s">
        <v>117</v>
      </c>
      <c r="AA1569" t="str">
        <f>"14304-3072"</f>
        <v>14304-3072</v>
      </c>
      <c r="AB1569" t="s">
        <v>118</v>
      </c>
      <c r="AC1569" t="s">
        <v>119</v>
      </c>
      <c r="AD1569" t="s">
        <v>113</v>
      </c>
      <c r="AE1569" t="s">
        <v>120</v>
      </c>
      <c r="AG1569" t="s">
        <v>121</v>
      </c>
    </row>
    <row r="1570" spans="1:33" x14ac:dyDescent="0.25">
      <c r="A1570" t="str">
        <f>"1336146984"</f>
        <v>1336146984</v>
      </c>
      <c r="B1570" t="str">
        <f>"01504636"</f>
        <v>01504636</v>
      </c>
      <c r="C1570" t="s">
        <v>9219</v>
      </c>
      <c r="D1570" t="s">
        <v>9220</v>
      </c>
      <c r="E1570" t="s">
        <v>9221</v>
      </c>
      <c r="G1570" t="s">
        <v>9219</v>
      </c>
      <c r="H1570" t="s">
        <v>9222</v>
      </c>
      <c r="J1570" t="s">
        <v>9223</v>
      </c>
      <c r="L1570" t="s">
        <v>142</v>
      </c>
      <c r="M1570" t="s">
        <v>113</v>
      </c>
      <c r="R1570" t="s">
        <v>9224</v>
      </c>
      <c r="W1570" t="s">
        <v>9225</v>
      </c>
      <c r="X1570" t="s">
        <v>9226</v>
      </c>
      <c r="Y1570" t="s">
        <v>129</v>
      </c>
      <c r="Z1570" t="s">
        <v>117</v>
      </c>
      <c r="AA1570" t="str">
        <f>"14224-2655"</f>
        <v>14224-2655</v>
      </c>
      <c r="AB1570" t="s">
        <v>118</v>
      </c>
      <c r="AC1570" t="s">
        <v>119</v>
      </c>
      <c r="AD1570" t="s">
        <v>113</v>
      </c>
      <c r="AE1570" t="s">
        <v>120</v>
      </c>
      <c r="AG1570" t="s">
        <v>121</v>
      </c>
    </row>
    <row r="1571" spans="1:33" x14ac:dyDescent="0.25">
      <c r="A1571" t="str">
        <f>"1336166131"</f>
        <v>1336166131</v>
      </c>
      <c r="B1571" t="str">
        <f>"00481952"</f>
        <v>00481952</v>
      </c>
      <c r="C1571" t="s">
        <v>9227</v>
      </c>
      <c r="D1571" t="s">
        <v>9228</v>
      </c>
      <c r="E1571" t="s">
        <v>9229</v>
      </c>
      <c r="G1571" t="s">
        <v>9227</v>
      </c>
      <c r="H1571" t="s">
        <v>3464</v>
      </c>
      <c r="J1571" t="s">
        <v>9230</v>
      </c>
      <c r="L1571" t="s">
        <v>142</v>
      </c>
      <c r="M1571" t="s">
        <v>113</v>
      </c>
      <c r="R1571" t="s">
        <v>9231</v>
      </c>
      <c r="W1571" t="s">
        <v>9229</v>
      </c>
      <c r="X1571" t="s">
        <v>9232</v>
      </c>
      <c r="Y1571" t="s">
        <v>116</v>
      </c>
      <c r="Z1571" t="s">
        <v>117</v>
      </c>
      <c r="AA1571" t="str">
        <f>"14222"</f>
        <v>14222</v>
      </c>
      <c r="AB1571" t="s">
        <v>118</v>
      </c>
      <c r="AC1571" t="s">
        <v>119</v>
      </c>
      <c r="AD1571" t="s">
        <v>113</v>
      </c>
      <c r="AE1571" t="s">
        <v>120</v>
      </c>
      <c r="AG1571" t="s">
        <v>121</v>
      </c>
    </row>
    <row r="1572" spans="1:33" x14ac:dyDescent="0.25">
      <c r="A1572" t="str">
        <f>"1336168285"</f>
        <v>1336168285</v>
      </c>
      <c r="B1572" t="str">
        <f>"02321300"</f>
        <v>02321300</v>
      </c>
      <c r="C1572" t="s">
        <v>9233</v>
      </c>
      <c r="D1572" t="s">
        <v>9234</v>
      </c>
      <c r="E1572" t="s">
        <v>9235</v>
      </c>
      <c r="G1572" t="s">
        <v>9233</v>
      </c>
      <c r="H1572" t="s">
        <v>9236</v>
      </c>
      <c r="J1572" t="s">
        <v>9237</v>
      </c>
      <c r="L1572" t="s">
        <v>142</v>
      </c>
      <c r="M1572" t="s">
        <v>113</v>
      </c>
      <c r="R1572" t="s">
        <v>9238</v>
      </c>
      <c r="W1572" t="s">
        <v>9235</v>
      </c>
      <c r="X1572" t="s">
        <v>9239</v>
      </c>
      <c r="Y1572" t="s">
        <v>116</v>
      </c>
      <c r="Z1572" t="s">
        <v>117</v>
      </c>
      <c r="AA1572" t="str">
        <f>"14215-3098"</f>
        <v>14215-3098</v>
      </c>
      <c r="AB1572" t="s">
        <v>118</v>
      </c>
      <c r="AC1572" t="s">
        <v>119</v>
      </c>
      <c r="AD1572" t="s">
        <v>113</v>
      </c>
      <c r="AE1572" t="s">
        <v>120</v>
      </c>
      <c r="AG1572" t="s">
        <v>121</v>
      </c>
    </row>
    <row r="1573" spans="1:33" x14ac:dyDescent="0.25">
      <c r="A1573" t="str">
        <f>"1336170729"</f>
        <v>1336170729</v>
      </c>
      <c r="B1573" t="str">
        <f>"02649085"</f>
        <v>02649085</v>
      </c>
      <c r="C1573" t="s">
        <v>9240</v>
      </c>
      <c r="D1573" t="s">
        <v>9241</v>
      </c>
      <c r="E1573" t="s">
        <v>9242</v>
      </c>
      <c r="G1573" t="s">
        <v>9240</v>
      </c>
      <c r="H1573" t="s">
        <v>9243</v>
      </c>
      <c r="J1573" t="s">
        <v>9244</v>
      </c>
      <c r="L1573" t="s">
        <v>150</v>
      </c>
      <c r="M1573" t="s">
        <v>113</v>
      </c>
      <c r="R1573" t="s">
        <v>9242</v>
      </c>
      <c r="W1573" t="s">
        <v>9242</v>
      </c>
      <c r="X1573" t="s">
        <v>3963</v>
      </c>
      <c r="Y1573" t="s">
        <v>240</v>
      </c>
      <c r="Z1573" t="s">
        <v>117</v>
      </c>
      <c r="AA1573" t="str">
        <f>"14221-5771"</f>
        <v>14221-5771</v>
      </c>
      <c r="AB1573" t="s">
        <v>118</v>
      </c>
      <c r="AC1573" t="s">
        <v>119</v>
      </c>
      <c r="AD1573" t="s">
        <v>113</v>
      </c>
      <c r="AE1573" t="s">
        <v>120</v>
      </c>
      <c r="AG1573" t="s">
        <v>121</v>
      </c>
    </row>
    <row r="1574" spans="1:33" x14ac:dyDescent="0.25">
      <c r="A1574" t="str">
        <f>"1457401184"</f>
        <v>1457401184</v>
      </c>
      <c r="B1574" t="str">
        <f>"03058091"</f>
        <v>03058091</v>
      </c>
      <c r="C1574" t="s">
        <v>9245</v>
      </c>
      <c r="D1574" t="s">
        <v>9246</v>
      </c>
      <c r="E1574" t="s">
        <v>9247</v>
      </c>
      <c r="G1574" t="s">
        <v>9248</v>
      </c>
      <c r="H1574" t="s">
        <v>2929</v>
      </c>
      <c r="J1574" t="s">
        <v>9249</v>
      </c>
      <c r="L1574" t="s">
        <v>1033</v>
      </c>
      <c r="M1574" t="s">
        <v>113</v>
      </c>
      <c r="R1574" t="s">
        <v>9250</v>
      </c>
      <c r="W1574" t="s">
        <v>9251</v>
      </c>
      <c r="X1574" t="s">
        <v>6742</v>
      </c>
      <c r="Y1574" t="s">
        <v>153</v>
      </c>
      <c r="Z1574" t="s">
        <v>117</v>
      </c>
      <c r="AA1574" t="str">
        <f>"14301-1201"</f>
        <v>14301-1201</v>
      </c>
      <c r="AB1574" t="s">
        <v>621</v>
      </c>
      <c r="AC1574" t="s">
        <v>119</v>
      </c>
      <c r="AD1574" t="s">
        <v>113</v>
      </c>
      <c r="AE1574" t="s">
        <v>120</v>
      </c>
      <c r="AG1574" t="s">
        <v>121</v>
      </c>
    </row>
    <row r="1575" spans="1:33" x14ac:dyDescent="0.25">
      <c r="A1575" t="str">
        <f>"1295860708"</f>
        <v>1295860708</v>
      </c>
      <c r="C1575" t="s">
        <v>9252</v>
      </c>
      <c r="G1575" t="s">
        <v>9253</v>
      </c>
      <c r="H1575" t="s">
        <v>9254</v>
      </c>
      <c r="J1575" t="s">
        <v>1266</v>
      </c>
      <c r="K1575" t="s">
        <v>303</v>
      </c>
      <c r="L1575" t="s">
        <v>229</v>
      </c>
      <c r="M1575" t="s">
        <v>113</v>
      </c>
      <c r="R1575" t="s">
        <v>9255</v>
      </c>
      <c r="S1575" t="s">
        <v>9256</v>
      </c>
      <c r="T1575" t="s">
        <v>9257</v>
      </c>
      <c r="U1575" t="s">
        <v>117</v>
      </c>
      <c r="V1575" t="str">
        <f>"14742"</f>
        <v>14742</v>
      </c>
      <c r="AC1575" t="s">
        <v>119</v>
      </c>
      <c r="AD1575" t="s">
        <v>113</v>
      </c>
      <c r="AE1575" t="s">
        <v>306</v>
      </c>
      <c r="AG1575" t="s">
        <v>121</v>
      </c>
    </row>
    <row r="1576" spans="1:33" x14ac:dyDescent="0.25">
      <c r="A1576" t="str">
        <f>"1295926327"</f>
        <v>1295926327</v>
      </c>
      <c r="B1576" t="str">
        <f>"02952789"</f>
        <v>02952789</v>
      </c>
      <c r="C1576" t="s">
        <v>9258</v>
      </c>
      <c r="D1576" t="s">
        <v>9259</v>
      </c>
      <c r="E1576" t="s">
        <v>9260</v>
      </c>
      <c r="G1576" t="s">
        <v>9258</v>
      </c>
      <c r="H1576" t="s">
        <v>213</v>
      </c>
      <c r="J1576" t="s">
        <v>9261</v>
      </c>
      <c r="L1576" t="s">
        <v>142</v>
      </c>
      <c r="M1576" t="s">
        <v>113</v>
      </c>
      <c r="R1576" t="s">
        <v>9262</v>
      </c>
      <c r="W1576" t="s">
        <v>9260</v>
      </c>
      <c r="X1576" t="s">
        <v>176</v>
      </c>
      <c r="Y1576" t="s">
        <v>116</v>
      </c>
      <c r="Z1576" t="s">
        <v>117</v>
      </c>
      <c r="AA1576" t="str">
        <f>"14203-1126"</f>
        <v>14203-1126</v>
      </c>
      <c r="AB1576" t="s">
        <v>118</v>
      </c>
      <c r="AC1576" t="s">
        <v>119</v>
      </c>
      <c r="AD1576" t="s">
        <v>113</v>
      </c>
      <c r="AE1576" t="s">
        <v>120</v>
      </c>
      <c r="AG1576" t="s">
        <v>121</v>
      </c>
    </row>
    <row r="1577" spans="1:33" x14ac:dyDescent="0.25">
      <c r="A1577" t="str">
        <f>"1295934446"</f>
        <v>1295934446</v>
      </c>
      <c r="B1577" t="str">
        <f>"02948534"</f>
        <v>02948534</v>
      </c>
      <c r="C1577" t="s">
        <v>9263</v>
      </c>
      <c r="D1577" t="s">
        <v>9264</v>
      </c>
      <c r="E1577" t="s">
        <v>9265</v>
      </c>
      <c r="G1577" t="s">
        <v>9263</v>
      </c>
      <c r="H1577" t="s">
        <v>630</v>
      </c>
      <c r="J1577" t="s">
        <v>9266</v>
      </c>
      <c r="L1577" t="s">
        <v>142</v>
      </c>
      <c r="M1577" t="s">
        <v>113</v>
      </c>
      <c r="R1577" t="s">
        <v>9267</v>
      </c>
      <c r="W1577" t="s">
        <v>9268</v>
      </c>
      <c r="X1577" t="s">
        <v>253</v>
      </c>
      <c r="Y1577" t="s">
        <v>116</v>
      </c>
      <c r="Z1577" t="s">
        <v>117</v>
      </c>
      <c r="AA1577" t="str">
        <f>"14215-3021"</f>
        <v>14215-3021</v>
      </c>
      <c r="AB1577" t="s">
        <v>118</v>
      </c>
      <c r="AC1577" t="s">
        <v>119</v>
      </c>
      <c r="AD1577" t="s">
        <v>113</v>
      </c>
      <c r="AE1577" t="s">
        <v>120</v>
      </c>
      <c r="AG1577" t="s">
        <v>121</v>
      </c>
    </row>
    <row r="1578" spans="1:33" x14ac:dyDescent="0.25">
      <c r="A1578" t="str">
        <f>"1295981181"</f>
        <v>1295981181</v>
      </c>
      <c r="B1578" t="str">
        <f>"03112310"</f>
        <v>03112310</v>
      </c>
      <c r="C1578" t="s">
        <v>9269</v>
      </c>
      <c r="D1578" t="s">
        <v>9270</v>
      </c>
      <c r="E1578" t="s">
        <v>9271</v>
      </c>
      <c r="G1578" t="s">
        <v>9269</v>
      </c>
      <c r="H1578" t="s">
        <v>172</v>
      </c>
      <c r="J1578" t="s">
        <v>9272</v>
      </c>
      <c r="L1578" t="s">
        <v>150</v>
      </c>
      <c r="M1578" t="s">
        <v>113</v>
      </c>
      <c r="R1578" t="s">
        <v>9273</v>
      </c>
      <c r="W1578" t="s">
        <v>9274</v>
      </c>
      <c r="X1578" t="s">
        <v>682</v>
      </c>
      <c r="Y1578" t="s">
        <v>326</v>
      </c>
      <c r="Z1578" t="s">
        <v>117</v>
      </c>
      <c r="AA1578" t="str">
        <f>"14127-1934"</f>
        <v>14127-1934</v>
      </c>
      <c r="AB1578" t="s">
        <v>118</v>
      </c>
      <c r="AC1578" t="s">
        <v>119</v>
      </c>
      <c r="AD1578" t="s">
        <v>113</v>
      </c>
      <c r="AE1578" t="s">
        <v>120</v>
      </c>
      <c r="AG1578" t="s">
        <v>121</v>
      </c>
    </row>
    <row r="1579" spans="1:33" x14ac:dyDescent="0.25">
      <c r="A1579" t="str">
        <f>"1295983021"</f>
        <v>1295983021</v>
      </c>
      <c r="C1579" t="s">
        <v>9275</v>
      </c>
      <c r="G1579" t="s">
        <v>9276</v>
      </c>
      <c r="J1579" t="s">
        <v>352</v>
      </c>
      <c r="K1579" t="s">
        <v>303</v>
      </c>
      <c r="L1579" t="s">
        <v>112</v>
      </c>
      <c r="M1579" t="s">
        <v>113</v>
      </c>
      <c r="R1579" t="s">
        <v>9277</v>
      </c>
      <c r="S1579" t="s">
        <v>409</v>
      </c>
      <c r="T1579" t="s">
        <v>116</v>
      </c>
      <c r="U1579" t="s">
        <v>117</v>
      </c>
      <c r="V1579" t="str">
        <f>"142152814"</f>
        <v>142152814</v>
      </c>
      <c r="AC1579" t="s">
        <v>119</v>
      </c>
      <c r="AD1579" t="s">
        <v>113</v>
      </c>
      <c r="AE1579" t="s">
        <v>306</v>
      </c>
      <c r="AG1579" t="s">
        <v>121</v>
      </c>
    </row>
    <row r="1580" spans="1:33" x14ac:dyDescent="0.25">
      <c r="A1580" t="str">
        <f>"1295996908"</f>
        <v>1295996908</v>
      </c>
      <c r="B1580" t="str">
        <f>"03319697"</f>
        <v>03319697</v>
      </c>
      <c r="C1580" t="s">
        <v>9278</v>
      </c>
      <c r="D1580" t="s">
        <v>9279</v>
      </c>
      <c r="E1580" t="s">
        <v>9280</v>
      </c>
      <c r="G1580" t="s">
        <v>9281</v>
      </c>
      <c r="H1580" t="s">
        <v>9282</v>
      </c>
      <c r="J1580" t="s">
        <v>9283</v>
      </c>
      <c r="L1580" t="s">
        <v>142</v>
      </c>
      <c r="M1580" t="s">
        <v>113</v>
      </c>
      <c r="R1580" t="s">
        <v>9284</v>
      </c>
      <c r="W1580" t="s">
        <v>9280</v>
      </c>
      <c r="X1580" t="s">
        <v>1727</v>
      </c>
      <c r="Y1580" t="s">
        <v>192</v>
      </c>
      <c r="Z1580" t="s">
        <v>117</v>
      </c>
      <c r="AA1580" t="str">
        <f>"14020-1631"</f>
        <v>14020-1631</v>
      </c>
      <c r="AB1580" t="s">
        <v>118</v>
      </c>
      <c r="AC1580" t="s">
        <v>119</v>
      </c>
      <c r="AD1580" t="s">
        <v>113</v>
      </c>
      <c r="AE1580" t="s">
        <v>120</v>
      </c>
      <c r="AG1580" t="s">
        <v>121</v>
      </c>
    </row>
    <row r="1581" spans="1:33" x14ac:dyDescent="0.25">
      <c r="A1581" t="str">
        <f>"1295999308"</f>
        <v>1295999308</v>
      </c>
      <c r="B1581" t="str">
        <f>"03717017"</f>
        <v>03717017</v>
      </c>
      <c r="C1581" t="s">
        <v>9285</v>
      </c>
      <c r="D1581" t="s">
        <v>9286</v>
      </c>
      <c r="E1581" t="s">
        <v>9287</v>
      </c>
      <c r="G1581" t="s">
        <v>9285</v>
      </c>
      <c r="H1581" t="s">
        <v>9288</v>
      </c>
      <c r="J1581" t="s">
        <v>9289</v>
      </c>
      <c r="L1581" t="s">
        <v>142</v>
      </c>
      <c r="M1581" t="s">
        <v>113</v>
      </c>
      <c r="R1581" t="s">
        <v>9290</v>
      </c>
      <c r="W1581" t="s">
        <v>9287</v>
      </c>
      <c r="X1581" t="s">
        <v>216</v>
      </c>
      <c r="Y1581" t="s">
        <v>116</v>
      </c>
      <c r="Z1581" t="s">
        <v>117</v>
      </c>
      <c r="AA1581" t="str">
        <f>"14222-2006"</f>
        <v>14222-2006</v>
      </c>
      <c r="AB1581" t="s">
        <v>118</v>
      </c>
      <c r="AC1581" t="s">
        <v>119</v>
      </c>
      <c r="AD1581" t="s">
        <v>113</v>
      </c>
      <c r="AE1581" t="s">
        <v>120</v>
      </c>
      <c r="AG1581" t="s">
        <v>121</v>
      </c>
    </row>
    <row r="1582" spans="1:33" x14ac:dyDescent="0.25">
      <c r="A1582" t="str">
        <f>"1306004932"</f>
        <v>1306004932</v>
      </c>
      <c r="C1582" t="s">
        <v>9291</v>
      </c>
      <c r="G1582" t="s">
        <v>9292</v>
      </c>
      <c r="H1582" t="s">
        <v>9293</v>
      </c>
      <c r="J1582" t="s">
        <v>9294</v>
      </c>
      <c r="K1582" t="s">
        <v>303</v>
      </c>
      <c r="L1582" t="s">
        <v>112</v>
      </c>
      <c r="M1582" t="s">
        <v>113</v>
      </c>
      <c r="R1582" t="s">
        <v>9295</v>
      </c>
      <c r="S1582" t="s">
        <v>9296</v>
      </c>
      <c r="T1582" t="s">
        <v>2946</v>
      </c>
      <c r="U1582" t="s">
        <v>117</v>
      </c>
      <c r="V1582" t="str">
        <f>"140754905"</f>
        <v>140754905</v>
      </c>
      <c r="AC1582" t="s">
        <v>119</v>
      </c>
      <c r="AD1582" t="s">
        <v>113</v>
      </c>
      <c r="AE1582" t="s">
        <v>306</v>
      </c>
      <c r="AG1582" t="s">
        <v>121</v>
      </c>
    </row>
    <row r="1583" spans="1:33" x14ac:dyDescent="0.25">
      <c r="A1583" t="str">
        <f>"1306007091"</f>
        <v>1306007091</v>
      </c>
      <c r="B1583" t="str">
        <f>"03389026"</f>
        <v>03389026</v>
      </c>
      <c r="C1583" t="s">
        <v>9297</v>
      </c>
      <c r="D1583" t="s">
        <v>9298</v>
      </c>
      <c r="E1583" t="s">
        <v>9299</v>
      </c>
      <c r="G1583" t="s">
        <v>9300</v>
      </c>
      <c r="H1583" t="s">
        <v>9301</v>
      </c>
      <c r="J1583" t="s">
        <v>1387</v>
      </c>
      <c r="L1583" t="s">
        <v>150</v>
      </c>
      <c r="M1583" t="s">
        <v>113</v>
      </c>
      <c r="R1583" t="s">
        <v>9302</v>
      </c>
      <c r="W1583" t="s">
        <v>9299</v>
      </c>
      <c r="X1583" t="s">
        <v>9303</v>
      </c>
      <c r="Y1583" t="s">
        <v>305</v>
      </c>
      <c r="Z1583" t="s">
        <v>117</v>
      </c>
      <c r="AA1583" t="str">
        <f>"14760-1858"</f>
        <v>14760-1858</v>
      </c>
      <c r="AB1583" t="s">
        <v>118</v>
      </c>
      <c r="AC1583" t="s">
        <v>119</v>
      </c>
      <c r="AD1583" t="s">
        <v>113</v>
      </c>
      <c r="AE1583" t="s">
        <v>120</v>
      </c>
      <c r="AG1583" t="s">
        <v>121</v>
      </c>
    </row>
    <row r="1584" spans="1:33" x14ac:dyDescent="0.25">
      <c r="A1584" t="str">
        <f>"1306009451"</f>
        <v>1306009451</v>
      </c>
      <c r="B1584" t="str">
        <f>"03653041"</f>
        <v>03653041</v>
      </c>
      <c r="C1584" t="s">
        <v>9304</v>
      </c>
      <c r="D1584" t="s">
        <v>9305</v>
      </c>
      <c r="E1584" t="s">
        <v>9306</v>
      </c>
      <c r="G1584" t="s">
        <v>9304</v>
      </c>
      <c r="J1584" t="s">
        <v>9307</v>
      </c>
      <c r="L1584" t="s">
        <v>142</v>
      </c>
      <c r="M1584" t="s">
        <v>113</v>
      </c>
      <c r="R1584" t="s">
        <v>9306</v>
      </c>
      <c r="W1584" t="s">
        <v>9306</v>
      </c>
      <c r="X1584" t="s">
        <v>176</v>
      </c>
      <c r="Y1584" t="s">
        <v>116</v>
      </c>
      <c r="Z1584" t="s">
        <v>117</v>
      </c>
      <c r="AA1584" t="str">
        <f>"14203-1126"</f>
        <v>14203-1126</v>
      </c>
      <c r="AB1584" t="s">
        <v>118</v>
      </c>
      <c r="AC1584" t="s">
        <v>119</v>
      </c>
      <c r="AD1584" t="s">
        <v>113</v>
      </c>
      <c r="AE1584" t="s">
        <v>120</v>
      </c>
      <c r="AG1584" t="s">
        <v>121</v>
      </c>
    </row>
    <row r="1585" spans="1:33" x14ac:dyDescent="0.25">
      <c r="A1585" t="str">
        <f>"1023275401"</f>
        <v>1023275401</v>
      </c>
      <c r="C1585" t="s">
        <v>9308</v>
      </c>
      <c r="G1585" t="s">
        <v>9309</v>
      </c>
      <c r="H1585" t="s">
        <v>351</v>
      </c>
      <c r="J1585" t="s">
        <v>352</v>
      </c>
      <c r="K1585" t="s">
        <v>303</v>
      </c>
      <c r="L1585" t="s">
        <v>229</v>
      </c>
      <c r="M1585" t="s">
        <v>113</v>
      </c>
      <c r="R1585" t="s">
        <v>9310</v>
      </c>
      <c r="S1585" t="s">
        <v>409</v>
      </c>
      <c r="T1585" t="s">
        <v>116</v>
      </c>
      <c r="U1585" t="s">
        <v>117</v>
      </c>
      <c r="V1585" t="str">
        <f>"142152814"</f>
        <v>142152814</v>
      </c>
      <c r="AC1585" t="s">
        <v>119</v>
      </c>
      <c r="AD1585" t="s">
        <v>113</v>
      </c>
      <c r="AE1585" t="s">
        <v>306</v>
      </c>
      <c r="AG1585" t="s">
        <v>121</v>
      </c>
    </row>
    <row r="1586" spans="1:33" x14ac:dyDescent="0.25">
      <c r="A1586" t="str">
        <f>"1023278082"</f>
        <v>1023278082</v>
      </c>
      <c r="B1586" t="str">
        <f>"02987662"</f>
        <v>02987662</v>
      </c>
      <c r="C1586" t="s">
        <v>9311</v>
      </c>
      <c r="D1586" t="s">
        <v>9312</v>
      </c>
      <c r="E1586" t="s">
        <v>9313</v>
      </c>
      <c r="G1586" t="s">
        <v>9314</v>
      </c>
      <c r="H1586" t="s">
        <v>9315</v>
      </c>
      <c r="L1586" t="s">
        <v>150</v>
      </c>
      <c r="M1586" t="s">
        <v>113</v>
      </c>
      <c r="R1586" t="s">
        <v>9314</v>
      </c>
      <c r="W1586" t="s">
        <v>9316</v>
      </c>
      <c r="X1586" t="s">
        <v>9317</v>
      </c>
      <c r="Y1586" t="s">
        <v>153</v>
      </c>
      <c r="Z1586" t="s">
        <v>117</v>
      </c>
      <c r="AA1586" t="str">
        <f>"14304-5705"</f>
        <v>14304-5705</v>
      </c>
      <c r="AB1586" t="s">
        <v>118</v>
      </c>
      <c r="AC1586" t="s">
        <v>119</v>
      </c>
      <c r="AD1586" t="s">
        <v>113</v>
      </c>
      <c r="AE1586" t="s">
        <v>120</v>
      </c>
      <c r="AG1586" t="s">
        <v>121</v>
      </c>
    </row>
    <row r="1587" spans="1:33" x14ac:dyDescent="0.25">
      <c r="A1587" t="str">
        <f>"1023284361"</f>
        <v>1023284361</v>
      </c>
      <c r="C1587" t="s">
        <v>9318</v>
      </c>
      <c r="G1587" t="s">
        <v>9319</v>
      </c>
      <c r="J1587" t="s">
        <v>9320</v>
      </c>
      <c r="K1587" t="s">
        <v>303</v>
      </c>
      <c r="L1587" t="s">
        <v>112</v>
      </c>
      <c r="M1587" t="s">
        <v>113</v>
      </c>
      <c r="R1587" t="s">
        <v>9321</v>
      </c>
      <c r="S1587" t="s">
        <v>9322</v>
      </c>
      <c r="T1587" t="s">
        <v>958</v>
      </c>
      <c r="U1587" t="s">
        <v>117</v>
      </c>
      <c r="V1587" t="str">
        <f>"142261200"</f>
        <v>142261200</v>
      </c>
      <c r="AC1587" t="s">
        <v>119</v>
      </c>
      <c r="AD1587" t="s">
        <v>113</v>
      </c>
      <c r="AE1587" t="s">
        <v>306</v>
      </c>
      <c r="AG1587" t="s">
        <v>121</v>
      </c>
    </row>
    <row r="1588" spans="1:33" x14ac:dyDescent="0.25">
      <c r="A1588" t="str">
        <f>"1023312709"</f>
        <v>1023312709</v>
      </c>
      <c r="B1588" t="str">
        <f>"03431587"</f>
        <v>03431587</v>
      </c>
      <c r="C1588" t="s">
        <v>9323</v>
      </c>
      <c r="D1588" t="s">
        <v>9324</v>
      </c>
      <c r="E1588" t="s">
        <v>9325</v>
      </c>
      <c r="G1588" t="s">
        <v>9323</v>
      </c>
      <c r="H1588" t="s">
        <v>9326</v>
      </c>
      <c r="J1588" t="s">
        <v>9327</v>
      </c>
      <c r="L1588" t="s">
        <v>112</v>
      </c>
      <c r="M1588" t="s">
        <v>113</v>
      </c>
      <c r="R1588" t="s">
        <v>9325</v>
      </c>
      <c r="W1588" t="s">
        <v>9325</v>
      </c>
      <c r="X1588" t="s">
        <v>838</v>
      </c>
      <c r="Y1588" t="s">
        <v>240</v>
      </c>
      <c r="Z1588" t="s">
        <v>117</v>
      </c>
      <c r="AA1588" t="str">
        <f>"14221-3647"</f>
        <v>14221-3647</v>
      </c>
      <c r="AB1588" t="s">
        <v>118</v>
      </c>
      <c r="AC1588" t="s">
        <v>119</v>
      </c>
      <c r="AD1588" t="s">
        <v>113</v>
      </c>
      <c r="AE1588" t="s">
        <v>120</v>
      </c>
      <c r="AG1588" t="s">
        <v>121</v>
      </c>
    </row>
    <row r="1589" spans="1:33" x14ac:dyDescent="0.25">
      <c r="A1589" t="str">
        <f>"1023354503"</f>
        <v>1023354503</v>
      </c>
      <c r="C1589" t="s">
        <v>9328</v>
      </c>
      <c r="G1589" t="s">
        <v>9329</v>
      </c>
      <c r="H1589" t="s">
        <v>351</v>
      </c>
      <c r="J1589" t="s">
        <v>352</v>
      </c>
      <c r="K1589" t="s">
        <v>303</v>
      </c>
      <c r="L1589" t="s">
        <v>229</v>
      </c>
      <c r="M1589" t="s">
        <v>113</v>
      </c>
      <c r="R1589" t="s">
        <v>9330</v>
      </c>
      <c r="S1589" t="s">
        <v>354</v>
      </c>
      <c r="T1589" t="s">
        <v>116</v>
      </c>
      <c r="U1589" t="s">
        <v>117</v>
      </c>
      <c r="V1589" t="str">
        <f>"142152814"</f>
        <v>142152814</v>
      </c>
      <c r="AC1589" t="s">
        <v>119</v>
      </c>
      <c r="AD1589" t="s">
        <v>113</v>
      </c>
      <c r="AE1589" t="s">
        <v>306</v>
      </c>
      <c r="AG1589" t="s">
        <v>121</v>
      </c>
    </row>
    <row r="1590" spans="1:33" x14ac:dyDescent="0.25">
      <c r="A1590" t="str">
        <f>"1033101720"</f>
        <v>1033101720</v>
      </c>
      <c r="B1590" t="str">
        <f>"01745091"</f>
        <v>01745091</v>
      </c>
      <c r="C1590" t="s">
        <v>9331</v>
      </c>
      <c r="D1590" t="s">
        <v>9332</v>
      </c>
      <c r="E1590" t="s">
        <v>9333</v>
      </c>
      <c r="G1590" t="s">
        <v>1393</v>
      </c>
      <c r="H1590" t="s">
        <v>7609</v>
      </c>
      <c r="J1590" t="s">
        <v>1395</v>
      </c>
      <c r="L1590" t="s">
        <v>150</v>
      </c>
      <c r="M1590" t="s">
        <v>113</v>
      </c>
      <c r="R1590" t="s">
        <v>9334</v>
      </c>
      <c r="W1590" t="s">
        <v>9333</v>
      </c>
      <c r="X1590" t="s">
        <v>9335</v>
      </c>
      <c r="Y1590" t="s">
        <v>7612</v>
      </c>
      <c r="Z1590" t="s">
        <v>117</v>
      </c>
      <c r="AA1590" t="str">
        <f>"14530-1342"</f>
        <v>14530-1342</v>
      </c>
      <c r="AB1590" t="s">
        <v>118</v>
      </c>
      <c r="AC1590" t="s">
        <v>119</v>
      </c>
      <c r="AD1590" t="s">
        <v>113</v>
      </c>
      <c r="AE1590" t="s">
        <v>120</v>
      </c>
      <c r="AG1590" t="s">
        <v>121</v>
      </c>
    </row>
    <row r="1591" spans="1:33" x14ac:dyDescent="0.25">
      <c r="A1591" t="str">
        <f>"1033117809"</f>
        <v>1033117809</v>
      </c>
      <c r="B1591" t="str">
        <f>"01856573"</f>
        <v>01856573</v>
      </c>
      <c r="C1591" t="s">
        <v>9336</v>
      </c>
      <c r="D1591" t="s">
        <v>9337</v>
      </c>
      <c r="E1591" t="s">
        <v>9338</v>
      </c>
      <c r="G1591" t="s">
        <v>9336</v>
      </c>
      <c r="H1591" t="s">
        <v>6168</v>
      </c>
      <c r="J1591" t="s">
        <v>9339</v>
      </c>
      <c r="L1591" t="s">
        <v>150</v>
      </c>
      <c r="M1591" t="s">
        <v>199</v>
      </c>
      <c r="R1591" t="s">
        <v>9340</v>
      </c>
      <c r="W1591" t="s">
        <v>9338</v>
      </c>
      <c r="X1591" t="s">
        <v>933</v>
      </c>
      <c r="Y1591" t="s">
        <v>116</v>
      </c>
      <c r="Z1591" t="s">
        <v>117</v>
      </c>
      <c r="AA1591" t="str">
        <f>"14222-2006"</f>
        <v>14222-2006</v>
      </c>
      <c r="AB1591" t="s">
        <v>118</v>
      </c>
      <c r="AC1591" t="s">
        <v>119</v>
      </c>
      <c r="AD1591" t="s">
        <v>113</v>
      </c>
      <c r="AE1591" t="s">
        <v>120</v>
      </c>
      <c r="AG1591" t="s">
        <v>121</v>
      </c>
    </row>
    <row r="1592" spans="1:33" x14ac:dyDescent="0.25">
      <c r="A1592" t="str">
        <f>"1033123773"</f>
        <v>1033123773</v>
      </c>
      <c r="B1592" t="str">
        <f>"01075754"</f>
        <v>01075754</v>
      </c>
      <c r="C1592" t="s">
        <v>9341</v>
      </c>
      <c r="D1592" t="s">
        <v>9342</v>
      </c>
      <c r="E1592" t="s">
        <v>9343</v>
      </c>
      <c r="G1592" t="s">
        <v>9341</v>
      </c>
      <c r="H1592" t="s">
        <v>937</v>
      </c>
      <c r="J1592" t="s">
        <v>9344</v>
      </c>
      <c r="L1592" t="s">
        <v>142</v>
      </c>
      <c r="M1592" t="s">
        <v>113</v>
      </c>
      <c r="R1592" t="s">
        <v>9345</v>
      </c>
      <c r="W1592" t="s">
        <v>9343</v>
      </c>
      <c r="Y1592" t="s">
        <v>116</v>
      </c>
      <c r="Z1592" t="s">
        <v>117</v>
      </c>
      <c r="AA1592" t="str">
        <f>"14209-1194"</f>
        <v>14209-1194</v>
      </c>
      <c r="AB1592" t="s">
        <v>118</v>
      </c>
      <c r="AC1592" t="s">
        <v>119</v>
      </c>
      <c r="AD1592" t="s">
        <v>113</v>
      </c>
      <c r="AE1592" t="s">
        <v>120</v>
      </c>
      <c r="AG1592" t="s">
        <v>121</v>
      </c>
    </row>
    <row r="1593" spans="1:33" x14ac:dyDescent="0.25">
      <c r="A1593" t="str">
        <f>"1134184328"</f>
        <v>1134184328</v>
      </c>
      <c r="B1593" t="str">
        <f>"02067816"</f>
        <v>02067816</v>
      </c>
      <c r="C1593" t="s">
        <v>9346</v>
      </c>
      <c r="D1593" t="s">
        <v>9347</v>
      </c>
      <c r="E1593" t="s">
        <v>9348</v>
      </c>
      <c r="G1593" t="s">
        <v>9346</v>
      </c>
      <c r="H1593" t="s">
        <v>205</v>
      </c>
      <c r="J1593" t="s">
        <v>9349</v>
      </c>
      <c r="L1593" t="s">
        <v>150</v>
      </c>
      <c r="M1593" t="s">
        <v>113</v>
      </c>
      <c r="R1593" t="s">
        <v>9350</v>
      </c>
      <c r="W1593" t="s">
        <v>9348</v>
      </c>
      <c r="X1593" t="s">
        <v>2607</v>
      </c>
      <c r="Y1593" t="s">
        <v>116</v>
      </c>
      <c r="Z1593" t="s">
        <v>117</v>
      </c>
      <c r="AA1593" t="str">
        <f>"14203-1149"</f>
        <v>14203-1149</v>
      </c>
      <c r="AB1593" t="s">
        <v>118</v>
      </c>
      <c r="AC1593" t="s">
        <v>119</v>
      </c>
      <c r="AD1593" t="s">
        <v>113</v>
      </c>
      <c r="AE1593" t="s">
        <v>120</v>
      </c>
      <c r="AG1593" t="s">
        <v>121</v>
      </c>
    </row>
    <row r="1594" spans="1:33" x14ac:dyDescent="0.25">
      <c r="A1594" t="str">
        <f>"1134185754"</f>
        <v>1134185754</v>
      </c>
      <c r="B1594" t="str">
        <f>"01632613"</f>
        <v>01632613</v>
      </c>
      <c r="C1594" t="s">
        <v>9351</v>
      </c>
      <c r="D1594" t="s">
        <v>9352</v>
      </c>
      <c r="E1594" t="s">
        <v>9353</v>
      </c>
      <c r="G1594" t="s">
        <v>9351</v>
      </c>
      <c r="H1594" t="s">
        <v>205</v>
      </c>
      <c r="J1594" t="s">
        <v>9354</v>
      </c>
      <c r="L1594" t="s">
        <v>142</v>
      </c>
      <c r="M1594" t="s">
        <v>113</v>
      </c>
      <c r="R1594" t="s">
        <v>9355</v>
      </c>
      <c r="W1594" t="s">
        <v>9353</v>
      </c>
      <c r="X1594" t="s">
        <v>9356</v>
      </c>
      <c r="Y1594" t="s">
        <v>240</v>
      </c>
      <c r="Z1594" t="s">
        <v>117</v>
      </c>
      <c r="AA1594" t="str">
        <f>"14221-6239"</f>
        <v>14221-6239</v>
      </c>
      <c r="AB1594" t="s">
        <v>118</v>
      </c>
      <c r="AC1594" t="s">
        <v>119</v>
      </c>
      <c r="AD1594" t="s">
        <v>113</v>
      </c>
      <c r="AE1594" t="s">
        <v>120</v>
      </c>
      <c r="AG1594" t="s">
        <v>121</v>
      </c>
    </row>
    <row r="1595" spans="1:33" x14ac:dyDescent="0.25">
      <c r="A1595" t="str">
        <f>"1134185952"</f>
        <v>1134185952</v>
      </c>
      <c r="B1595" t="str">
        <f>"02676424"</f>
        <v>02676424</v>
      </c>
      <c r="C1595" t="s">
        <v>9357</v>
      </c>
      <c r="D1595" t="s">
        <v>9358</v>
      </c>
      <c r="E1595" t="s">
        <v>9359</v>
      </c>
      <c r="G1595" t="s">
        <v>9357</v>
      </c>
      <c r="H1595" t="s">
        <v>9360</v>
      </c>
      <c r="J1595" t="s">
        <v>9361</v>
      </c>
      <c r="L1595" t="s">
        <v>150</v>
      </c>
      <c r="M1595" t="s">
        <v>113</v>
      </c>
      <c r="R1595" t="s">
        <v>9362</v>
      </c>
      <c r="W1595" t="s">
        <v>9363</v>
      </c>
      <c r="X1595" t="s">
        <v>4765</v>
      </c>
      <c r="Y1595" t="s">
        <v>116</v>
      </c>
      <c r="Z1595" t="s">
        <v>117</v>
      </c>
      <c r="AA1595" t="str">
        <f>"14209-1802"</f>
        <v>14209-1802</v>
      </c>
      <c r="AB1595" t="s">
        <v>118</v>
      </c>
      <c r="AC1595" t="s">
        <v>119</v>
      </c>
      <c r="AD1595" t="s">
        <v>113</v>
      </c>
      <c r="AE1595" t="s">
        <v>120</v>
      </c>
      <c r="AG1595" t="s">
        <v>121</v>
      </c>
    </row>
    <row r="1596" spans="1:33" x14ac:dyDescent="0.25">
      <c r="A1596" t="str">
        <f>"1134191026"</f>
        <v>1134191026</v>
      </c>
      <c r="B1596" t="str">
        <f>"01435863"</f>
        <v>01435863</v>
      </c>
      <c r="C1596" t="s">
        <v>9364</v>
      </c>
      <c r="D1596" t="s">
        <v>9365</v>
      </c>
      <c r="E1596" t="s">
        <v>9366</v>
      </c>
      <c r="G1596" t="s">
        <v>9364</v>
      </c>
      <c r="H1596" t="s">
        <v>5690</v>
      </c>
      <c r="J1596" t="s">
        <v>9367</v>
      </c>
      <c r="L1596" t="s">
        <v>150</v>
      </c>
      <c r="M1596" t="s">
        <v>199</v>
      </c>
      <c r="R1596" t="s">
        <v>9368</v>
      </c>
      <c r="W1596" t="s">
        <v>9366</v>
      </c>
      <c r="X1596" t="s">
        <v>136</v>
      </c>
      <c r="Y1596" t="s">
        <v>116</v>
      </c>
      <c r="Z1596" t="s">
        <v>117</v>
      </c>
      <c r="AA1596" t="str">
        <f>"14209-1120"</f>
        <v>14209-1120</v>
      </c>
      <c r="AB1596" t="s">
        <v>118</v>
      </c>
      <c r="AC1596" t="s">
        <v>119</v>
      </c>
      <c r="AD1596" t="s">
        <v>113</v>
      </c>
      <c r="AE1596" t="s">
        <v>120</v>
      </c>
      <c r="AG1596" t="s">
        <v>121</v>
      </c>
    </row>
    <row r="1597" spans="1:33" x14ac:dyDescent="0.25">
      <c r="A1597" t="str">
        <f>"1134192404"</f>
        <v>1134192404</v>
      </c>
      <c r="B1597" t="str">
        <f>"02095518"</f>
        <v>02095518</v>
      </c>
      <c r="C1597" t="s">
        <v>9369</v>
      </c>
      <c r="D1597" t="s">
        <v>9370</v>
      </c>
      <c r="E1597" t="s">
        <v>9371</v>
      </c>
      <c r="G1597" t="s">
        <v>9369</v>
      </c>
      <c r="H1597" t="s">
        <v>9372</v>
      </c>
      <c r="J1597" t="s">
        <v>9373</v>
      </c>
      <c r="L1597" t="s">
        <v>112</v>
      </c>
      <c r="M1597" t="s">
        <v>113</v>
      </c>
      <c r="R1597" t="s">
        <v>9374</v>
      </c>
      <c r="W1597" t="s">
        <v>9371</v>
      </c>
      <c r="X1597" t="s">
        <v>2761</v>
      </c>
      <c r="Y1597" t="s">
        <v>2762</v>
      </c>
      <c r="Z1597" t="s">
        <v>117</v>
      </c>
      <c r="AA1597" t="str">
        <f>"14642-0001"</f>
        <v>14642-0001</v>
      </c>
      <c r="AB1597" t="s">
        <v>118</v>
      </c>
      <c r="AC1597" t="s">
        <v>119</v>
      </c>
      <c r="AD1597" t="s">
        <v>113</v>
      </c>
      <c r="AE1597" t="s">
        <v>120</v>
      </c>
      <c r="AG1597" t="s">
        <v>121</v>
      </c>
    </row>
    <row r="1598" spans="1:33" x14ac:dyDescent="0.25">
      <c r="A1598" t="str">
        <f>"1225015621"</f>
        <v>1225015621</v>
      </c>
      <c r="B1598" t="str">
        <f>"01548690"</f>
        <v>01548690</v>
      </c>
      <c r="C1598" t="s">
        <v>9375</v>
      </c>
      <c r="D1598" t="s">
        <v>9376</v>
      </c>
      <c r="E1598" t="s">
        <v>9377</v>
      </c>
      <c r="G1598" t="s">
        <v>9375</v>
      </c>
      <c r="H1598" t="s">
        <v>9378</v>
      </c>
      <c r="J1598" t="s">
        <v>9379</v>
      </c>
      <c r="L1598" t="s">
        <v>150</v>
      </c>
      <c r="M1598" t="s">
        <v>113</v>
      </c>
      <c r="R1598" t="s">
        <v>9380</v>
      </c>
      <c r="W1598" t="s">
        <v>9377</v>
      </c>
      <c r="X1598" t="s">
        <v>9381</v>
      </c>
      <c r="Y1598" t="s">
        <v>318</v>
      </c>
      <c r="Z1598" t="s">
        <v>117</v>
      </c>
      <c r="AA1598" t="str">
        <f>"14225-4558"</f>
        <v>14225-4558</v>
      </c>
      <c r="AB1598" t="s">
        <v>118</v>
      </c>
      <c r="AC1598" t="s">
        <v>119</v>
      </c>
      <c r="AD1598" t="s">
        <v>113</v>
      </c>
      <c r="AE1598" t="s">
        <v>120</v>
      </c>
      <c r="AG1598" t="s">
        <v>121</v>
      </c>
    </row>
    <row r="1599" spans="1:33" x14ac:dyDescent="0.25">
      <c r="A1599" t="str">
        <f>"1225033236"</f>
        <v>1225033236</v>
      </c>
      <c r="B1599" t="str">
        <f>"00631714"</f>
        <v>00631714</v>
      </c>
      <c r="C1599" t="s">
        <v>9382</v>
      </c>
      <c r="D1599" t="s">
        <v>9383</v>
      </c>
      <c r="E1599" t="s">
        <v>9384</v>
      </c>
      <c r="G1599" t="s">
        <v>9382</v>
      </c>
      <c r="H1599" t="s">
        <v>9385</v>
      </c>
      <c r="L1599" t="s">
        <v>142</v>
      </c>
      <c r="M1599" t="s">
        <v>113</v>
      </c>
      <c r="R1599" t="s">
        <v>9386</v>
      </c>
      <c r="W1599" t="s">
        <v>9384</v>
      </c>
      <c r="X1599" t="s">
        <v>9387</v>
      </c>
      <c r="Y1599" t="s">
        <v>268</v>
      </c>
      <c r="Z1599" t="s">
        <v>117</v>
      </c>
      <c r="AA1599" t="str">
        <f>"14150-9405"</f>
        <v>14150-9405</v>
      </c>
      <c r="AB1599" t="s">
        <v>118</v>
      </c>
      <c r="AC1599" t="s">
        <v>119</v>
      </c>
      <c r="AD1599" t="s">
        <v>113</v>
      </c>
      <c r="AE1599" t="s">
        <v>120</v>
      </c>
      <c r="AG1599" t="s">
        <v>121</v>
      </c>
    </row>
    <row r="1600" spans="1:33" x14ac:dyDescent="0.25">
      <c r="A1600" t="str">
        <f>"1225038581"</f>
        <v>1225038581</v>
      </c>
      <c r="B1600" t="str">
        <f>"01657414"</f>
        <v>01657414</v>
      </c>
      <c r="C1600" t="s">
        <v>9388</v>
      </c>
      <c r="D1600" t="s">
        <v>9389</v>
      </c>
      <c r="E1600" t="s">
        <v>9390</v>
      </c>
      <c r="G1600" t="s">
        <v>9388</v>
      </c>
      <c r="H1600" t="s">
        <v>1835</v>
      </c>
      <c r="J1600" t="s">
        <v>9391</v>
      </c>
      <c r="L1600" t="s">
        <v>150</v>
      </c>
      <c r="M1600" t="s">
        <v>113</v>
      </c>
      <c r="R1600" t="s">
        <v>9392</v>
      </c>
      <c r="W1600" t="s">
        <v>9390</v>
      </c>
      <c r="X1600" t="s">
        <v>1838</v>
      </c>
      <c r="Y1600" t="s">
        <v>240</v>
      </c>
      <c r="Z1600" t="s">
        <v>117</v>
      </c>
      <c r="AA1600" t="str">
        <f>"14221-8602"</f>
        <v>14221-8602</v>
      </c>
      <c r="AB1600" t="s">
        <v>118</v>
      </c>
      <c r="AC1600" t="s">
        <v>119</v>
      </c>
      <c r="AD1600" t="s">
        <v>113</v>
      </c>
      <c r="AE1600" t="s">
        <v>120</v>
      </c>
      <c r="AG1600" t="s">
        <v>121</v>
      </c>
    </row>
    <row r="1601" spans="1:33" x14ac:dyDescent="0.25">
      <c r="A1601" t="str">
        <f>"1225052285"</f>
        <v>1225052285</v>
      </c>
      <c r="B1601" t="str">
        <f>"02310869"</f>
        <v>02310869</v>
      </c>
      <c r="C1601" t="s">
        <v>9393</v>
      </c>
      <c r="D1601" t="s">
        <v>9394</v>
      </c>
      <c r="E1601" t="s">
        <v>9395</v>
      </c>
      <c r="G1601" t="s">
        <v>9393</v>
      </c>
      <c r="H1601" t="s">
        <v>227</v>
      </c>
      <c r="J1601" t="s">
        <v>9396</v>
      </c>
      <c r="L1601" t="s">
        <v>142</v>
      </c>
      <c r="M1601" t="s">
        <v>113</v>
      </c>
      <c r="R1601" t="s">
        <v>9397</v>
      </c>
      <c r="W1601" t="s">
        <v>9395</v>
      </c>
      <c r="X1601" t="s">
        <v>9398</v>
      </c>
      <c r="Y1601" t="s">
        <v>9399</v>
      </c>
      <c r="Z1601" t="s">
        <v>1535</v>
      </c>
      <c r="AA1601" t="str">
        <f>"19130-3136"</f>
        <v>19130-3136</v>
      </c>
      <c r="AB1601" t="s">
        <v>118</v>
      </c>
      <c r="AC1601" t="s">
        <v>119</v>
      </c>
      <c r="AD1601" t="s">
        <v>113</v>
      </c>
      <c r="AE1601" t="s">
        <v>120</v>
      </c>
      <c r="AG1601" t="s">
        <v>121</v>
      </c>
    </row>
    <row r="1602" spans="1:33" x14ac:dyDescent="0.25">
      <c r="A1602" t="str">
        <f>"1225053036"</f>
        <v>1225053036</v>
      </c>
      <c r="B1602" t="str">
        <f>"03413590"</f>
        <v>03413590</v>
      </c>
      <c r="C1602" t="s">
        <v>9400</v>
      </c>
      <c r="D1602" t="s">
        <v>9401</v>
      </c>
      <c r="E1602" t="s">
        <v>9402</v>
      </c>
      <c r="G1602" t="s">
        <v>9400</v>
      </c>
      <c r="H1602" t="s">
        <v>227</v>
      </c>
      <c r="J1602" t="s">
        <v>9403</v>
      </c>
      <c r="L1602" t="s">
        <v>142</v>
      </c>
      <c r="M1602" t="s">
        <v>113</v>
      </c>
      <c r="R1602" t="s">
        <v>9402</v>
      </c>
      <c r="W1602" t="s">
        <v>9402</v>
      </c>
      <c r="X1602" t="s">
        <v>9404</v>
      </c>
      <c r="Y1602" t="s">
        <v>9405</v>
      </c>
      <c r="Z1602" t="s">
        <v>117</v>
      </c>
      <c r="AA1602" t="str">
        <f>"12771-2253"</f>
        <v>12771-2253</v>
      </c>
      <c r="AB1602" t="s">
        <v>118</v>
      </c>
      <c r="AC1602" t="s">
        <v>119</v>
      </c>
      <c r="AD1602" t="s">
        <v>113</v>
      </c>
      <c r="AE1602" t="s">
        <v>120</v>
      </c>
      <c r="AG1602" t="s">
        <v>121</v>
      </c>
    </row>
    <row r="1603" spans="1:33" x14ac:dyDescent="0.25">
      <c r="A1603" t="str">
        <f>"1225060452"</f>
        <v>1225060452</v>
      </c>
      <c r="B1603" t="str">
        <f>"02827012"</f>
        <v>02827012</v>
      </c>
      <c r="C1603" t="s">
        <v>9406</v>
      </c>
      <c r="D1603" t="s">
        <v>9407</v>
      </c>
      <c r="E1603" t="s">
        <v>9408</v>
      </c>
      <c r="H1603" t="s">
        <v>9409</v>
      </c>
      <c r="L1603" t="s">
        <v>112</v>
      </c>
      <c r="M1603" t="s">
        <v>199</v>
      </c>
      <c r="R1603" t="s">
        <v>9410</v>
      </c>
      <c r="W1603" t="s">
        <v>9411</v>
      </c>
      <c r="X1603" t="s">
        <v>9412</v>
      </c>
      <c r="Y1603" t="s">
        <v>153</v>
      </c>
      <c r="Z1603" t="s">
        <v>117</v>
      </c>
      <c r="AA1603" t="str">
        <f>"14301-2309"</f>
        <v>14301-2309</v>
      </c>
      <c r="AB1603" t="s">
        <v>634</v>
      </c>
      <c r="AC1603" t="s">
        <v>119</v>
      </c>
      <c r="AD1603" t="s">
        <v>113</v>
      </c>
      <c r="AE1603" t="s">
        <v>120</v>
      </c>
      <c r="AG1603" t="s">
        <v>121</v>
      </c>
    </row>
    <row r="1604" spans="1:33" x14ac:dyDescent="0.25">
      <c r="A1604" t="str">
        <f>"1003006727"</f>
        <v>1003006727</v>
      </c>
      <c r="B1604" t="str">
        <f>"03236880"</f>
        <v>03236880</v>
      </c>
      <c r="C1604" t="s">
        <v>9413</v>
      </c>
      <c r="D1604" t="s">
        <v>9414</v>
      </c>
      <c r="E1604" t="s">
        <v>9415</v>
      </c>
      <c r="G1604" t="s">
        <v>9413</v>
      </c>
      <c r="H1604" t="s">
        <v>9416</v>
      </c>
      <c r="J1604" t="s">
        <v>9417</v>
      </c>
      <c r="L1604" t="s">
        <v>142</v>
      </c>
      <c r="M1604" t="s">
        <v>113</v>
      </c>
      <c r="R1604" t="s">
        <v>9418</v>
      </c>
      <c r="W1604" t="s">
        <v>9415</v>
      </c>
      <c r="X1604" t="s">
        <v>136</v>
      </c>
      <c r="Y1604" t="s">
        <v>116</v>
      </c>
      <c r="Z1604" t="s">
        <v>117</v>
      </c>
      <c r="AA1604" t="str">
        <f>"14209-1120"</f>
        <v>14209-1120</v>
      </c>
      <c r="AB1604" t="s">
        <v>118</v>
      </c>
      <c r="AC1604" t="s">
        <v>119</v>
      </c>
      <c r="AD1604" t="s">
        <v>113</v>
      </c>
      <c r="AE1604" t="s">
        <v>120</v>
      </c>
      <c r="AG1604" t="s">
        <v>121</v>
      </c>
    </row>
    <row r="1605" spans="1:33" x14ac:dyDescent="0.25">
      <c r="A1605" t="str">
        <f>"1013974245"</f>
        <v>1013974245</v>
      </c>
      <c r="B1605" t="str">
        <f>"01592869"</f>
        <v>01592869</v>
      </c>
      <c r="C1605" t="s">
        <v>9419</v>
      </c>
      <c r="D1605" t="s">
        <v>9420</v>
      </c>
      <c r="E1605" t="s">
        <v>9421</v>
      </c>
      <c r="G1605" t="s">
        <v>9422</v>
      </c>
      <c r="H1605" t="s">
        <v>205</v>
      </c>
      <c r="J1605" t="s">
        <v>9423</v>
      </c>
      <c r="L1605" t="s">
        <v>142</v>
      </c>
      <c r="M1605" t="s">
        <v>113</v>
      </c>
      <c r="R1605" t="s">
        <v>9424</v>
      </c>
      <c r="W1605" t="s">
        <v>9421</v>
      </c>
      <c r="X1605" t="s">
        <v>9425</v>
      </c>
      <c r="Y1605" t="s">
        <v>2762</v>
      </c>
      <c r="Z1605" t="s">
        <v>117</v>
      </c>
      <c r="AA1605" t="str">
        <f>"14642-0002"</f>
        <v>14642-0002</v>
      </c>
      <c r="AB1605" t="s">
        <v>118</v>
      </c>
      <c r="AC1605" t="s">
        <v>119</v>
      </c>
      <c r="AD1605" t="s">
        <v>113</v>
      </c>
      <c r="AE1605" t="s">
        <v>120</v>
      </c>
      <c r="AG1605" t="s">
        <v>121</v>
      </c>
    </row>
    <row r="1606" spans="1:33" x14ac:dyDescent="0.25">
      <c r="A1606" t="str">
        <f>"1013975895"</f>
        <v>1013975895</v>
      </c>
      <c r="B1606" t="str">
        <f>"02625074"</f>
        <v>02625074</v>
      </c>
      <c r="C1606" t="s">
        <v>9426</v>
      </c>
      <c r="D1606" t="s">
        <v>9427</v>
      </c>
      <c r="E1606" t="s">
        <v>9428</v>
      </c>
      <c r="G1606" t="s">
        <v>9426</v>
      </c>
      <c r="H1606" t="s">
        <v>908</v>
      </c>
      <c r="J1606" t="s">
        <v>9429</v>
      </c>
      <c r="L1606" t="s">
        <v>142</v>
      </c>
      <c r="M1606" t="s">
        <v>113</v>
      </c>
      <c r="R1606" t="s">
        <v>9430</v>
      </c>
      <c r="W1606" t="s">
        <v>9428</v>
      </c>
      <c r="X1606" t="s">
        <v>8346</v>
      </c>
      <c r="Y1606" t="s">
        <v>116</v>
      </c>
      <c r="Z1606" t="s">
        <v>117</v>
      </c>
      <c r="AA1606" t="str">
        <f>"14203-1154"</f>
        <v>14203-1154</v>
      </c>
      <c r="AB1606" t="s">
        <v>118</v>
      </c>
      <c r="AC1606" t="s">
        <v>119</v>
      </c>
      <c r="AD1606" t="s">
        <v>113</v>
      </c>
      <c r="AE1606" t="s">
        <v>120</v>
      </c>
      <c r="AG1606" t="s">
        <v>121</v>
      </c>
    </row>
    <row r="1607" spans="1:33" x14ac:dyDescent="0.25">
      <c r="A1607" t="str">
        <f>"1013981836"</f>
        <v>1013981836</v>
      </c>
      <c r="B1607" t="str">
        <f>"01713666"</f>
        <v>01713666</v>
      </c>
      <c r="C1607" t="s">
        <v>9431</v>
      </c>
      <c r="D1607" t="s">
        <v>9432</v>
      </c>
      <c r="E1607" t="s">
        <v>9433</v>
      </c>
      <c r="G1607" t="s">
        <v>9431</v>
      </c>
      <c r="H1607" t="s">
        <v>559</v>
      </c>
      <c r="J1607" t="s">
        <v>9434</v>
      </c>
      <c r="L1607" t="s">
        <v>142</v>
      </c>
      <c r="M1607" t="s">
        <v>113</v>
      </c>
      <c r="R1607" t="s">
        <v>9435</v>
      </c>
      <c r="W1607" t="s">
        <v>9433</v>
      </c>
      <c r="X1607" t="s">
        <v>9436</v>
      </c>
      <c r="Y1607" t="s">
        <v>240</v>
      </c>
      <c r="Z1607" t="s">
        <v>117</v>
      </c>
      <c r="AA1607" t="str">
        <f>"14221-2930"</f>
        <v>14221-2930</v>
      </c>
      <c r="AB1607" t="s">
        <v>118</v>
      </c>
      <c r="AC1607" t="s">
        <v>119</v>
      </c>
      <c r="AD1607" t="s">
        <v>113</v>
      </c>
      <c r="AE1607" t="s">
        <v>120</v>
      </c>
      <c r="AG1607" t="s">
        <v>121</v>
      </c>
    </row>
    <row r="1608" spans="1:33" x14ac:dyDescent="0.25">
      <c r="A1608" t="str">
        <f>"1013986512"</f>
        <v>1013986512</v>
      </c>
      <c r="B1608" t="str">
        <f>"00776696"</f>
        <v>00776696</v>
      </c>
      <c r="C1608" t="s">
        <v>9437</v>
      </c>
      <c r="D1608" t="s">
        <v>9438</v>
      </c>
      <c r="E1608" t="s">
        <v>9439</v>
      </c>
      <c r="G1608" t="s">
        <v>9437</v>
      </c>
      <c r="H1608" t="s">
        <v>9440</v>
      </c>
      <c r="J1608" t="s">
        <v>9441</v>
      </c>
      <c r="L1608" t="s">
        <v>142</v>
      </c>
      <c r="M1608" t="s">
        <v>113</v>
      </c>
      <c r="R1608" t="s">
        <v>9442</v>
      </c>
      <c r="W1608" t="s">
        <v>9439</v>
      </c>
      <c r="X1608" t="s">
        <v>7611</v>
      </c>
      <c r="Y1608" t="s">
        <v>7612</v>
      </c>
      <c r="Z1608" t="s">
        <v>117</v>
      </c>
      <c r="AA1608" t="str">
        <f>"14530-1342"</f>
        <v>14530-1342</v>
      </c>
      <c r="AB1608" t="s">
        <v>1755</v>
      </c>
      <c r="AC1608" t="s">
        <v>119</v>
      </c>
      <c r="AD1608" t="s">
        <v>113</v>
      </c>
      <c r="AE1608" t="s">
        <v>120</v>
      </c>
      <c r="AG1608" t="s">
        <v>121</v>
      </c>
    </row>
    <row r="1609" spans="1:33" x14ac:dyDescent="0.25">
      <c r="A1609" t="str">
        <f>"1023003027"</f>
        <v>1023003027</v>
      </c>
      <c r="B1609" t="str">
        <f>"00787866"</f>
        <v>00787866</v>
      </c>
      <c r="C1609" t="s">
        <v>9443</v>
      </c>
      <c r="D1609" t="s">
        <v>9444</v>
      </c>
      <c r="E1609" t="s">
        <v>9445</v>
      </c>
      <c r="G1609" t="s">
        <v>9443</v>
      </c>
      <c r="H1609" t="s">
        <v>5690</v>
      </c>
      <c r="J1609" t="s">
        <v>9446</v>
      </c>
      <c r="L1609" t="s">
        <v>150</v>
      </c>
      <c r="M1609" t="s">
        <v>199</v>
      </c>
      <c r="R1609" t="s">
        <v>9447</v>
      </c>
      <c r="W1609" t="s">
        <v>9445</v>
      </c>
      <c r="X1609" t="s">
        <v>5693</v>
      </c>
      <c r="Y1609" t="s">
        <v>240</v>
      </c>
      <c r="Z1609" t="s">
        <v>117</v>
      </c>
      <c r="AA1609" t="str">
        <f>"14221-3625"</f>
        <v>14221-3625</v>
      </c>
      <c r="AB1609" t="s">
        <v>118</v>
      </c>
      <c r="AC1609" t="s">
        <v>119</v>
      </c>
      <c r="AD1609" t="s">
        <v>113</v>
      </c>
      <c r="AE1609" t="s">
        <v>120</v>
      </c>
      <c r="AG1609" t="s">
        <v>121</v>
      </c>
    </row>
    <row r="1610" spans="1:33" x14ac:dyDescent="0.25">
      <c r="A1610" t="str">
        <f>"1043327059"</f>
        <v>1043327059</v>
      </c>
      <c r="B1610" t="str">
        <f>"03923291"</f>
        <v>03923291</v>
      </c>
      <c r="C1610" t="s">
        <v>9448</v>
      </c>
      <c r="D1610" t="s">
        <v>9449</v>
      </c>
      <c r="E1610" t="s">
        <v>9450</v>
      </c>
      <c r="G1610" t="s">
        <v>9448</v>
      </c>
      <c r="H1610" t="s">
        <v>9451</v>
      </c>
      <c r="J1610" t="s">
        <v>9452</v>
      </c>
      <c r="L1610" t="s">
        <v>142</v>
      </c>
      <c r="M1610" t="s">
        <v>113</v>
      </c>
      <c r="R1610" t="s">
        <v>9453</v>
      </c>
      <c r="W1610" t="s">
        <v>9450</v>
      </c>
      <c r="X1610" t="s">
        <v>176</v>
      </c>
      <c r="Y1610" t="s">
        <v>116</v>
      </c>
      <c r="Z1610" t="s">
        <v>117</v>
      </c>
      <c r="AA1610" t="str">
        <f>"14203-1126"</f>
        <v>14203-1126</v>
      </c>
      <c r="AB1610" t="s">
        <v>118</v>
      </c>
      <c r="AC1610" t="s">
        <v>119</v>
      </c>
      <c r="AD1610" t="s">
        <v>113</v>
      </c>
      <c r="AE1610" t="s">
        <v>120</v>
      </c>
      <c r="AG1610" t="s">
        <v>121</v>
      </c>
    </row>
    <row r="1611" spans="1:33" x14ac:dyDescent="0.25">
      <c r="A1611" t="str">
        <f>"1962618405"</f>
        <v>1962618405</v>
      </c>
      <c r="B1611" t="str">
        <f>"03005570"</f>
        <v>03005570</v>
      </c>
      <c r="C1611" t="s">
        <v>3490</v>
      </c>
      <c r="D1611" t="s">
        <v>8198</v>
      </c>
      <c r="E1611" t="s">
        <v>8199</v>
      </c>
      <c r="G1611" t="s">
        <v>3493</v>
      </c>
      <c r="H1611" t="s">
        <v>3494</v>
      </c>
      <c r="J1611" t="s">
        <v>3495</v>
      </c>
      <c r="L1611" t="s">
        <v>8201</v>
      </c>
      <c r="M1611" t="s">
        <v>199</v>
      </c>
      <c r="R1611" t="s">
        <v>3490</v>
      </c>
      <c r="W1611" t="s">
        <v>8202</v>
      </c>
      <c r="X1611" t="s">
        <v>253</v>
      </c>
      <c r="Y1611" t="s">
        <v>116</v>
      </c>
      <c r="Z1611" t="s">
        <v>117</v>
      </c>
      <c r="AA1611" t="str">
        <f>"14215-3021"</f>
        <v>14215-3021</v>
      </c>
      <c r="AB1611" t="s">
        <v>1460</v>
      </c>
      <c r="AC1611" t="s">
        <v>119</v>
      </c>
      <c r="AD1611" t="s">
        <v>113</v>
      </c>
      <c r="AE1611" t="s">
        <v>120</v>
      </c>
      <c r="AG1611" t="s">
        <v>121</v>
      </c>
    </row>
    <row r="1612" spans="1:33" x14ac:dyDescent="0.25">
      <c r="A1612" t="str">
        <f>"1043351091"</f>
        <v>1043351091</v>
      </c>
      <c r="B1612" t="str">
        <f>"02056637"</f>
        <v>02056637</v>
      </c>
      <c r="C1612" t="s">
        <v>9460</v>
      </c>
      <c r="D1612" t="s">
        <v>9461</v>
      </c>
      <c r="E1612" t="s">
        <v>9462</v>
      </c>
      <c r="L1612" t="s">
        <v>150</v>
      </c>
      <c r="M1612" t="s">
        <v>199</v>
      </c>
      <c r="R1612" t="s">
        <v>9460</v>
      </c>
      <c r="W1612" t="s">
        <v>9462</v>
      </c>
      <c r="X1612" t="s">
        <v>1766</v>
      </c>
      <c r="Y1612" t="s">
        <v>1767</v>
      </c>
      <c r="Z1612" t="s">
        <v>117</v>
      </c>
      <c r="AA1612" t="str">
        <f>"14779-9625"</f>
        <v>14779-9625</v>
      </c>
      <c r="AB1612" t="s">
        <v>118</v>
      </c>
      <c r="AC1612" t="s">
        <v>119</v>
      </c>
      <c r="AD1612" t="s">
        <v>113</v>
      </c>
      <c r="AE1612" t="s">
        <v>120</v>
      </c>
      <c r="AG1612" t="s">
        <v>121</v>
      </c>
    </row>
    <row r="1613" spans="1:33" x14ac:dyDescent="0.25">
      <c r="A1613" t="str">
        <f>"1043361256"</f>
        <v>1043361256</v>
      </c>
      <c r="B1613" t="str">
        <f>"01019896"</f>
        <v>01019896</v>
      </c>
      <c r="C1613" t="s">
        <v>9463</v>
      </c>
      <c r="D1613" t="s">
        <v>9464</v>
      </c>
      <c r="E1613" t="s">
        <v>9465</v>
      </c>
      <c r="G1613" t="s">
        <v>9463</v>
      </c>
      <c r="H1613" t="s">
        <v>3814</v>
      </c>
      <c r="J1613" t="s">
        <v>9466</v>
      </c>
      <c r="L1613" t="s">
        <v>142</v>
      </c>
      <c r="M1613" t="s">
        <v>113</v>
      </c>
      <c r="R1613" t="s">
        <v>9467</v>
      </c>
      <c r="W1613" t="s">
        <v>9465</v>
      </c>
      <c r="X1613" t="s">
        <v>9468</v>
      </c>
      <c r="Y1613" t="s">
        <v>240</v>
      </c>
      <c r="Z1613" t="s">
        <v>117</v>
      </c>
      <c r="AA1613" t="str">
        <f>"14221-1200"</f>
        <v>14221-1200</v>
      </c>
      <c r="AB1613" t="s">
        <v>118</v>
      </c>
      <c r="AC1613" t="s">
        <v>119</v>
      </c>
      <c r="AD1613" t="s">
        <v>113</v>
      </c>
      <c r="AE1613" t="s">
        <v>120</v>
      </c>
      <c r="AG1613" t="s">
        <v>121</v>
      </c>
    </row>
    <row r="1614" spans="1:33" x14ac:dyDescent="0.25">
      <c r="A1614" t="str">
        <f>"1043373756"</f>
        <v>1043373756</v>
      </c>
      <c r="B1614" t="str">
        <f>"03128094"</f>
        <v>03128094</v>
      </c>
      <c r="C1614" t="s">
        <v>9469</v>
      </c>
      <c r="D1614" t="s">
        <v>9470</v>
      </c>
      <c r="E1614" t="s">
        <v>9471</v>
      </c>
      <c r="G1614" t="s">
        <v>9469</v>
      </c>
      <c r="H1614" t="s">
        <v>9472</v>
      </c>
      <c r="J1614" t="s">
        <v>9473</v>
      </c>
      <c r="L1614" t="s">
        <v>142</v>
      </c>
      <c r="M1614" t="s">
        <v>113</v>
      </c>
      <c r="R1614" t="s">
        <v>9471</v>
      </c>
      <c r="W1614" t="s">
        <v>9474</v>
      </c>
      <c r="X1614" t="s">
        <v>176</v>
      </c>
      <c r="Y1614" t="s">
        <v>116</v>
      </c>
      <c r="Z1614" t="s">
        <v>117</v>
      </c>
      <c r="AA1614" t="str">
        <f>"14203-1126"</f>
        <v>14203-1126</v>
      </c>
      <c r="AB1614" t="s">
        <v>118</v>
      </c>
      <c r="AC1614" t="s">
        <v>119</v>
      </c>
      <c r="AD1614" t="s">
        <v>113</v>
      </c>
      <c r="AE1614" t="s">
        <v>120</v>
      </c>
      <c r="AG1614" t="s">
        <v>121</v>
      </c>
    </row>
    <row r="1615" spans="1:33" x14ac:dyDescent="0.25">
      <c r="A1615" t="str">
        <f>"1043378862"</f>
        <v>1043378862</v>
      </c>
      <c r="B1615" t="str">
        <f>"01523720"</f>
        <v>01523720</v>
      </c>
      <c r="C1615" t="s">
        <v>9475</v>
      </c>
      <c r="D1615" t="s">
        <v>9476</v>
      </c>
      <c r="E1615" t="s">
        <v>9477</v>
      </c>
      <c r="G1615" t="s">
        <v>9475</v>
      </c>
      <c r="H1615" t="s">
        <v>9478</v>
      </c>
      <c r="J1615" t="s">
        <v>9479</v>
      </c>
      <c r="L1615" t="s">
        <v>1033</v>
      </c>
      <c r="M1615" t="s">
        <v>113</v>
      </c>
      <c r="R1615" t="s">
        <v>9480</v>
      </c>
      <c r="W1615" t="s">
        <v>9477</v>
      </c>
      <c r="X1615" t="s">
        <v>9481</v>
      </c>
      <c r="Y1615" t="s">
        <v>116</v>
      </c>
      <c r="Z1615" t="s">
        <v>117</v>
      </c>
      <c r="AA1615" t="str">
        <f>"14202-1110"</f>
        <v>14202-1110</v>
      </c>
      <c r="AB1615" t="s">
        <v>118</v>
      </c>
      <c r="AC1615" t="s">
        <v>119</v>
      </c>
      <c r="AD1615" t="s">
        <v>113</v>
      </c>
      <c r="AE1615" t="s">
        <v>120</v>
      </c>
      <c r="AG1615" t="s">
        <v>121</v>
      </c>
    </row>
    <row r="1616" spans="1:33" x14ac:dyDescent="0.25">
      <c r="A1616" t="str">
        <f>"1043410012"</f>
        <v>1043410012</v>
      </c>
      <c r="C1616" t="s">
        <v>9482</v>
      </c>
      <c r="G1616" t="s">
        <v>9483</v>
      </c>
      <c r="H1616" t="s">
        <v>9484</v>
      </c>
      <c r="J1616" t="s">
        <v>9485</v>
      </c>
      <c r="K1616" t="s">
        <v>303</v>
      </c>
      <c r="L1616" t="s">
        <v>112</v>
      </c>
      <c r="M1616" t="s">
        <v>113</v>
      </c>
      <c r="R1616" t="s">
        <v>9486</v>
      </c>
      <c r="S1616" t="s">
        <v>3887</v>
      </c>
      <c r="T1616" t="s">
        <v>129</v>
      </c>
      <c r="U1616" t="s">
        <v>117</v>
      </c>
      <c r="V1616" t="str">
        <f>"142243444"</f>
        <v>142243444</v>
      </c>
      <c r="AC1616" t="s">
        <v>119</v>
      </c>
      <c r="AD1616" t="s">
        <v>113</v>
      </c>
      <c r="AE1616" t="s">
        <v>306</v>
      </c>
      <c r="AG1616" t="s">
        <v>121</v>
      </c>
    </row>
    <row r="1617" spans="1:33" x14ac:dyDescent="0.25">
      <c r="A1617" t="str">
        <f>"1043454333"</f>
        <v>1043454333</v>
      </c>
      <c r="B1617" t="str">
        <f>"03400180"</f>
        <v>03400180</v>
      </c>
      <c r="C1617" t="s">
        <v>9487</v>
      </c>
      <c r="D1617" t="s">
        <v>9488</v>
      </c>
      <c r="E1617" t="s">
        <v>9489</v>
      </c>
      <c r="G1617" t="s">
        <v>9487</v>
      </c>
      <c r="H1617" t="s">
        <v>9490</v>
      </c>
      <c r="J1617" t="s">
        <v>9491</v>
      </c>
      <c r="L1617" t="s">
        <v>142</v>
      </c>
      <c r="M1617" t="s">
        <v>199</v>
      </c>
      <c r="R1617" t="s">
        <v>9489</v>
      </c>
      <c r="W1617" t="s">
        <v>9492</v>
      </c>
      <c r="X1617" t="s">
        <v>216</v>
      </c>
      <c r="Y1617" t="s">
        <v>116</v>
      </c>
      <c r="Z1617" t="s">
        <v>117</v>
      </c>
      <c r="AA1617" t="str">
        <f>"14222-2006"</f>
        <v>14222-2006</v>
      </c>
      <c r="AB1617" t="s">
        <v>118</v>
      </c>
      <c r="AC1617" t="s">
        <v>119</v>
      </c>
      <c r="AD1617" t="s">
        <v>113</v>
      </c>
      <c r="AE1617" t="s">
        <v>120</v>
      </c>
      <c r="AG1617" t="s">
        <v>121</v>
      </c>
    </row>
    <row r="1618" spans="1:33" x14ac:dyDescent="0.25">
      <c r="B1618" t="str">
        <f>"03306392"</f>
        <v>03306392</v>
      </c>
      <c r="C1618" t="s">
        <v>23945</v>
      </c>
      <c r="D1618" t="s">
        <v>23946</v>
      </c>
      <c r="E1618" t="s">
        <v>23945</v>
      </c>
      <c r="F1618">
        <v>160818293</v>
      </c>
      <c r="H1618" t="s">
        <v>713</v>
      </c>
      <c r="L1618" t="s">
        <v>69</v>
      </c>
      <c r="M1618" t="s">
        <v>199</v>
      </c>
      <c r="W1618" t="s">
        <v>23945</v>
      </c>
      <c r="X1618" t="s">
        <v>714</v>
      </c>
      <c r="Y1618" t="s">
        <v>305</v>
      </c>
      <c r="Z1618" t="s">
        <v>117</v>
      </c>
      <c r="AA1618" t="str">
        <f>"14760-1140"</f>
        <v>14760-1140</v>
      </c>
      <c r="AB1618" t="s">
        <v>291</v>
      </c>
      <c r="AC1618" t="s">
        <v>119</v>
      </c>
      <c r="AD1618" t="s">
        <v>113</v>
      </c>
      <c r="AE1618" t="s">
        <v>120</v>
      </c>
      <c r="AG1618" t="s">
        <v>121</v>
      </c>
    </row>
    <row r="1619" spans="1:33" x14ac:dyDescent="0.25">
      <c r="A1619" t="str">
        <f>"1043489586"</f>
        <v>1043489586</v>
      </c>
      <c r="B1619" t="str">
        <f>"03593991"</f>
        <v>03593991</v>
      </c>
      <c r="C1619" t="s">
        <v>9496</v>
      </c>
      <c r="D1619" t="s">
        <v>9497</v>
      </c>
      <c r="E1619" t="s">
        <v>9498</v>
      </c>
      <c r="G1619" t="s">
        <v>9496</v>
      </c>
      <c r="H1619" t="s">
        <v>9499</v>
      </c>
      <c r="J1619" t="s">
        <v>9500</v>
      </c>
      <c r="L1619" t="s">
        <v>142</v>
      </c>
      <c r="M1619" t="s">
        <v>113</v>
      </c>
      <c r="R1619" t="s">
        <v>9501</v>
      </c>
      <c r="W1619" t="s">
        <v>9498</v>
      </c>
      <c r="X1619" t="s">
        <v>9502</v>
      </c>
      <c r="Y1619" t="s">
        <v>9503</v>
      </c>
      <c r="Z1619" t="s">
        <v>9504</v>
      </c>
      <c r="AA1619" t="str">
        <f>"48532-3456"</f>
        <v>48532-3456</v>
      </c>
      <c r="AB1619" t="s">
        <v>118</v>
      </c>
      <c r="AC1619" t="s">
        <v>119</v>
      </c>
      <c r="AD1619" t="s">
        <v>113</v>
      </c>
      <c r="AE1619" t="s">
        <v>120</v>
      </c>
      <c r="AG1619" t="s">
        <v>121</v>
      </c>
    </row>
    <row r="1620" spans="1:33" x14ac:dyDescent="0.25">
      <c r="A1620" t="str">
        <f>"1043507262"</f>
        <v>1043507262</v>
      </c>
      <c r="C1620" t="s">
        <v>9505</v>
      </c>
      <c r="G1620" t="s">
        <v>9506</v>
      </c>
      <c r="H1620" t="s">
        <v>9507</v>
      </c>
      <c r="J1620" t="s">
        <v>9508</v>
      </c>
      <c r="K1620" t="s">
        <v>303</v>
      </c>
      <c r="L1620" t="s">
        <v>229</v>
      </c>
      <c r="M1620" t="s">
        <v>113</v>
      </c>
      <c r="R1620" t="s">
        <v>9509</v>
      </c>
      <c r="S1620" t="s">
        <v>9510</v>
      </c>
      <c r="T1620" t="s">
        <v>9511</v>
      </c>
      <c r="U1620" t="s">
        <v>117</v>
      </c>
      <c r="V1620" t="str">
        <f>"144201305"</f>
        <v>144201305</v>
      </c>
      <c r="AC1620" t="s">
        <v>119</v>
      </c>
      <c r="AD1620" t="s">
        <v>113</v>
      </c>
      <c r="AE1620" t="s">
        <v>306</v>
      </c>
      <c r="AG1620" t="s">
        <v>121</v>
      </c>
    </row>
    <row r="1621" spans="1:33" x14ac:dyDescent="0.25">
      <c r="A1621" t="str">
        <f>"1215170030"</f>
        <v>1215170030</v>
      </c>
      <c r="B1621" t="str">
        <f>"03725371"</f>
        <v>03725371</v>
      </c>
      <c r="C1621" t="s">
        <v>9512</v>
      </c>
      <c r="D1621" t="s">
        <v>9513</v>
      </c>
      <c r="E1621" t="s">
        <v>9514</v>
      </c>
      <c r="G1621" t="s">
        <v>9512</v>
      </c>
      <c r="H1621" t="s">
        <v>590</v>
      </c>
      <c r="J1621" t="s">
        <v>9515</v>
      </c>
      <c r="L1621" t="s">
        <v>112</v>
      </c>
      <c r="M1621" t="s">
        <v>113</v>
      </c>
      <c r="R1621" t="s">
        <v>9516</v>
      </c>
      <c r="W1621" t="s">
        <v>9514</v>
      </c>
      <c r="X1621" t="s">
        <v>9517</v>
      </c>
      <c r="Y1621" t="s">
        <v>116</v>
      </c>
      <c r="Z1621" t="s">
        <v>117</v>
      </c>
      <c r="AA1621" t="str">
        <f>"14202-1102"</f>
        <v>14202-1102</v>
      </c>
      <c r="AB1621" t="s">
        <v>118</v>
      </c>
      <c r="AC1621" t="s">
        <v>119</v>
      </c>
      <c r="AD1621" t="s">
        <v>113</v>
      </c>
      <c r="AE1621" t="s">
        <v>120</v>
      </c>
      <c r="AG1621" t="s">
        <v>121</v>
      </c>
    </row>
    <row r="1622" spans="1:33" x14ac:dyDescent="0.25">
      <c r="A1622" t="str">
        <f>"1215183421"</f>
        <v>1215183421</v>
      </c>
      <c r="B1622" t="str">
        <f>"03584512"</f>
        <v>03584512</v>
      </c>
      <c r="C1622" t="s">
        <v>9518</v>
      </c>
      <c r="D1622" t="s">
        <v>9519</v>
      </c>
      <c r="E1622" t="s">
        <v>9520</v>
      </c>
      <c r="G1622" t="s">
        <v>9521</v>
      </c>
      <c r="J1622" t="s">
        <v>9522</v>
      </c>
      <c r="L1622" t="s">
        <v>150</v>
      </c>
      <c r="M1622" t="s">
        <v>113</v>
      </c>
      <c r="R1622" t="s">
        <v>9523</v>
      </c>
      <c r="W1622" t="s">
        <v>9520</v>
      </c>
      <c r="X1622" t="s">
        <v>216</v>
      </c>
      <c r="Y1622" t="s">
        <v>116</v>
      </c>
      <c r="Z1622" t="s">
        <v>117</v>
      </c>
      <c r="AA1622" t="str">
        <f>"14222-2006"</f>
        <v>14222-2006</v>
      </c>
      <c r="AB1622" t="s">
        <v>118</v>
      </c>
      <c r="AC1622" t="s">
        <v>119</v>
      </c>
      <c r="AD1622" t="s">
        <v>113</v>
      </c>
      <c r="AE1622" t="s">
        <v>120</v>
      </c>
      <c r="AG1622" t="s">
        <v>121</v>
      </c>
    </row>
    <row r="1623" spans="1:33" x14ac:dyDescent="0.25">
      <c r="A1623" t="str">
        <f>"1215193214"</f>
        <v>1215193214</v>
      </c>
      <c r="B1623" t="str">
        <f>"03420073"</f>
        <v>03420073</v>
      </c>
      <c r="C1623" t="s">
        <v>9524</v>
      </c>
      <c r="D1623" t="s">
        <v>9525</v>
      </c>
      <c r="E1623" t="s">
        <v>9526</v>
      </c>
      <c r="G1623" t="s">
        <v>9524</v>
      </c>
      <c r="H1623" t="s">
        <v>6733</v>
      </c>
      <c r="J1623" t="s">
        <v>9527</v>
      </c>
      <c r="L1623" t="s">
        <v>150</v>
      </c>
      <c r="M1623" t="s">
        <v>199</v>
      </c>
      <c r="R1623" t="s">
        <v>9528</v>
      </c>
      <c r="W1623" t="s">
        <v>9526</v>
      </c>
      <c r="X1623" t="s">
        <v>855</v>
      </c>
      <c r="Y1623" t="s">
        <v>116</v>
      </c>
      <c r="Z1623" t="s">
        <v>117</v>
      </c>
      <c r="AA1623" t="str">
        <f>"14213-1573"</f>
        <v>14213-1573</v>
      </c>
      <c r="AB1623" t="s">
        <v>118</v>
      </c>
      <c r="AC1623" t="s">
        <v>119</v>
      </c>
      <c r="AD1623" t="s">
        <v>113</v>
      </c>
      <c r="AE1623" t="s">
        <v>120</v>
      </c>
      <c r="AG1623" t="s">
        <v>121</v>
      </c>
    </row>
    <row r="1624" spans="1:33" x14ac:dyDescent="0.25">
      <c r="A1624" t="str">
        <f>"1134387400"</f>
        <v>1134387400</v>
      </c>
      <c r="C1624" t="s">
        <v>9529</v>
      </c>
      <c r="G1624" t="s">
        <v>9530</v>
      </c>
      <c r="J1624" t="s">
        <v>9531</v>
      </c>
      <c r="K1624" t="s">
        <v>303</v>
      </c>
      <c r="L1624" t="s">
        <v>112</v>
      </c>
      <c r="M1624" t="s">
        <v>113</v>
      </c>
      <c r="R1624" t="s">
        <v>9532</v>
      </c>
      <c r="S1624" t="s">
        <v>474</v>
      </c>
      <c r="T1624" t="s">
        <v>116</v>
      </c>
      <c r="U1624" t="s">
        <v>117</v>
      </c>
      <c r="V1624" t="str">
        <f>"142141316"</f>
        <v>142141316</v>
      </c>
      <c r="AC1624" t="s">
        <v>119</v>
      </c>
      <c r="AD1624" t="s">
        <v>113</v>
      </c>
      <c r="AE1624" t="s">
        <v>306</v>
      </c>
      <c r="AG1624" t="s">
        <v>121</v>
      </c>
    </row>
    <row r="1625" spans="1:33" x14ac:dyDescent="0.25">
      <c r="A1625" t="str">
        <f>"1134455330"</f>
        <v>1134455330</v>
      </c>
      <c r="B1625" t="str">
        <f>"03871267"</f>
        <v>03871267</v>
      </c>
      <c r="C1625" t="s">
        <v>9533</v>
      </c>
      <c r="D1625" t="s">
        <v>9534</v>
      </c>
      <c r="E1625" t="s">
        <v>9535</v>
      </c>
      <c r="G1625" t="s">
        <v>9536</v>
      </c>
      <c r="H1625" t="s">
        <v>9537</v>
      </c>
      <c r="L1625" t="s">
        <v>150</v>
      </c>
      <c r="M1625" t="s">
        <v>113</v>
      </c>
      <c r="R1625" t="s">
        <v>9535</v>
      </c>
      <c r="W1625" t="s">
        <v>9535</v>
      </c>
      <c r="X1625" t="s">
        <v>855</v>
      </c>
      <c r="Y1625" t="s">
        <v>116</v>
      </c>
      <c r="Z1625" t="s">
        <v>117</v>
      </c>
      <c r="AA1625" t="str">
        <f>"14213-1573"</f>
        <v>14213-1573</v>
      </c>
      <c r="AB1625" t="s">
        <v>118</v>
      </c>
      <c r="AC1625" t="s">
        <v>119</v>
      </c>
      <c r="AD1625" t="s">
        <v>113</v>
      </c>
      <c r="AE1625" t="s">
        <v>120</v>
      </c>
      <c r="AG1625" t="s">
        <v>121</v>
      </c>
    </row>
    <row r="1626" spans="1:33" x14ac:dyDescent="0.25">
      <c r="A1626" t="str">
        <f>"1134497498"</f>
        <v>1134497498</v>
      </c>
      <c r="B1626" t="str">
        <f>"03522167"</f>
        <v>03522167</v>
      </c>
      <c r="C1626" t="s">
        <v>9538</v>
      </c>
      <c r="D1626" t="s">
        <v>9539</v>
      </c>
      <c r="E1626" t="s">
        <v>9540</v>
      </c>
      <c r="G1626" t="s">
        <v>9538</v>
      </c>
      <c r="H1626" t="s">
        <v>9541</v>
      </c>
      <c r="J1626" t="s">
        <v>9542</v>
      </c>
      <c r="L1626" t="s">
        <v>112</v>
      </c>
      <c r="M1626" t="s">
        <v>113</v>
      </c>
      <c r="R1626" t="s">
        <v>9540</v>
      </c>
      <c r="W1626" t="s">
        <v>9540</v>
      </c>
      <c r="X1626" t="s">
        <v>176</v>
      </c>
      <c r="Y1626" t="s">
        <v>116</v>
      </c>
      <c r="Z1626" t="s">
        <v>117</v>
      </c>
      <c r="AA1626" t="str">
        <f>"14203-1126"</f>
        <v>14203-1126</v>
      </c>
      <c r="AB1626" t="s">
        <v>118</v>
      </c>
      <c r="AC1626" t="s">
        <v>119</v>
      </c>
      <c r="AD1626" t="s">
        <v>113</v>
      </c>
      <c r="AE1626" t="s">
        <v>120</v>
      </c>
      <c r="AG1626" t="s">
        <v>121</v>
      </c>
    </row>
    <row r="1627" spans="1:33" x14ac:dyDescent="0.25">
      <c r="A1627" t="str">
        <f>"1134544604"</f>
        <v>1134544604</v>
      </c>
      <c r="B1627" t="str">
        <f>"03834273"</f>
        <v>03834273</v>
      </c>
      <c r="C1627" t="s">
        <v>9543</v>
      </c>
      <c r="D1627" t="s">
        <v>9544</v>
      </c>
      <c r="E1627" t="s">
        <v>9545</v>
      </c>
      <c r="G1627" t="s">
        <v>9546</v>
      </c>
      <c r="H1627" t="s">
        <v>1478</v>
      </c>
      <c r="J1627" t="s">
        <v>9547</v>
      </c>
      <c r="L1627" t="s">
        <v>142</v>
      </c>
      <c r="M1627" t="s">
        <v>113</v>
      </c>
      <c r="R1627" t="s">
        <v>9548</v>
      </c>
      <c r="W1627" t="s">
        <v>9545</v>
      </c>
      <c r="X1627" t="s">
        <v>176</v>
      </c>
      <c r="Y1627" t="s">
        <v>116</v>
      </c>
      <c r="Z1627" t="s">
        <v>117</v>
      </c>
      <c r="AA1627" t="str">
        <f>"14203-1126"</f>
        <v>14203-1126</v>
      </c>
      <c r="AB1627" t="s">
        <v>118</v>
      </c>
      <c r="AC1627" t="s">
        <v>119</v>
      </c>
      <c r="AD1627" t="s">
        <v>113</v>
      </c>
      <c r="AE1627" t="s">
        <v>120</v>
      </c>
      <c r="AG1627" t="s">
        <v>121</v>
      </c>
    </row>
    <row r="1628" spans="1:33" x14ac:dyDescent="0.25">
      <c r="A1628" t="str">
        <f>"1134566995"</f>
        <v>1134566995</v>
      </c>
      <c r="C1628" t="s">
        <v>9549</v>
      </c>
      <c r="G1628" t="s">
        <v>9550</v>
      </c>
      <c r="H1628" t="s">
        <v>9551</v>
      </c>
      <c r="J1628" t="s">
        <v>9552</v>
      </c>
      <c r="K1628" t="s">
        <v>303</v>
      </c>
      <c r="L1628" t="s">
        <v>112</v>
      </c>
      <c r="M1628" t="s">
        <v>113</v>
      </c>
      <c r="R1628" t="s">
        <v>9553</v>
      </c>
      <c r="S1628" t="s">
        <v>9554</v>
      </c>
      <c r="T1628" t="s">
        <v>880</v>
      </c>
      <c r="U1628" t="s">
        <v>117</v>
      </c>
      <c r="V1628" t="str">
        <f>"132241639"</f>
        <v>132241639</v>
      </c>
      <c r="AC1628" t="s">
        <v>119</v>
      </c>
      <c r="AD1628" t="s">
        <v>113</v>
      </c>
      <c r="AE1628" t="s">
        <v>306</v>
      </c>
      <c r="AG1628" t="s">
        <v>121</v>
      </c>
    </row>
    <row r="1629" spans="1:33" x14ac:dyDescent="0.25">
      <c r="A1629" t="str">
        <f>"1144201476"</f>
        <v>1144201476</v>
      </c>
      <c r="B1629" t="str">
        <f>"02352418"</f>
        <v>02352418</v>
      </c>
      <c r="C1629" t="s">
        <v>9555</v>
      </c>
      <c r="D1629" t="s">
        <v>9556</v>
      </c>
      <c r="E1629" t="s">
        <v>9557</v>
      </c>
      <c r="G1629" t="s">
        <v>9558</v>
      </c>
      <c r="H1629" t="s">
        <v>1308</v>
      </c>
      <c r="J1629" t="s">
        <v>9559</v>
      </c>
      <c r="L1629" t="s">
        <v>142</v>
      </c>
      <c r="M1629" t="s">
        <v>113</v>
      </c>
      <c r="R1629" t="s">
        <v>9560</v>
      </c>
      <c r="W1629" t="s">
        <v>9561</v>
      </c>
      <c r="X1629" t="s">
        <v>9562</v>
      </c>
      <c r="Y1629" t="s">
        <v>240</v>
      </c>
      <c r="Z1629" t="s">
        <v>117</v>
      </c>
      <c r="AA1629" t="str">
        <f>"14221-5269"</f>
        <v>14221-5269</v>
      </c>
      <c r="AB1629" t="s">
        <v>118</v>
      </c>
      <c r="AC1629" t="s">
        <v>119</v>
      </c>
      <c r="AD1629" t="s">
        <v>113</v>
      </c>
      <c r="AE1629" t="s">
        <v>120</v>
      </c>
      <c r="AG1629" t="s">
        <v>121</v>
      </c>
    </row>
    <row r="1630" spans="1:33" x14ac:dyDescent="0.25">
      <c r="A1630" t="str">
        <f>"1144213471"</f>
        <v>1144213471</v>
      </c>
      <c r="C1630" t="s">
        <v>9563</v>
      </c>
      <c r="G1630" t="s">
        <v>9564</v>
      </c>
      <c r="H1630" t="s">
        <v>3629</v>
      </c>
      <c r="K1630" t="s">
        <v>303</v>
      </c>
      <c r="L1630" t="s">
        <v>229</v>
      </c>
      <c r="M1630" t="s">
        <v>113</v>
      </c>
      <c r="R1630" t="s">
        <v>9563</v>
      </c>
      <c r="S1630" t="s">
        <v>9565</v>
      </c>
      <c r="T1630" t="s">
        <v>153</v>
      </c>
      <c r="U1630" t="s">
        <v>117</v>
      </c>
      <c r="V1630" t="str">
        <f>"143044560"</f>
        <v>143044560</v>
      </c>
      <c r="AC1630" t="s">
        <v>119</v>
      </c>
      <c r="AD1630" t="s">
        <v>113</v>
      </c>
      <c r="AE1630" t="s">
        <v>306</v>
      </c>
      <c r="AG1630" t="s">
        <v>121</v>
      </c>
    </row>
    <row r="1631" spans="1:33" x14ac:dyDescent="0.25">
      <c r="A1631" t="str">
        <f>"1245352921"</f>
        <v>1245352921</v>
      </c>
      <c r="B1631" t="str">
        <f>"01101413"</f>
        <v>01101413</v>
      </c>
      <c r="C1631" t="s">
        <v>1453</v>
      </c>
      <c r="D1631" t="s">
        <v>9566</v>
      </c>
      <c r="E1631" t="s">
        <v>9567</v>
      </c>
      <c r="H1631" t="s">
        <v>1456</v>
      </c>
      <c r="J1631" t="s">
        <v>1457</v>
      </c>
      <c r="L1631" t="s">
        <v>1714</v>
      </c>
      <c r="M1631" t="s">
        <v>113</v>
      </c>
      <c r="R1631" t="s">
        <v>1453</v>
      </c>
      <c r="W1631" t="s">
        <v>9567</v>
      </c>
      <c r="X1631" t="s">
        <v>9568</v>
      </c>
      <c r="Y1631" t="s">
        <v>1545</v>
      </c>
      <c r="Z1631" t="s">
        <v>117</v>
      </c>
      <c r="AA1631" t="str">
        <f>"14218-1435"</f>
        <v>14218-1435</v>
      </c>
      <c r="AB1631" t="s">
        <v>1146</v>
      </c>
      <c r="AC1631" t="s">
        <v>119</v>
      </c>
      <c r="AD1631" t="s">
        <v>113</v>
      </c>
      <c r="AE1631" t="s">
        <v>120</v>
      </c>
      <c r="AG1631" t="s">
        <v>121</v>
      </c>
    </row>
    <row r="1632" spans="1:33" x14ac:dyDescent="0.25">
      <c r="A1632" t="str">
        <f>"1497961205"</f>
        <v>1497961205</v>
      </c>
      <c r="B1632" t="str">
        <f>"02999806"</f>
        <v>02999806</v>
      </c>
      <c r="C1632" t="s">
        <v>3490</v>
      </c>
      <c r="D1632" t="s">
        <v>3491</v>
      </c>
      <c r="E1632" t="s">
        <v>3492</v>
      </c>
      <c r="G1632" t="s">
        <v>3493</v>
      </c>
      <c r="H1632" t="s">
        <v>3494</v>
      </c>
      <c r="J1632" t="s">
        <v>3495</v>
      </c>
      <c r="L1632" t="s">
        <v>3496</v>
      </c>
      <c r="M1632" t="s">
        <v>199</v>
      </c>
      <c r="R1632" t="s">
        <v>3490</v>
      </c>
      <c r="W1632" t="s">
        <v>3492</v>
      </c>
      <c r="X1632" t="s">
        <v>3497</v>
      </c>
      <c r="Y1632" t="s">
        <v>116</v>
      </c>
      <c r="Z1632" t="s">
        <v>117</v>
      </c>
      <c r="AA1632" t="str">
        <f>"14215-3021"</f>
        <v>14215-3021</v>
      </c>
      <c r="AB1632" t="s">
        <v>979</v>
      </c>
      <c r="AC1632" t="s">
        <v>119</v>
      </c>
      <c r="AD1632" t="s">
        <v>199</v>
      </c>
      <c r="AE1632" t="s">
        <v>120</v>
      </c>
      <c r="AG1632" t="s">
        <v>121</v>
      </c>
    </row>
    <row r="1633" spans="1:33" x14ac:dyDescent="0.25">
      <c r="A1633" t="str">
        <f>"1255413852"</f>
        <v>1255413852</v>
      </c>
      <c r="B1633" t="str">
        <f>"03099790"</f>
        <v>03099790</v>
      </c>
      <c r="C1633" t="s">
        <v>9575</v>
      </c>
      <c r="D1633" t="s">
        <v>9576</v>
      </c>
      <c r="E1633" t="s">
        <v>9577</v>
      </c>
      <c r="G1633" t="s">
        <v>9575</v>
      </c>
      <c r="H1633" t="s">
        <v>9578</v>
      </c>
      <c r="J1633" t="s">
        <v>9579</v>
      </c>
      <c r="L1633" t="s">
        <v>142</v>
      </c>
      <c r="M1633" t="s">
        <v>113</v>
      </c>
      <c r="R1633" t="s">
        <v>9577</v>
      </c>
      <c r="W1633" t="s">
        <v>9580</v>
      </c>
      <c r="X1633" t="s">
        <v>216</v>
      </c>
      <c r="Y1633" t="s">
        <v>116</v>
      </c>
      <c r="Z1633" t="s">
        <v>117</v>
      </c>
      <c r="AA1633" t="str">
        <f>"14222-2006"</f>
        <v>14222-2006</v>
      </c>
      <c r="AB1633" t="s">
        <v>118</v>
      </c>
      <c r="AC1633" t="s">
        <v>119</v>
      </c>
      <c r="AD1633" t="s">
        <v>113</v>
      </c>
      <c r="AE1633" t="s">
        <v>120</v>
      </c>
      <c r="AG1633" t="s">
        <v>121</v>
      </c>
    </row>
    <row r="1634" spans="1:33" x14ac:dyDescent="0.25">
      <c r="A1634" t="str">
        <f>"1255429965"</f>
        <v>1255429965</v>
      </c>
      <c r="C1634" t="s">
        <v>9581</v>
      </c>
      <c r="G1634" t="s">
        <v>9582</v>
      </c>
      <c r="H1634" t="s">
        <v>351</v>
      </c>
      <c r="J1634" t="s">
        <v>352</v>
      </c>
      <c r="K1634" t="s">
        <v>303</v>
      </c>
      <c r="L1634" t="s">
        <v>229</v>
      </c>
      <c r="M1634" t="s">
        <v>113</v>
      </c>
      <c r="R1634" t="s">
        <v>9583</v>
      </c>
      <c r="S1634" t="s">
        <v>409</v>
      </c>
      <c r="T1634" t="s">
        <v>116</v>
      </c>
      <c r="U1634" t="s">
        <v>117</v>
      </c>
      <c r="V1634" t="str">
        <f>"142152814"</f>
        <v>142152814</v>
      </c>
      <c r="AC1634" t="s">
        <v>119</v>
      </c>
      <c r="AD1634" t="s">
        <v>113</v>
      </c>
      <c r="AE1634" t="s">
        <v>306</v>
      </c>
      <c r="AG1634" t="s">
        <v>121</v>
      </c>
    </row>
    <row r="1635" spans="1:33" x14ac:dyDescent="0.25">
      <c r="A1635" t="str">
        <f>"1437197985"</f>
        <v>1437197985</v>
      </c>
      <c r="B1635" t="str">
        <f>"00245863"</f>
        <v>00245863</v>
      </c>
      <c r="C1635" t="s">
        <v>3490</v>
      </c>
      <c r="D1635" t="s">
        <v>3491</v>
      </c>
      <c r="E1635" t="s">
        <v>3492</v>
      </c>
      <c r="G1635" t="s">
        <v>3493</v>
      </c>
      <c r="H1635" t="s">
        <v>3494</v>
      </c>
      <c r="J1635" t="s">
        <v>13844</v>
      </c>
      <c r="L1635" t="s">
        <v>3496</v>
      </c>
      <c r="M1635" t="s">
        <v>199</v>
      </c>
      <c r="R1635" t="s">
        <v>3490</v>
      </c>
      <c r="W1635" t="s">
        <v>3492</v>
      </c>
      <c r="X1635" t="s">
        <v>3497</v>
      </c>
      <c r="Y1635" t="s">
        <v>116</v>
      </c>
      <c r="Z1635" t="s">
        <v>117</v>
      </c>
      <c r="AA1635" t="str">
        <f>"14215-3021"</f>
        <v>14215-3021</v>
      </c>
      <c r="AB1635" t="s">
        <v>1460</v>
      </c>
      <c r="AC1635" t="s">
        <v>13845</v>
      </c>
      <c r="AD1635" t="s">
        <v>199</v>
      </c>
      <c r="AE1635" t="s">
        <v>120</v>
      </c>
      <c r="AG1635" t="s">
        <v>121</v>
      </c>
    </row>
    <row r="1636" spans="1:33" x14ac:dyDescent="0.25">
      <c r="A1636" t="str">
        <f>"1255443115"</f>
        <v>1255443115</v>
      </c>
      <c r="B1636" t="str">
        <f>"01343911"</f>
        <v>01343911</v>
      </c>
      <c r="C1636" t="s">
        <v>9588</v>
      </c>
      <c r="D1636" t="s">
        <v>9589</v>
      </c>
      <c r="E1636" t="s">
        <v>9590</v>
      </c>
      <c r="G1636" t="s">
        <v>9591</v>
      </c>
      <c r="H1636" t="s">
        <v>4813</v>
      </c>
      <c r="L1636" t="s">
        <v>150</v>
      </c>
      <c r="M1636" t="s">
        <v>113</v>
      </c>
      <c r="R1636" t="s">
        <v>9591</v>
      </c>
      <c r="W1636" t="s">
        <v>9590</v>
      </c>
      <c r="X1636" t="s">
        <v>136</v>
      </c>
      <c r="Y1636" t="s">
        <v>116</v>
      </c>
      <c r="Z1636" t="s">
        <v>117</v>
      </c>
      <c r="AA1636" t="str">
        <f>"14209-1120"</f>
        <v>14209-1120</v>
      </c>
      <c r="AB1636" t="s">
        <v>118</v>
      </c>
      <c r="AC1636" t="s">
        <v>119</v>
      </c>
      <c r="AD1636" t="s">
        <v>113</v>
      </c>
      <c r="AE1636" t="s">
        <v>120</v>
      </c>
      <c r="AG1636" t="s">
        <v>121</v>
      </c>
    </row>
    <row r="1637" spans="1:33" x14ac:dyDescent="0.25">
      <c r="A1637" t="str">
        <f>"1255460390"</f>
        <v>1255460390</v>
      </c>
      <c r="B1637" t="str">
        <f>"00474951"</f>
        <v>00474951</v>
      </c>
      <c r="C1637" t="s">
        <v>6737</v>
      </c>
      <c r="D1637" t="s">
        <v>9592</v>
      </c>
      <c r="E1637" t="s">
        <v>9593</v>
      </c>
      <c r="G1637" t="s">
        <v>9594</v>
      </c>
      <c r="H1637" t="s">
        <v>6740</v>
      </c>
      <c r="J1637" t="s">
        <v>6568</v>
      </c>
      <c r="L1637" t="s">
        <v>1143</v>
      </c>
      <c r="M1637" t="s">
        <v>113</v>
      </c>
      <c r="R1637" t="s">
        <v>6737</v>
      </c>
      <c r="W1637" t="s">
        <v>9593</v>
      </c>
      <c r="X1637" t="s">
        <v>6569</v>
      </c>
      <c r="Y1637" t="s">
        <v>663</v>
      </c>
      <c r="Z1637" t="s">
        <v>117</v>
      </c>
      <c r="AA1637" t="str">
        <f>"14094-1854"</f>
        <v>14094-1854</v>
      </c>
      <c r="AB1637" t="s">
        <v>1146</v>
      </c>
      <c r="AC1637" t="s">
        <v>119</v>
      </c>
      <c r="AD1637" t="s">
        <v>113</v>
      </c>
      <c r="AE1637" t="s">
        <v>120</v>
      </c>
      <c r="AG1637" t="s">
        <v>121</v>
      </c>
    </row>
    <row r="1638" spans="1:33" x14ac:dyDescent="0.25">
      <c r="A1638" t="str">
        <f>"1255478376"</f>
        <v>1255478376</v>
      </c>
      <c r="B1638" t="str">
        <f>"02273123"</f>
        <v>02273123</v>
      </c>
      <c r="C1638" t="s">
        <v>9595</v>
      </c>
      <c r="D1638" t="s">
        <v>9596</v>
      </c>
      <c r="E1638" t="s">
        <v>9597</v>
      </c>
      <c r="G1638" t="s">
        <v>9595</v>
      </c>
      <c r="H1638" t="s">
        <v>3800</v>
      </c>
      <c r="J1638" t="s">
        <v>9598</v>
      </c>
      <c r="L1638" t="s">
        <v>150</v>
      </c>
      <c r="M1638" t="s">
        <v>113</v>
      </c>
      <c r="R1638" t="s">
        <v>9599</v>
      </c>
      <c r="W1638" t="s">
        <v>9600</v>
      </c>
      <c r="X1638" t="s">
        <v>9601</v>
      </c>
      <c r="Y1638" t="s">
        <v>240</v>
      </c>
      <c r="Z1638" t="s">
        <v>117</v>
      </c>
      <c r="AA1638" t="str">
        <f>"14221-5760"</f>
        <v>14221-5760</v>
      </c>
      <c r="AB1638" t="s">
        <v>118</v>
      </c>
      <c r="AC1638" t="s">
        <v>119</v>
      </c>
      <c r="AD1638" t="s">
        <v>113</v>
      </c>
      <c r="AE1638" t="s">
        <v>120</v>
      </c>
      <c r="AG1638" t="s">
        <v>121</v>
      </c>
    </row>
    <row r="1639" spans="1:33" x14ac:dyDescent="0.25">
      <c r="A1639" t="str">
        <f>"1255560942"</f>
        <v>1255560942</v>
      </c>
      <c r="B1639" t="str">
        <f>"03152352"</f>
        <v>03152352</v>
      </c>
      <c r="C1639" t="s">
        <v>9602</v>
      </c>
      <c r="D1639" t="s">
        <v>9603</v>
      </c>
      <c r="E1639" t="s">
        <v>9604</v>
      </c>
      <c r="G1639" t="s">
        <v>9605</v>
      </c>
      <c r="H1639" t="s">
        <v>7177</v>
      </c>
      <c r="J1639" t="s">
        <v>9606</v>
      </c>
      <c r="L1639" t="s">
        <v>142</v>
      </c>
      <c r="M1639" t="s">
        <v>113</v>
      </c>
      <c r="R1639" t="s">
        <v>9607</v>
      </c>
      <c r="W1639" t="s">
        <v>9608</v>
      </c>
      <c r="X1639" t="s">
        <v>9609</v>
      </c>
      <c r="Y1639" t="s">
        <v>326</v>
      </c>
      <c r="Z1639" t="s">
        <v>117</v>
      </c>
      <c r="AA1639" t="str">
        <f>"14127-1749"</f>
        <v>14127-1749</v>
      </c>
      <c r="AB1639" t="s">
        <v>118</v>
      </c>
      <c r="AC1639" t="s">
        <v>119</v>
      </c>
      <c r="AD1639" t="s">
        <v>113</v>
      </c>
      <c r="AE1639" t="s">
        <v>120</v>
      </c>
      <c r="AG1639" t="s">
        <v>121</v>
      </c>
    </row>
    <row r="1640" spans="1:33" x14ac:dyDescent="0.25">
      <c r="A1640" t="str">
        <f>"1255574000"</f>
        <v>1255574000</v>
      </c>
      <c r="B1640" t="str">
        <f>"03506076"</f>
        <v>03506076</v>
      </c>
      <c r="C1640" t="s">
        <v>9610</v>
      </c>
      <c r="D1640" t="s">
        <v>9611</v>
      </c>
      <c r="E1640" t="s">
        <v>9612</v>
      </c>
      <c r="G1640" t="s">
        <v>9610</v>
      </c>
      <c r="H1640" t="s">
        <v>5207</v>
      </c>
      <c r="J1640" t="s">
        <v>9613</v>
      </c>
      <c r="L1640" t="s">
        <v>150</v>
      </c>
      <c r="M1640" t="s">
        <v>199</v>
      </c>
      <c r="R1640" t="s">
        <v>9612</v>
      </c>
      <c r="W1640" t="s">
        <v>9612</v>
      </c>
      <c r="X1640" t="s">
        <v>4483</v>
      </c>
      <c r="Y1640" t="s">
        <v>116</v>
      </c>
      <c r="Z1640" t="s">
        <v>117</v>
      </c>
      <c r="AA1640" t="str">
        <f>"14208-2102"</f>
        <v>14208-2102</v>
      </c>
      <c r="AB1640" t="s">
        <v>118</v>
      </c>
      <c r="AC1640" t="s">
        <v>119</v>
      </c>
      <c r="AD1640" t="s">
        <v>113</v>
      </c>
      <c r="AE1640" t="s">
        <v>120</v>
      </c>
      <c r="AG1640" t="s">
        <v>121</v>
      </c>
    </row>
    <row r="1641" spans="1:33" x14ac:dyDescent="0.25">
      <c r="A1641" t="str">
        <f>"1073821658"</f>
        <v>1073821658</v>
      </c>
      <c r="B1641" t="str">
        <f>"04033776"</f>
        <v>04033776</v>
      </c>
      <c r="C1641" t="s">
        <v>9614</v>
      </c>
      <c r="D1641" t="s">
        <v>9615</v>
      </c>
      <c r="E1641" t="s">
        <v>9616</v>
      </c>
      <c r="G1641" t="s">
        <v>9617</v>
      </c>
      <c r="H1641" t="s">
        <v>1115</v>
      </c>
      <c r="J1641" t="s">
        <v>438</v>
      </c>
      <c r="L1641" t="s">
        <v>112</v>
      </c>
      <c r="M1641" t="s">
        <v>113</v>
      </c>
      <c r="R1641" t="s">
        <v>9618</v>
      </c>
      <c r="W1641" t="s">
        <v>9616</v>
      </c>
      <c r="X1641" t="s">
        <v>1218</v>
      </c>
      <c r="Y1641" t="s">
        <v>318</v>
      </c>
      <c r="Z1641" t="s">
        <v>117</v>
      </c>
      <c r="AA1641" t="str">
        <f>"14225-4985"</f>
        <v>14225-4985</v>
      </c>
      <c r="AB1641" t="s">
        <v>621</v>
      </c>
      <c r="AC1641" t="s">
        <v>119</v>
      </c>
      <c r="AD1641" t="s">
        <v>113</v>
      </c>
      <c r="AE1641" t="s">
        <v>120</v>
      </c>
      <c r="AG1641" t="s">
        <v>121</v>
      </c>
    </row>
    <row r="1642" spans="1:33" x14ac:dyDescent="0.25">
      <c r="A1642" t="str">
        <f>"1073822474"</f>
        <v>1073822474</v>
      </c>
      <c r="B1642" t="str">
        <f>"03322790"</f>
        <v>03322790</v>
      </c>
      <c r="C1642" t="s">
        <v>9619</v>
      </c>
      <c r="D1642" t="s">
        <v>9620</v>
      </c>
      <c r="E1642" t="s">
        <v>9621</v>
      </c>
      <c r="G1642" t="s">
        <v>9622</v>
      </c>
      <c r="H1642" t="s">
        <v>9623</v>
      </c>
      <c r="J1642" t="s">
        <v>9624</v>
      </c>
      <c r="L1642" t="s">
        <v>142</v>
      </c>
      <c r="M1642" t="s">
        <v>113</v>
      </c>
      <c r="R1642" t="s">
        <v>9625</v>
      </c>
      <c r="W1642" t="s">
        <v>9621</v>
      </c>
      <c r="X1642" t="s">
        <v>9626</v>
      </c>
      <c r="Y1642" t="s">
        <v>116</v>
      </c>
      <c r="Z1642" t="s">
        <v>117</v>
      </c>
      <c r="AA1642" t="str">
        <f>"14204-1811"</f>
        <v>14204-1811</v>
      </c>
      <c r="AB1642" t="s">
        <v>118</v>
      </c>
      <c r="AC1642" t="s">
        <v>119</v>
      </c>
      <c r="AD1642" t="s">
        <v>113</v>
      </c>
      <c r="AE1642" t="s">
        <v>120</v>
      </c>
      <c r="AG1642" t="s">
        <v>121</v>
      </c>
    </row>
    <row r="1643" spans="1:33" x14ac:dyDescent="0.25">
      <c r="A1643" t="str">
        <f>"1073830725"</f>
        <v>1073830725</v>
      </c>
      <c r="B1643" t="str">
        <f>"03506434"</f>
        <v>03506434</v>
      </c>
      <c r="C1643" t="s">
        <v>9627</v>
      </c>
      <c r="D1643" t="s">
        <v>9628</v>
      </c>
      <c r="E1643" t="s">
        <v>9629</v>
      </c>
      <c r="G1643" t="s">
        <v>9627</v>
      </c>
      <c r="H1643" t="s">
        <v>9630</v>
      </c>
      <c r="J1643" t="s">
        <v>9631</v>
      </c>
      <c r="L1643" t="s">
        <v>150</v>
      </c>
      <c r="M1643" t="s">
        <v>199</v>
      </c>
      <c r="R1643" t="s">
        <v>9632</v>
      </c>
      <c r="W1643" t="s">
        <v>9629</v>
      </c>
      <c r="X1643" t="s">
        <v>253</v>
      </c>
      <c r="Y1643" t="s">
        <v>116</v>
      </c>
      <c r="Z1643" t="s">
        <v>117</v>
      </c>
      <c r="AA1643" t="str">
        <f>"14215-3021"</f>
        <v>14215-3021</v>
      </c>
      <c r="AB1643" t="s">
        <v>118</v>
      </c>
      <c r="AC1643" t="s">
        <v>119</v>
      </c>
      <c r="AD1643" t="s">
        <v>113</v>
      </c>
      <c r="AE1643" t="s">
        <v>120</v>
      </c>
      <c r="AG1643" t="s">
        <v>121</v>
      </c>
    </row>
    <row r="1644" spans="1:33" x14ac:dyDescent="0.25">
      <c r="A1644" t="str">
        <f>"1073897898"</f>
        <v>1073897898</v>
      </c>
      <c r="C1644" t="s">
        <v>9633</v>
      </c>
      <c r="G1644" t="s">
        <v>9634</v>
      </c>
      <c r="H1644" t="s">
        <v>351</v>
      </c>
      <c r="J1644" t="s">
        <v>352</v>
      </c>
      <c r="K1644" t="s">
        <v>303</v>
      </c>
      <c r="L1644" t="s">
        <v>229</v>
      </c>
      <c r="M1644" t="s">
        <v>113</v>
      </c>
      <c r="R1644" t="s">
        <v>9635</v>
      </c>
      <c r="S1644" t="s">
        <v>354</v>
      </c>
      <c r="T1644" t="s">
        <v>116</v>
      </c>
      <c r="U1644" t="s">
        <v>117</v>
      </c>
      <c r="V1644" t="str">
        <f>"142152814"</f>
        <v>142152814</v>
      </c>
      <c r="AC1644" t="s">
        <v>119</v>
      </c>
      <c r="AD1644" t="s">
        <v>113</v>
      </c>
      <c r="AE1644" t="s">
        <v>306</v>
      </c>
      <c r="AG1644" t="s">
        <v>121</v>
      </c>
    </row>
    <row r="1645" spans="1:33" x14ac:dyDescent="0.25">
      <c r="A1645" t="str">
        <f>"1073921441"</f>
        <v>1073921441</v>
      </c>
      <c r="C1645" t="s">
        <v>9636</v>
      </c>
      <c r="G1645" t="s">
        <v>9637</v>
      </c>
      <c r="H1645" t="s">
        <v>443</v>
      </c>
      <c r="K1645" t="s">
        <v>303</v>
      </c>
      <c r="L1645" t="s">
        <v>229</v>
      </c>
      <c r="M1645" t="s">
        <v>113</v>
      </c>
      <c r="R1645" t="s">
        <v>9638</v>
      </c>
      <c r="S1645" t="s">
        <v>409</v>
      </c>
      <c r="T1645" t="s">
        <v>116</v>
      </c>
      <c r="U1645" t="s">
        <v>117</v>
      </c>
      <c r="V1645" t="str">
        <f>"142152814"</f>
        <v>142152814</v>
      </c>
      <c r="AC1645" t="s">
        <v>119</v>
      </c>
      <c r="AD1645" t="s">
        <v>113</v>
      </c>
      <c r="AE1645" t="s">
        <v>306</v>
      </c>
      <c r="AG1645" t="s">
        <v>121</v>
      </c>
    </row>
    <row r="1646" spans="1:33" x14ac:dyDescent="0.25">
      <c r="A1646" t="str">
        <f>"1073956603"</f>
        <v>1073956603</v>
      </c>
      <c r="B1646" t="str">
        <f>"03688204"</f>
        <v>03688204</v>
      </c>
      <c r="C1646" t="s">
        <v>9639</v>
      </c>
      <c r="D1646" t="s">
        <v>9640</v>
      </c>
      <c r="E1646" t="s">
        <v>9641</v>
      </c>
      <c r="G1646" t="s">
        <v>9642</v>
      </c>
      <c r="H1646" t="s">
        <v>9643</v>
      </c>
      <c r="J1646" t="s">
        <v>9644</v>
      </c>
      <c r="L1646" t="s">
        <v>1033</v>
      </c>
      <c r="M1646" t="s">
        <v>113</v>
      </c>
      <c r="R1646" t="s">
        <v>9645</v>
      </c>
      <c r="W1646" t="s">
        <v>9641</v>
      </c>
      <c r="X1646" t="s">
        <v>8683</v>
      </c>
      <c r="Y1646" t="s">
        <v>116</v>
      </c>
      <c r="Z1646" t="s">
        <v>117</v>
      </c>
      <c r="AA1646" t="str">
        <f>"14209-2402"</f>
        <v>14209-2402</v>
      </c>
      <c r="AB1646" t="s">
        <v>118</v>
      </c>
      <c r="AC1646" t="s">
        <v>119</v>
      </c>
      <c r="AD1646" t="s">
        <v>113</v>
      </c>
      <c r="AE1646" t="s">
        <v>120</v>
      </c>
      <c r="AG1646" t="s">
        <v>121</v>
      </c>
    </row>
    <row r="1647" spans="1:33" x14ac:dyDescent="0.25">
      <c r="A1647" t="str">
        <f>"1194707034"</f>
        <v>1194707034</v>
      </c>
      <c r="B1647" t="str">
        <f>"00762381"</f>
        <v>00762381</v>
      </c>
      <c r="C1647" t="s">
        <v>9646</v>
      </c>
      <c r="D1647" t="s">
        <v>9647</v>
      </c>
      <c r="E1647" t="s">
        <v>9648</v>
      </c>
      <c r="G1647" t="s">
        <v>9646</v>
      </c>
      <c r="H1647" t="s">
        <v>9649</v>
      </c>
      <c r="J1647" t="s">
        <v>9650</v>
      </c>
      <c r="L1647" t="s">
        <v>142</v>
      </c>
      <c r="M1647" t="s">
        <v>113</v>
      </c>
      <c r="R1647" t="s">
        <v>9651</v>
      </c>
      <c r="W1647" t="s">
        <v>9648</v>
      </c>
      <c r="X1647" t="s">
        <v>9652</v>
      </c>
      <c r="Y1647" t="s">
        <v>116</v>
      </c>
      <c r="Z1647" t="s">
        <v>117</v>
      </c>
      <c r="AA1647" t="str">
        <f>"14215-3098"</f>
        <v>14215-3098</v>
      </c>
      <c r="AB1647" t="s">
        <v>118</v>
      </c>
      <c r="AC1647" t="s">
        <v>119</v>
      </c>
      <c r="AD1647" t="s">
        <v>113</v>
      </c>
      <c r="AE1647" t="s">
        <v>120</v>
      </c>
      <c r="AG1647" t="s">
        <v>121</v>
      </c>
    </row>
    <row r="1648" spans="1:33" x14ac:dyDescent="0.25">
      <c r="A1648" t="str">
        <f>"1194707372"</f>
        <v>1194707372</v>
      </c>
      <c r="B1648" t="str">
        <f>"02230142"</f>
        <v>02230142</v>
      </c>
      <c r="C1648" t="s">
        <v>9653</v>
      </c>
      <c r="D1648" t="s">
        <v>9654</v>
      </c>
      <c r="E1648" t="s">
        <v>9655</v>
      </c>
      <c r="G1648" t="s">
        <v>9653</v>
      </c>
      <c r="H1648" t="s">
        <v>9656</v>
      </c>
      <c r="J1648" t="s">
        <v>9657</v>
      </c>
      <c r="L1648" t="s">
        <v>112</v>
      </c>
      <c r="M1648" t="s">
        <v>113</v>
      </c>
      <c r="R1648" t="s">
        <v>9658</v>
      </c>
      <c r="W1648" t="s">
        <v>9659</v>
      </c>
      <c r="X1648" t="s">
        <v>9660</v>
      </c>
      <c r="Y1648" t="s">
        <v>9661</v>
      </c>
      <c r="Z1648" t="s">
        <v>117</v>
      </c>
      <c r="AA1648" t="str">
        <f>"11209-5204"</f>
        <v>11209-5204</v>
      </c>
      <c r="AB1648" t="s">
        <v>118</v>
      </c>
      <c r="AC1648" t="s">
        <v>119</v>
      </c>
      <c r="AD1648" t="s">
        <v>113</v>
      </c>
      <c r="AE1648" t="s">
        <v>120</v>
      </c>
      <c r="AG1648" t="s">
        <v>121</v>
      </c>
    </row>
    <row r="1649" spans="1:33" x14ac:dyDescent="0.25">
      <c r="A1649" t="str">
        <f>"1194708180"</f>
        <v>1194708180</v>
      </c>
      <c r="B1649" t="str">
        <f>"02428908"</f>
        <v>02428908</v>
      </c>
      <c r="C1649" t="s">
        <v>9662</v>
      </c>
      <c r="D1649" t="s">
        <v>9663</v>
      </c>
      <c r="E1649" t="s">
        <v>9664</v>
      </c>
      <c r="G1649" t="s">
        <v>9665</v>
      </c>
      <c r="H1649" t="s">
        <v>1013</v>
      </c>
      <c r="J1649" t="s">
        <v>9666</v>
      </c>
      <c r="L1649" t="s">
        <v>112</v>
      </c>
      <c r="M1649" t="s">
        <v>113</v>
      </c>
      <c r="R1649" t="s">
        <v>9667</v>
      </c>
      <c r="W1649" t="s">
        <v>9668</v>
      </c>
      <c r="X1649" t="s">
        <v>2892</v>
      </c>
      <c r="Y1649" t="s">
        <v>240</v>
      </c>
      <c r="Z1649" t="s">
        <v>117</v>
      </c>
      <c r="AA1649" t="str">
        <f>"14221-5838"</f>
        <v>14221-5838</v>
      </c>
      <c r="AB1649" t="s">
        <v>118</v>
      </c>
      <c r="AC1649" t="s">
        <v>119</v>
      </c>
      <c r="AD1649" t="s">
        <v>113</v>
      </c>
      <c r="AE1649" t="s">
        <v>120</v>
      </c>
      <c r="AG1649" t="s">
        <v>121</v>
      </c>
    </row>
    <row r="1650" spans="1:33" x14ac:dyDescent="0.25">
      <c r="A1650" t="str">
        <f>"1194718486"</f>
        <v>1194718486</v>
      </c>
      <c r="B1650" t="str">
        <f>"02076593"</f>
        <v>02076593</v>
      </c>
      <c r="C1650" t="s">
        <v>9669</v>
      </c>
      <c r="D1650" t="s">
        <v>9670</v>
      </c>
      <c r="E1650" t="s">
        <v>9671</v>
      </c>
      <c r="G1650" t="s">
        <v>9672</v>
      </c>
      <c r="H1650" t="s">
        <v>9673</v>
      </c>
      <c r="J1650" t="s">
        <v>6205</v>
      </c>
      <c r="L1650" t="s">
        <v>150</v>
      </c>
      <c r="M1650" t="s">
        <v>199</v>
      </c>
      <c r="R1650" t="s">
        <v>9674</v>
      </c>
      <c r="W1650" t="s">
        <v>9674</v>
      </c>
      <c r="X1650" t="s">
        <v>253</v>
      </c>
      <c r="Y1650" t="s">
        <v>116</v>
      </c>
      <c r="Z1650" t="s">
        <v>117</v>
      </c>
      <c r="AA1650" t="str">
        <f>"14215-3021"</f>
        <v>14215-3021</v>
      </c>
      <c r="AB1650" t="s">
        <v>118</v>
      </c>
      <c r="AC1650" t="s">
        <v>119</v>
      </c>
      <c r="AD1650" t="s">
        <v>113</v>
      </c>
      <c r="AE1650" t="s">
        <v>120</v>
      </c>
      <c r="AG1650" t="s">
        <v>121</v>
      </c>
    </row>
    <row r="1651" spans="1:33" x14ac:dyDescent="0.25">
      <c r="A1651" t="str">
        <f>"1194725275"</f>
        <v>1194725275</v>
      </c>
      <c r="B1651" t="str">
        <f>"01443250"</f>
        <v>01443250</v>
      </c>
      <c r="C1651" t="s">
        <v>9675</v>
      </c>
      <c r="D1651" t="s">
        <v>9676</v>
      </c>
      <c r="E1651" t="s">
        <v>9677</v>
      </c>
      <c r="G1651" t="s">
        <v>9675</v>
      </c>
      <c r="H1651" t="s">
        <v>7662</v>
      </c>
      <c r="L1651" t="s">
        <v>150</v>
      </c>
      <c r="M1651" t="s">
        <v>113</v>
      </c>
      <c r="R1651" t="s">
        <v>9678</v>
      </c>
      <c r="W1651" t="s">
        <v>9677</v>
      </c>
      <c r="X1651" t="s">
        <v>4022</v>
      </c>
      <c r="Y1651" t="s">
        <v>1257</v>
      </c>
      <c r="Z1651" t="s">
        <v>117</v>
      </c>
      <c r="AA1651" t="str">
        <f>"14141-1442"</f>
        <v>14141-1442</v>
      </c>
      <c r="AB1651" t="s">
        <v>118</v>
      </c>
      <c r="AC1651" t="s">
        <v>119</v>
      </c>
      <c r="AD1651" t="s">
        <v>113</v>
      </c>
      <c r="AE1651" t="s">
        <v>120</v>
      </c>
      <c r="AG1651" t="s">
        <v>121</v>
      </c>
    </row>
    <row r="1652" spans="1:33" x14ac:dyDescent="0.25">
      <c r="A1652" t="str">
        <f>"1194745281"</f>
        <v>1194745281</v>
      </c>
      <c r="B1652" t="str">
        <f>"01143833"</f>
        <v>01143833</v>
      </c>
      <c r="C1652" t="s">
        <v>9679</v>
      </c>
      <c r="D1652" t="s">
        <v>9680</v>
      </c>
      <c r="E1652" t="s">
        <v>9681</v>
      </c>
      <c r="G1652" t="s">
        <v>330</v>
      </c>
      <c r="H1652" t="s">
        <v>9682</v>
      </c>
      <c r="J1652" t="s">
        <v>332</v>
      </c>
      <c r="L1652" t="s">
        <v>150</v>
      </c>
      <c r="M1652" t="s">
        <v>113</v>
      </c>
      <c r="R1652" t="s">
        <v>9683</v>
      </c>
      <c r="W1652" t="s">
        <v>9684</v>
      </c>
      <c r="X1652" t="s">
        <v>9685</v>
      </c>
      <c r="Y1652" t="s">
        <v>326</v>
      </c>
      <c r="Z1652" t="s">
        <v>117</v>
      </c>
      <c r="AA1652" t="str">
        <f>"14127-1538"</f>
        <v>14127-1538</v>
      </c>
      <c r="AB1652" t="s">
        <v>118</v>
      </c>
      <c r="AC1652" t="s">
        <v>119</v>
      </c>
      <c r="AD1652" t="s">
        <v>113</v>
      </c>
      <c r="AE1652" t="s">
        <v>120</v>
      </c>
      <c r="AG1652" t="s">
        <v>121</v>
      </c>
    </row>
    <row r="1653" spans="1:33" x14ac:dyDescent="0.25">
      <c r="A1653" t="str">
        <f>"1194754705"</f>
        <v>1194754705</v>
      </c>
      <c r="B1653" t="str">
        <f>"00648320"</f>
        <v>00648320</v>
      </c>
      <c r="C1653" t="s">
        <v>9686</v>
      </c>
      <c r="D1653" t="s">
        <v>9687</v>
      </c>
      <c r="E1653" t="s">
        <v>9688</v>
      </c>
      <c r="G1653" t="s">
        <v>9686</v>
      </c>
      <c r="H1653" t="s">
        <v>1013</v>
      </c>
      <c r="J1653" t="s">
        <v>9689</v>
      </c>
      <c r="L1653" t="s">
        <v>142</v>
      </c>
      <c r="M1653" t="s">
        <v>113</v>
      </c>
      <c r="R1653" t="s">
        <v>9690</v>
      </c>
      <c r="W1653" t="s">
        <v>9688</v>
      </c>
      <c r="X1653" t="s">
        <v>9691</v>
      </c>
      <c r="Y1653" t="s">
        <v>116</v>
      </c>
      <c r="Z1653" t="s">
        <v>117</v>
      </c>
      <c r="AA1653" t="str">
        <f>"14215-3098"</f>
        <v>14215-3098</v>
      </c>
      <c r="AB1653" t="s">
        <v>118</v>
      </c>
      <c r="AC1653" t="s">
        <v>119</v>
      </c>
      <c r="AD1653" t="s">
        <v>113</v>
      </c>
      <c r="AE1653" t="s">
        <v>120</v>
      </c>
      <c r="AG1653" t="s">
        <v>121</v>
      </c>
    </row>
    <row r="1654" spans="1:33" x14ac:dyDescent="0.25">
      <c r="A1654" t="str">
        <f>"1194756403"</f>
        <v>1194756403</v>
      </c>
      <c r="B1654" t="str">
        <f>"02396490"</f>
        <v>02396490</v>
      </c>
      <c r="C1654" t="s">
        <v>9692</v>
      </c>
      <c r="D1654" t="s">
        <v>9693</v>
      </c>
      <c r="E1654" t="s">
        <v>9694</v>
      </c>
      <c r="G1654" t="s">
        <v>1723</v>
      </c>
      <c r="H1654" t="s">
        <v>9695</v>
      </c>
      <c r="J1654" t="s">
        <v>1725</v>
      </c>
      <c r="L1654" t="s">
        <v>142</v>
      </c>
      <c r="M1654" t="s">
        <v>113</v>
      </c>
      <c r="R1654" t="s">
        <v>9696</v>
      </c>
      <c r="W1654" t="s">
        <v>9694</v>
      </c>
      <c r="X1654" t="s">
        <v>152</v>
      </c>
      <c r="Y1654" t="s">
        <v>153</v>
      </c>
      <c r="Z1654" t="s">
        <v>117</v>
      </c>
      <c r="AA1654" t="str">
        <f>"14301-1813"</f>
        <v>14301-1813</v>
      </c>
      <c r="AB1654" t="s">
        <v>118</v>
      </c>
      <c r="AC1654" t="s">
        <v>119</v>
      </c>
      <c r="AD1654" t="s">
        <v>113</v>
      </c>
      <c r="AE1654" t="s">
        <v>120</v>
      </c>
      <c r="AG1654" t="s">
        <v>121</v>
      </c>
    </row>
    <row r="1655" spans="1:33" x14ac:dyDescent="0.25">
      <c r="A1655" t="str">
        <f>"1194766659"</f>
        <v>1194766659</v>
      </c>
      <c r="B1655" t="str">
        <f>"02792652"</f>
        <v>02792652</v>
      </c>
      <c r="C1655" t="s">
        <v>9697</v>
      </c>
      <c r="D1655" t="s">
        <v>9698</v>
      </c>
      <c r="E1655" t="s">
        <v>9699</v>
      </c>
      <c r="G1655" t="s">
        <v>9697</v>
      </c>
      <c r="H1655" t="s">
        <v>9700</v>
      </c>
      <c r="J1655" t="s">
        <v>9701</v>
      </c>
      <c r="L1655" t="s">
        <v>142</v>
      </c>
      <c r="M1655" t="s">
        <v>113</v>
      </c>
      <c r="R1655" t="s">
        <v>9702</v>
      </c>
      <c r="W1655" t="s">
        <v>9699</v>
      </c>
      <c r="X1655" t="s">
        <v>216</v>
      </c>
      <c r="Y1655" t="s">
        <v>116</v>
      </c>
      <c r="Z1655" t="s">
        <v>117</v>
      </c>
      <c r="AA1655" t="str">
        <f>"14222-2006"</f>
        <v>14222-2006</v>
      </c>
      <c r="AB1655" t="s">
        <v>118</v>
      </c>
      <c r="AC1655" t="s">
        <v>119</v>
      </c>
      <c r="AD1655" t="s">
        <v>113</v>
      </c>
      <c r="AE1655" t="s">
        <v>120</v>
      </c>
      <c r="AG1655" t="s">
        <v>121</v>
      </c>
    </row>
    <row r="1656" spans="1:33" x14ac:dyDescent="0.25">
      <c r="A1656" t="str">
        <f>"1194768796"</f>
        <v>1194768796</v>
      </c>
      <c r="B1656" t="str">
        <f>"01290362"</f>
        <v>01290362</v>
      </c>
      <c r="C1656" t="s">
        <v>9703</v>
      </c>
      <c r="D1656" t="s">
        <v>9704</v>
      </c>
      <c r="E1656" t="s">
        <v>9705</v>
      </c>
      <c r="G1656" t="s">
        <v>9703</v>
      </c>
      <c r="H1656" t="s">
        <v>1478</v>
      </c>
      <c r="J1656" t="s">
        <v>9706</v>
      </c>
      <c r="L1656" t="s">
        <v>142</v>
      </c>
      <c r="M1656" t="s">
        <v>113</v>
      </c>
      <c r="R1656" t="s">
        <v>9707</v>
      </c>
      <c r="W1656" t="s">
        <v>9705</v>
      </c>
      <c r="X1656" t="s">
        <v>838</v>
      </c>
      <c r="Y1656" t="s">
        <v>240</v>
      </c>
      <c r="Z1656" t="s">
        <v>117</v>
      </c>
      <c r="AA1656" t="str">
        <f>"14221-3647"</f>
        <v>14221-3647</v>
      </c>
      <c r="AB1656" t="s">
        <v>118</v>
      </c>
      <c r="AC1656" t="s">
        <v>119</v>
      </c>
      <c r="AD1656" t="s">
        <v>113</v>
      </c>
      <c r="AE1656" t="s">
        <v>120</v>
      </c>
      <c r="AG1656" t="s">
        <v>121</v>
      </c>
    </row>
    <row r="1657" spans="1:33" x14ac:dyDescent="0.25">
      <c r="A1657" t="str">
        <f>"1194772012"</f>
        <v>1194772012</v>
      </c>
      <c r="B1657" t="str">
        <f>"02677892"</f>
        <v>02677892</v>
      </c>
      <c r="C1657" t="s">
        <v>9708</v>
      </c>
      <c r="D1657" t="s">
        <v>9709</v>
      </c>
      <c r="E1657" t="s">
        <v>9710</v>
      </c>
      <c r="G1657" t="s">
        <v>9711</v>
      </c>
      <c r="H1657" t="s">
        <v>9712</v>
      </c>
      <c r="J1657" t="s">
        <v>9713</v>
      </c>
      <c r="L1657" t="s">
        <v>112</v>
      </c>
      <c r="M1657" t="s">
        <v>113</v>
      </c>
      <c r="R1657" t="s">
        <v>9714</v>
      </c>
      <c r="W1657" t="s">
        <v>9715</v>
      </c>
      <c r="X1657" t="s">
        <v>2607</v>
      </c>
      <c r="Y1657" t="s">
        <v>116</v>
      </c>
      <c r="Z1657" t="s">
        <v>117</v>
      </c>
      <c r="AA1657" t="str">
        <f>"14203-1149"</f>
        <v>14203-1149</v>
      </c>
      <c r="AB1657" t="s">
        <v>118</v>
      </c>
      <c r="AC1657" t="s">
        <v>119</v>
      </c>
      <c r="AD1657" t="s">
        <v>113</v>
      </c>
      <c r="AE1657" t="s">
        <v>120</v>
      </c>
      <c r="AG1657" t="s">
        <v>121</v>
      </c>
    </row>
    <row r="1658" spans="1:33" x14ac:dyDescent="0.25">
      <c r="A1658" t="str">
        <f>"1225226947"</f>
        <v>1225226947</v>
      </c>
      <c r="B1658" t="str">
        <f>"02962141"</f>
        <v>02962141</v>
      </c>
      <c r="C1658" t="s">
        <v>9716</v>
      </c>
      <c r="D1658" t="s">
        <v>9717</v>
      </c>
      <c r="E1658" t="s">
        <v>9718</v>
      </c>
      <c r="G1658" t="s">
        <v>9716</v>
      </c>
      <c r="H1658" t="s">
        <v>272</v>
      </c>
      <c r="J1658" t="s">
        <v>9719</v>
      </c>
      <c r="L1658" t="s">
        <v>150</v>
      </c>
      <c r="M1658" t="s">
        <v>199</v>
      </c>
      <c r="R1658" t="s">
        <v>9720</v>
      </c>
      <c r="W1658" t="s">
        <v>9721</v>
      </c>
      <c r="X1658" t="s">
        <v>966</v>
      </c>
      <c r="Y1658" t="s">
        <v>116</v>
      </c>
      <c r="Z1658" t="s">
        <v>117</v>
      </c>
      <c r="AA1658" t="str">
        <f>"14207-1816"</f>
        <v>14207-1816</v>
      </c>
      <c r="AB1658" t="s">
        <v>118</v>
      </c>
      <c r="AC1658" t="s">
        <v>119</v>
      </c>
      <c r="AD1658" t="s">
        <v>113</v>
      </c>
      <c r="AE1658" t="s">
        <v>120</v>
      </c>
      <c r="AG1658" t="s">
        <v>121</v>
      </c>
    </row>
    <row r="1659" spans="1:33" x14ac:dyDescent="0.25">
      <c r="A1659" t="str">
        <f>"1225293160"</f>
        <v>1225293160</v>
      </c>
      <c r="B1659" t="str">
        <f>"03960450"</f>
        <v>03960450</v>
      </c>
      <c r="C1659" t="s">
        <v>9722</v>
      </c>
      <c r="D1659" t="s">
        <v>9723</v>
      </c>
      <c r="E1659" t="s">
        <v>9724</v>
      </c>
      <c r="G1659" t="s">
        <v>9722</v>
      </c>
      <c r="H1659" t="s">
        <v>9725</v>
      </c>
      <c r="J1659" t="s">
        <v>9726</v>
      </c>
      <c r="L1659" t="s">
        <v>112</v>
      </c>
      <c r="M1659" t="s">
        <v>113</v>
      </c>
      <c r="R1659" t="s">
        <v>9727</v>
      </c>
      <c r="W1659" t="s">
        <v>9724</v>
      </c>
      <c r="X1659" t="s">
        <v>8739</v>
      </c>
      <c r="Y1659" t="s">
        <v>116</v>
      </c>
      <c r="Z1659" t="s">
        <v>117</v>
      </c>
      <c r="AA1659" t="str">
        <f>"14203-2209"</f>
        <v>14203-2209</v>
      </c>
      <c r="AB1659" t="s">
        <v>634</v>
      </c>
      <c r="AC1659" t="s">
        <v>119</v>
      </c>
      <c r="AD1659" t="s">
        <v>113</v>
      </c>
      <c r="AE1659" t="s">
        <v>120</v>
      </c>
      <c r="AG1659" t="s">
        <v>121</v>
      </c>
    </row>
    <row r="1660" spans="1:33" x14ac:dyDescent="0.25">
      <c r="A1660" t="str">
        <f>"1225340474"</f>
        <v>1225340474</v>
      </c>
      <c r="B1660" t="str">
        <f>"03716850"</f>
        <v>03716850</v>
      </c>
      <c r="C1660" t="s">
        <v>9728</v>
      </c>
      <c r="D1660" t="s">
        <v>9729</v>
      </c>
      <c r="E1660" t="s">
        <v>9730</v>
      </c>
      <c r="G1660" t="s">
        <v>9728</v>
      </c>
      <c r="H1660" t="s">
        <v>9731</v>
      </c>
      <c r="J1660" t="s">
        <v>9732</v>
      </c>
      <c r="L1660" t="s">
        <v>112</v>
      </c>
      <c r="M1660" t="s">
        <v>113</v>
      </c>
      <c r="R1660" t="s">
        <v>9733</v>
      </c>
      <c r="W1660" t="s">
        <v>9734</v>
      </c>
      <c r="X1660" t="s">
        <v>176</v>
      </c>
      <c r="Y1660" t="s">
        <v>116</v>
      </c>
      <c r="Z1660" t="s">
        <v>117</v>
      </c>
      <c r="AA1660" t="str">
        <f>"14203-1126"</f>
        <v>14203-1126</v>
      </c>
      <c r="AB1660" t="s">
        <v>118</v>
      </c>
      <c r="AC1660" t="s">
        <v>119</v>
      </c>
      <c r="AD1660" t="s">
        <v>113</v>
      </c>
      <c r="AE1660" t="s">
        <v>120</v>
      </c>
      <c r="AG1660" t="s">
        <v>121</v>
      </c>
    </row>
    <row r="1661" spans="1:33" x14ac:dyDescent="0.25">
      <c r="A1661" t="str">
        <f>"1225367022"</f>
        <v>1225367022</v>
      </c>
      <c r="B1661" t="str">
        <f>"03189291"</f>
        <v>03189291</v>
      </c>
      <c r="C1661" t="s">
        <v>9735</v>
      </c>
      <c r="D1661" t="s">
        <v>9736</v>
      </c>
      <c r="E1661" t="s">
        <v>9737</v>
      </c>
      <c r="G1661" t="s">
        <v>9738</v>
      </c>
      <c r="H1661" t="s">
        <v>9739</v>
      </c>
      <c r="J1661" t="s">
        <v>9740</v>
      </c>
      <c r="L1661" t="s">
        <v>112</v>
      </c>
      <c r="M1661" t="s">
        <v>113</v>
      </c>
      <c r="R1661" t="s">
        <v>9741</v>
      </c>
      <c r="W1661" t="s">
        <v>9742</v>
      </c>
      <c r="X1661" t="s">
        <v>216</v>
      </c>
      <c r="Y1661" t="s">
        <v>116</v>
      </c>
      <c r="Z1661" t="s">
        <v>117</v>
      </c>
      <c r="AA1661" t="str">
        <f>"14222-2006"</f>
        <v>14222-2006</v>
      </c>
      <c r="AB1661" t="s">
        <v>118</v>
      </c>
      <c r="AC1661" t="s">
        <v>119</v>
      </c>
      <c r="AD1661" t="s">
        <v>113</v>
      </c>
      <c r="AE1661" t="s">
        <v>120</v>
      </c>
      <c r="AG1661" t="s">
        <v>121</v>
      </c>
    </row>
    <row r="1662" spans="1:33" x14ac:dyDescent="0.25">
      <c r="A1662" t="str">
        <f>"1457413528"</f>
        <v>1457413528</v>
      </c>
      <c r="B1662" t="str">
        <f>"03186041"</f>
        <v>03186041</v>
      </c>
      <c r="C1662" t="s">
        <v>9743</v>
      </c>
      <c r="D1662" t="s">
        <v>9744</v>
      </c>
      <c r="E1662" t="s">
        <v>9745</v>
      </c>
      <c r="G1662" t="s">
        <v>9746</v>
      </c>
      <c r="H1662" t="s">
        <v>6733</v>
      </c>
      <c r="L1662" t="s">
        <v>150</v>
      </c>
      <c r="M1662" t="s">
        <v>199</v>
      </c>
      <c r="R1662" t="s">
        <v>9747</v>
      </c>
      <c r="W1662" t="s">
        <v>9745</v>
      </c>
      <c r="X1662" t="s">
        <v>855</v>
      </c>
      <c r="Y1662" t="s">
        <v>116</v>
      </c>
      <c r="Z1662" t="s">
        <v>117</v>
      </c>
      <c r="AA1662" t="str">
        <f>"14213-1573"</f>
        <v>14213-1573</v>
      </c>
      <c r="AB1662" t="s">
        <v>118</v>
      </c>
      <c r="AC1662" t="s">
        <v>119</v>
      </c>
      <c r="AD1662" t="s">
        <v>113</v>
      </c>
      <c r="AE1662" t="s">
        <v>120</v>
      </c>
      <c r="AG1662" t="s">
        <v>121</v>
      </c>
    </row>
    <row r="1663" spans="1:33" x14ac:dyDescent="0.25">
      <c r="A1663" t="str">
        <f>"1457432346"</f>
        <v>1457432346</v>
      </c>
      <c r="B1663" t="str">
        <f>"03144763"</f>
        <v>03144763</v>
      </c>
      <c r="C1663" t="s">
        <v>9748</v>
      </c>
      <c r="D1663" t="s">
        <v>9749</v>
      </c>
      <c r="E1663" t="s">
        <v>9750</v>
      </c>
      <c r="G1663" t="s">
        <v>9748</v>
      </c>
      <c r="H1663" t="s">
        <v>707</v>
      </c>
      <c r="J1663" t="s">
        <v>9751</v>
      </c>
      <c r="L1663" t="s">
        <v>142</v>
      </c>
      <c r="M1663" t="s">
        <v>113</v>
      </c>
      <c r="R1663" t="s">
        <v>9750</v>
      </c>
      <c r="W1663" t="s">
        <v>9750</v>
      </c>
      <c r="X1663" t="s">
        <v>709</v>
      </c>
      <c r="Y1663" t="s">
        <v>116</v>
      </c>
      <c r="Z1663" t="s">
        <v>117</v>
      </c>
      <c r="AA1663" t="str">
        <f>"14263-0001"</f>
        <v>14263-0001</v>
      </c>
      <c r="AB1663" t="s">
        <v>118</v>
      </c>
      <c r="AC1663" t="s">
        <v>119</v>
      </c>
      <c r="AD1663" t="s">
        <v>113</v>
      </c>
      <c r="AE1663" t="s">
        <v>120</v>
      </c>
      <c r="AG1663" t="s">
        <v>121</v>
      </c>
    </row>
    <row r="1664" spans="1:33" x14ac:dyDescent="0.25">
      <c r="A1664" t="str">
        <f>"1245374214"</f>
        <v>1245374214</v>
      </c>
      <c r="B1664" t="str">
        <f>"01408075"</f>
        <v>01408075</v>
      </c>
      <c r="C1664" t="s">
        <v>10048</v>
      </c>
      <c r="D1664" t="s">
        <v>10049</v>
      </c>
      <c r="E1664" t="s">
        <v>10050</v>
      </c>
      <c r="H1664" t="s">
        <v>10051</v>
      </c>
      <c r="L1664" t="s">
        <v>67</v>
      </c>
      <c r="M1664" t="s">
        <v>199</v>
      </c>
      <c r="R1664" t="s">
        <v>10048</v>
      </c>
      <c r="W1664" t="s">
        <v>10050</v>
      </c>
      <c r="X1664" t="s">
        <v>10052</v>
      </c>
      <c r="Y1664" t="s">
        <v>305</v>
      </c>
      <c r="Z1664" t="s">
        <v>117</v>
      </c>
      <c r="AA1664" t="str">
        <f>"14760"</f>
        <v>14760</v>
      </c>
      <c r="AB1664" t="s">
        <v>291</v>
      </c>
      <c r="AC1664" t="s">
        <v>119</v>
      </c>
      <c r="AD1664" t="s">
        <v>113</v>
      </c>
      <c r="AE1664" t="s">
        <v>120</v>
      </c>
      <c r="AG1664" t="s">
        <v>121</v>
      </c>
    </row>
    <row r="1665" spans="1:33" x14ac:dyDescent="0.25">
      <c r="A1665" t="str">
        <f>"1063400539"</f>
        <v>1063400539</v>
      </c>
      <c r="B1665" t="str">
        <f>"00354389"</f>
        <v>00354389</v>
      </c>
      <c r="C1665" t="s">
        <v>11956</v>
      </c>
      <c r="D1665" t="s">
        <v>11957</v>
      </c>
      <c r="E1665" t="s">
        <v>11958</v>
      </c>
      <c r="G1665" t="s">
        <v>11959</v>
      </c>
      <c r="H1665" t="s">
        <v>11960</v>
      </c>
      <c r="J1665" t="s">
        <v>11961</v>
      </c>
      <c r="L1665" t="s">
        <v>975</v>
      </c>
      <c r="M1665" t="s">
        <v>199</v>
      </c>
      <c r="R1665" t="s">
        <v>11956</v>
      </c>
      <c r="W1665" t="s">
        <v>11962</v>
      </c>
      <c r="X1665" t="s">
        <v>1353</v>
      </c>
      <c r="Y1665" t="s">
        <v>663</v>
      </c>
      <c r="Z1665" t="s">
        <v>117</v>
      </c>
      <c r="AA1665" t="str">
        <f>"14094-3201"</f>
        <v>14094-3201</v>
      </c>
      <c r="AB1665" t="s">
        <v>1460</v>
      </c>
      <c r="AC1665" t="s">
        <v>119</v>
      </c>
      <c r="AD1665" t="s">
        <v>113</v>
      </c>
      <c r="AE1665" t="s">
        <v>120</v>
      </c>
      <c r="AG1665" t="s">
        <v>121</v>
      </c>
    </row>
    <row r="1666" spans="1:33" x14ac:dyDescent="0.25">
      <c r="A1666" t="str">
        <f>"1457517674"</f>
        <v>1457517674</v>
      </c>
      <c r="C1666" t="s">
        <v>9760</v>
      </c>
      <c r="G1666" t="s">
        <v>9760</v>
      </c>
      <c r="H1666" t="s">
        <v>1308</v>
      </c>
      <c r="J1666" t="s">
        <v>9761</v>
      </c>
      <c r="K1666" t="s">
        <v>303</v>
      </c>
      <c r="L1666" t="s">
        <v>112</v>
      </c>
      <c r="M1666" t="s">
        <v>113</v>
      </c>
      <c r="R1666" t="s">
        <v>9762</v>
      </c>
      <c r="S1666" t="s">
        <v>6958</v>
      </c>
      <c r="T1666" t="s">
        <v>145</v>
      </c>
      <c r="U1666" t="s">
        <v>117</v>
      </c>
      <c r="V1666" t="str">
        <f>"140512610"</f>
        <v>140512610</v>
      </c>
      <c r="AC1666" t="s">
        <v>119</v>
      </c>
      <c r="AD1666" t="s">
        <v>113</v>
      </c>
      <c r="AE1666" t="s">
        <v>306</v>
      </c>
      <c r="AG1666" t="s">
        <v>121</v>
      </c>
    </row>
    <row r="1667" spans="1:33" x14ac:dyDescent="0.25">
      <c r="A1667" t="str">
        <f>"1457548141"</f>
        <v>1457548141</v>
      </c>
      <c r="C1667" t="s">
        <v>9763</v>
      </c>
      <c r="G1667" t="s">
        <v>9763</v>
      </c>
      <c r="H1667" t="s">
        <v>9764</v>
      </c>
      <c r="J1667" t="s">
        <v>9765</v>
      </c>
      <c r="K1667" t="s">
        <v>634</v>
      </c>
      <c r="L1667" t="s">
        <v>112</v>
      </c>
      <c r="M1667" t="s">
        <v>113</v>
      </c>
      <c r="R1667" t="s">
        <v>9766</v>
      </c>
      <c r="S1667" t="s">
        <v>9767</v>
      </c>
      <c r="T1667" t="s">
        <v>240</v>
      </c>
      <c r="U1667" t="s">
        <v>117</v>
      </c>
      <c r="V1667" t="str">
        <f>"142214641"</f>
        <v>142214641</v>
      </c>
      <c r="AC1667" t="s">
        <v>119</v>
      </c>
      <c r="AD1667" t="s">
        <v>113</v>
      </c>
      <c r="AE1667" t="s">
        <v>306</v>
      </c>
      <c r="AG1667" t="s">
        <v>121</v>
      </c>
    </row>
    <row r="1668" spans="1:33" x14ac:dyDescent="0.25">
      <c r="A1668" t="str">
        <f>"1366605800"</f>
        <v>1366605800</v>
      </c>
      <c r="B1668" t="str">
        <f>"03643978"</f>
        <v>03643978</v>
      </c>
      <c r="C1668" t="s">
        <v>9768</v>
      </c>
      <c r="D1668" t="s">
        <v>9769</v>
      </c>
      <c r="E1668" t="s">
        <v>9770</v>
      </c>
      <c r="G1668" t="s">
        <v>9771</v>
      </c>
      <c r="J1668" t="s">
        <v>9772</v>
      </c>
      <c r="L1668" t="s">
        <v>142</v>
      </c>
      <c r="M1668" t="s">
        <v>113</v>
      </c>
      <c r="R1668" t="s">
        <v>9773</v>
      </c>
      <c r="W1668" t="s">
        <v>9770</v>
      </c>
      <c r="X1668" t="s">
        <v>9774</v>
      </c>
      <c r="Y1668" t="s">
        <v>958</v>
      </c>
      <c r="Z1668" t="s">
        <v>117</v>
      </c>
      <c r="AA1668" t="str">
        <f>"14226-1725"</f>
        <v>14226-1725</v>
      </c>
      <c r="AB1668" t="s">
        <v>118</v>
      </c>
      <c r="AC1668" t="s">
        <v>119</v>
      </c>
      <c r="AD1668" t="s">
        <v>113</v>
      </c>
      <c r="AE1668" t="s">
        <v>120</v>
      </c>
      <c r="AG1668" t="s">
        <v>121</v>
      </c>
    </row>
    <row r="1669" spans="1:33" x14ac:dyDescent="0.25">
      <c r="A1669" t="str">
        <f>"1366646945"</f>
        <v>1366646945</v>
      </c>
      <c r="C1669" t="s">
        <v>9775</v>
      </c>
      <c r="G1669" t="s">
        <v>9775</v>
      </c>
      <c r="J1669" t="s">
        <v>9776</v>
      </c>
      <c r="K1669" t="s">
        <v>303</v>
      </c>
      <c r="L1669" t="s">
        <v>229</v>
      </c>
      <c r="M1669" t="s">
        <v>113</v>
      </c>
      <c r="R1669" t="s">
        <v>9777</v>
      </c>
      <c r="S1669" t="s">
        <v>9778</v>
      </c>
      <c r="T1669" t="s">
        <v>116</v>
      </c>
      <c r="U1669" t="s">
        <v>117</v>
      </c>
      <c r="V1669" t="str">
        <f>"142031126"</f>
        <v>142031126</v>
      </c>
      <c r="AC1669" t="s">
        <v>119</v>
      </c>
      <c r="AD1669" t="s">
        <v>113</v>
      </c>
      <c r="AE1669" t="s">
        <v>306</v>
      </c>
      <c r="AG1669" t="s">
        <v>121</v>
      </c>
    </row>
    <row r="1670" spans="1:33" x14ac:dyDescent="0.25">
      <c r="A1670" t="str">
        <f>"1366724163"</f>
        <v>1366724163</v>
      </c>
      <c r="C1670" t="s">
        <v>9779</v>
      </c>
      <c r="G1670" t="s">
        <v>9780</v>
      </c>
      <c r="J1670" t="s">
        <v>352</v>
      </c>
      <c r="K1670" t="s">
        <v>303</v>
      </c>
      <c r="L1670" t="s">
        <v>229</v>
      </c>
      <c r="M1670" t="s">
        <v>113</v>
      </c>
      <c r="R1670" t="s">
        <v>9781</v>
      </c>
      <c r="S1670" t="s">
        <v>1091</v>
      </c>
      <c r="T1670" t="s">
        <v>116</v>
      </c>
      <c r="U1670" t="s">
        <v>117</v>
      </c>
      <c r="V1670" t="str">
        <f>"142072341"</f>
        <v>142072341</v>
      </c>
      <c r="AC1670" t="s">
        <v>119</v>
      </c>
      <c r="AD1670" t="s">
        <v>113</v>
      </c>
      <c r="AE1670" t="s">
        <v>306</v>
      </c>
      <c r="AG1670" t="s">
        <v>121</v>
      </c>
    </row>
    <row r="1671" spans="1:33" x14ac:dyDescent="0.25">
      <c r="A1671" t="str">
        <f>"1366737751"</f>
        <v>1366737751</v>
      </c>
      <c r="C1671" t="s">
        <v>9782</v>
      </c>
      <c r="G1671" t="s">
        <v>9782</v>
      </c>
      <c r="H1671" t="s">
        <v>9783</v>
      </c>
      <c r="J1671" t="s">
        <v>9784</v>
      </c>
      <c r="K1671" t="s">
        <v>303</v>
      </c>
      <c r="L1671" t="s">
        <v>112</v>
      </c>
      <c r="M1671" t="s">
        <v>113</v>
      </c>
      <c r="R1671" t="s">
        <v>9785</v>
      </c>
      <c r="S1671" t="s">
        <v>136</v>
      </c>
      <c r="T1671" t="s">
        <v>116</v>
      </c>
      <c r="U1671" t="s">
        <v>117</v>
      </c>
      <c r="V1671" t="str">
        <f>"142091120"</f>
        <v>142091120</v>
      </c>
      <c r="AC1671" t="s">
        <v>119</v>
      </c>
      <c r="AD1671" t="s">
        <v>113</v>
      </c>
      <c r="AE1671" t="s">
        <v>306</v>
      </c>
      <c r="AG1671" t="s">
        <v>121</v>
      </c>
    </row>
    <row r="1672" spans="1:33" x14ac:dyDescent="0.25">
      <c r="A1672" t="str">
        <f>"1366769796"</f>
        <v>1366769796</v>
      </c>
      <c r="B1672" t="str">
        <f>"03658784"</f>
        <v>03658784</v>
      </c>
      <c r="C1672" t="s">
        <v>9786</v>
      </c>
      <c r="D1672" t="s">
        <v>9787</v>
      </c>
      <c r="E1672" t="s">
        <v>9788</v>
      </c>
      <c r="G1672" t="s">
        <v>9786</v>
      </c>
      <c r="H1672" t="s">
        <v>2848</v>
      </c>
      <c r="J1672" t="s">
        <v>9789</v>
      </c>
      <c r="L1672" t="s">
        <v>150</v>
      </c>
      <c r="M1672" t="s">
        <v>113</v>
      </c>
      <c r="R1672" t="s">
        <v>9790</v>
      </c>
      <c r="W1672" t="s">
        <v>9788</v>
      </c>
      <c r="X1672" t="s">
        <v>9791</v>
      </c>
      <c r="Y1672" t="s">
        <v>9792</v>
      </c>
      <c r="Z1672" t="s">
        <v>117</v>
      </c>
      <c r="AA1672" t="str">
        <f>"14219-2980"</f>
        <v>14219-2980</v>
      </c>
      <c r="AB1672" t="s">
        <v>118</v>
      </c>
      <c r="AC1672" t="s">
        <v>119</v>
      </c>
      <c r="AD1672" t="s">
        <v>113</v>
      </c>
      <c r="AE1672" t="s">
        <v>120</v>
      </c>
      <c r="AG1672" t="s">
        <v>121</v>
      </c>
    </row>
    <row r="1673" spans="1:33" x14ac:dyDescent="0.25">
      <c r="A1673" t="str">
        <f>"1366791212"</f>
        <v>1366791212</v>
      </c>
      <c r="C1673" t="s">
        <v>9793</v>
      </c>
      <c r="G1673" t="s">
        <v>9794</v>
      </c>
      <c r="H1673" t="s">
        <v>437</v>
      </c>
      <c r="J1673" t="s">
        <v>438</v>
      </c>
      <c r="K1673" t="s">
        <v>303</v>
      </c>
      <c r="L1673" t="s">
        <v>112</v>
      </c>
      <c r="M1673" t="s">
        <v>113</v>
      </c>
      <c r="R1673" t="s">
        <v>9795</v>
      </c>
      <c r="S1673" t="s">
        <v>1117</v>
      </c>
      <c r="T1673" t="s">
        <v>318</v>
      </c>
      <c r="U1673" t="s">
        <v>117</v>
      </c>
      <c r="V1673" t="str">
        <f>"142254985"</f>
        <v>142254985</v>
      </c>
      <c r="AC1673" t="s">
        <v>119</v>
      </c>
      <c r="AD1673" t="s">
        <v>113</v>
      </c>
      <c r="AE1673" t="s">
        <v>306</v>
      </c>
      <c r="AG1673" t="s">
        <v>121</v>
      </c>
    </row>
    <row r="1674" spans="1:33" x14ac:dyDescent="0.25">
      <c r="A1674" t="str">
        <f>"1366870677"</f>
        <v>1366870677</v>
      </c>
      <c r="C1674" t="s">
        <v>9796</v>
      </c>
      <c r="G1674" t="s">
        <v>9797</v>
      </c>
      <c r="H1674" t="s">
        <v>1964</v>
      </c>
      <c r="J1674" t="s">
        <v>9798</v>
      </c>
      <c r="K1674" t="s">
        <v>303</v>
      </c>
      <c r="L1674" t="s">
        <v>229</v>
      </c>
      <c r="M1674" t="s">
        <v>113</v>
      </c>
      <c r="R1674" t="s">
        <v>9799</v>
      </c>
      <c r="S1674" t="s">
        <v>176</v>
      </c>
      <c r="T1674" t="s">
        <v>116</v>
      </c>
      <c r="U1674" t="s">
        <v>117</v>
      </c>
      <c r="V1674" t="str">
        <f>"142031126"</f>
        <v>142031126</v>
      </c>
      <c r="AC1674" t="s">
        <v>119</v>
      </c>
      <c r="AD1674" t="s">
        <v>113</v>
      </c>
      <c r="AE1674" t="s">
        <v>306</v>
      </c>
      <c r="AG1674" t="s">
        <v>121</v>
      </c>
    </row>
    <row r="1675" spans="1:33" x14ac:dyDescent="0.25">
      <c r="A1675" t="str">
        <f>"1376500132"</f>
        <v>1376500132</v>
      </c>
      <c r="C1675" t="s">
        <v>9800</v>
      </c>
      <c r="G1675" t="s">
        <v>9800</v>
      </c>
      <c r="H1675" t="s">
        <v>9801</v>
      </c>
      <c r="J1675" t="s">
        <v>9802</v>
      </c>
      <c r="K1675" t="s">
        <v>303</v>
      </c>
      <c r="L1675" t="s">
        <v>112</v>
      </c>
      <c r="M1675" t="s">
        <v>113</v>
      </c>
      <c r="R1675" t="s">
        <v>9803</v>
      </c>
      <c r="S1675" t="s">
        <v>136</v>
      </c>
      <c r="T1675" t="s">
        <v>116</v>
      </c>
      <c r="U1675" t="s">
        <v>117</v>
      </c>
      <c r="V1675" t="str">
        <f>"142091120"</f>
        <v>142091120</v>
      </c>
      <c r="AC1675" t="s">
        <v>119</v>
      </c>
      <c r="AD1675" t="s">
        <v>113</v>
      </c>
      <c r="AE1675" t="s">
        <v>306</v>
      </c>
      <c r="AG1675" t="s">
        <v>121</v>
      </c>
    </row>
    <row r="1676" spans="1:33" x14ac:dyDescent="0.25">
      <c r="A1676" t="str">
        <f>"1376505099"</f>
        <v>1376505099</v>
      </c>
      <c r="B1676" t="str">
        <f>"02515204"</f>
        <v>02515204</v>
      </c>
      <c r="C1676" t="s">
        <v>9804</v>
      </c>
      <c r="D1676" t="s">
        <v>9805</v>
      </c>
      <c r="E1676" t="s">
        <v>9806</v>
      </c>
      <c r="G1676" t="s">
        <v>9807</v>
      </c>
      <c r="H1676" t="s">
        <v>8070</v>
      </c>
      <c r="L1676" t="s">
        <v>112</v>
      </c>
      <c r="M1676" t="s">
        <v>199</v>
      </c>
      <c r="R1676" t="s">
        <v>9808</v>
      </c>
      <c r="W1676" t="s">
        <v>9809</v>
      </c>
      <c r="X1676" t="s">
        <v>9810</v>
      </c>
      <c r="Y1676" t="s">
        <v>318</v>
      </c>
      <c r="Z1676" t="s">
        <v>117</v>
      </c>
      <c r="AA1676" t="str">
        <f>"14225-0000"</f>
        <v>14225-0000</v>
      </c>
      <c r="AB1676" t="s">
        <v>118</v>
      </c>
      <c r="AC1676" t="s">
        <v>119</v>
      </c>
      <c r="AD1676" t="s">
        <v>113</v>
      </c>
      <c r="AE1676" t="s">
        <v>120</v>
      </c>
      <c r="AG1676" t="s">
        <v>121</v>
      </c>
    </row>
    <row r="1677" spans="1:33" x14ac:dyDescent="0.25">
      <c r="A1677" t="str">
        <f>"1376507228"</f>
        <v>1376507228</v>
      </c>
      <c r="B1677" t="str">
        <f>"02601238"</f>
        <v>02601238</v>
      </c>
      <c r="C1677" t="s">
        <v>9811</v>
      </c>
      <c r="D1677" t="s">
        <v>9812</v>
      </c>
      <c r="E1677" t="s">
        <v>9813</v>
      </c>
      <c r="G1677" t="s">
        <v>9811</v>
      </c>
      <c r="H1677" t="s">
        <v>213</v>
      </c>
      <c r="J1677" t="s">
        <v>9814</v>
      </c>
      <c r="L1677" t="s">
        <v>142</v>
      </c>
      <c r="M1677" t="s">
        <v>113</v>
      </c>
      <c r="R1677" t="s">
        <v>9815</v>
      </c>
      <c r="W1677" t="s">
        <v>9813</v>
      </c>
      <c r="X1677" t="s">
        <v>9816</v>
      </c>
      <c r="Y1677" t="s">
        <v>116</v>
      </c>
      <c r="Z1677" t="s">
        <v>117</v>
      </c>
      <c r="AA1677" t="str">
        <f>"14222-2006"</f>
        <v>14222-2006</v>
      </c>
      <c r="AB1677" t="s">
        <v>118</v>
      </c>
      <c r="AC1677" t="s">
        <v>119</v>
      </c>
      <c r="AD1677" t="s">
        <v>113</v>
      </c>
      <c r="AE1677" t="s">
        <v>120</v>
      </c>
      <c r="AG1677" t="s">
        <v>121</v>
      </c>
    </row>
    <row r="1678" spans="1:33" x14ac:dyDescent="0.25">
      <c r="A1678" t="str">
        <f>"1487605382"</f>
        <v>1487605382</v>
      </c>
      <c r="B1678" t="str">
        <f>"02076171"</f>
        <v>02076171</v>
      </c>
      <c r="C1678" t="s">
        <v>9817</v>
      </c>
      <c r="D1678" t="s">
        <v>9818</v>
      </c>
      <c r="E1678" t="s">
        <v>9819</v>
      </c>
      <c r="G1678" t="s">
        <v>9817</v>
      </c>
      <c r="H1678" t="s">
        <v>9820</v>
      </c>
      <c r="J1678" t="s">
        <v>9821</v>
      </c>
      <c r="L1678" t="s">
        <v>112</v>
      </c>
      <c r="M1678" t="s">
        <v>113</v>
      </c>
      <c r="R1678" t="s">
        <v>9822</v>
      </c>
      <c r="W1678" t="s">
        <v>9819</v>
      </c>
      <c r="X1678" t="s">
        <v>554</v>
      </c>
      <c r="Y1678" t="s">
        <v>116</v>
      </c>
      <c r="Z1678" t="s">
        <v>117</v>
      </c>
      <c r="AA1678" t="str">
        <f>"14209-1635"</f>
        <v>14209-1635</v>
      </c>
      <c r="AB1678" t="s">
        <v>118</v>
      </c>
      <c r="AC1678" t="s">
        <v>119</v>
      </c>
      <c r="AD1678" t="s">
        <v>113</v>
      </c>
      <c r="AE1678" t="s">
        <v>120</v>
      </c>
      <c r="AG1678" t="s">
        <v>121</v>
      </c>
    </row>
    <row r="1679" spans="1:33" x14ac:dyDescent="0.25">
      <c r="A1679" t="str">
        <f>"1487608709"</f>
        <v>1487608709</v>
      </c>
      <c r="B1679" t="str">
        <f>"02265718"</f>
        <v>02265718</v>
      </c>
      <c r="C1679" t="s">
        <v>9823</v>
      </c>
      <c r="D1679" t="s">
        <v>9824</v>
      </c>
      <c r="E1679" t="s">
        <v>9825</v>
      </c>
      <c r="H1679" t="s">
        <v>2628</v>
      </c>
      <c r="L1679" t="s">
        <v>150</v>
      </c>
      <c r="M1679" t="s">
        <v>199</v>
      </c>
      <c r="R1679" t="s">
        <v>9826</v>
      </c>
      <c r="W1679" t="s">
        <v>9825</v>
      </c>
      <c r="X1679" t="s">
        <v>9827</v>
      </c>
      <c r="Y1679" t="s">
        <v>116</v>
      </c>
      <c r="Z1679" t="s">
        <v>117</v>
      </c>
      <c r="AA1679" t="str">
        <f>"14210-2436"</f>
        <v>14210-2436</v>
      </c>
      <c r="AB1679" t="s">
        <v>118</v>
      </c>
      <c r="AC1679" t="s">
        <v>119</v>
      </c>
      <c r="AD1679" t="s">
        <v>113</v>
      </c>
      <c r="AE1679" t="s">
        <v>120</v>
      </c>
      <c r="AG1679" t="s">
        <v>121</v>
      </c>
    </row>
    <row r="1680" spans="1:33" x14ac:dyDescent="0.25">
      <c r="A1680" t="str">
        <f>"1487610283"</f>
        <v>1487610283</v>
      </c>
      <c r="B1680" t="str">
        <f>"00637398"</f>
        <v>00637398</v>
      </c>
      <c r="C1680" t="s">
        <v>9828</v>
      </c>
      <c r="D1680" t="s">
        <v>9829</v>
      </c>
      <c r="E1680" t="s">
        <v>9830</v>
      </c>
      <c r="G1680" t="s">
        <v>2847</v>
      </c>
      <c r="H1680" t="s">
        <v>2848</v>
      </c>
      <c r="J1680" t="s">
        <v>2849</v>
      </c>
      <c r="L1680" t="s">
        <v>150</v>
      </c>
      <c r="M1680" t="s">
        <v>113</v>
      </c>
      <c r="R1680" t="s">
        <v>9831</v>
      </c>
      <c r="W1680" t="s">
        <v>9830</v>
      </c>
      <c r="X1680" t="s">
        <v>5146</v>
      </c>
      <c r="Y1680" t="s">
        <v>240</v>
      </c>
      <c r="Z1680" t="s">
        <v>117</v>
      </c>
      <c r="AA1680" t="str">
        <f>"14221-3275"</f>
        <v>14221-3275</v>
      </c>
      <c r="AB1680" t="s">
        <v>118</v>
      </c>
      <c r="AC1680" t="s">
        <v>119</v>
      </c>
      <c r="AD1680" t="s">
        <v>113</v>
      </c>
      <c r="AE1680" t="s">
        <v>120</v>
      </c>
      <c r="AG1680" t="s">
        <v>121</v>
      </c>
    </row>
    <row r="1681" spans="1:33" x14ac:dyDescent="0.25">
      <c r="A1681" t="str">
        <f>"1487616090"</f>
        <v>1487616090</v>
      </c>
      <c r="B1681" t="str">
        <f>"01498493"</f>
        <v>01498493</v>
      </c>
      <c r="C1681" t="s">
        <v>9832</v>
      </c>
      <c r="D1681" t="s">
        <v>9833</v>
      </c>
      <c r="E1681" t="s">
        <v>9834</v>
      </c>
      <c r="G1681" t="s">
        <v>9835</v>
      </c>
      <c r="H1681" t="s">
        <v>9836</v>
      </c>
      <c r="J1681" t="s">
        <v>9837</v>
      </c>
      <c r="L1681" t="s">
        <v>112</v>
      </c>
      <c r="M1681" t="s">
        <v>199</v>
      </c>
      <c r="R1681" t="s">
        <v>9838</v>
      </c>
      <c r="W1681" t="s">
        <v>9834</v>
      </c>
      <c r="X1681" t="s">
        <v>9839</v>
      </c>
      <c r="Y1681" t="s">
        <v>129</v>
      </c>
      <c r="Z1681" t="s">
        <v>117</v>
      </c>
      <c r="AA1681" t="str">
        <f>"14224-1320"</f>
        <v>14224-1320</v>
      </c>
      <c r="AB1681" t="s">
        <v>118</v>
      </c>
      <c r="AC1681" t="s">
        <v>119</v>
      </c>
      <c r="AD1681" t="s">
        <v>113</v>
      </c>
      <c r="AE1681" t="s">
        <v>120</v>
      </c>
      <c r="AG1681" t="s">
        <v>121</v>
      </c>
    </row>
    <row r="1682" spans="1:33" x14ac:dyDescent="0.25">
      <c r="A1682" t="str">
        <f>"1487619946"</f>
        <v>1487619946</v>
      </c>
      <c r="B1682" t="str">
        <f>"00711000"</f>
        <v>00711000</v>
      </c>
      <c r="C1682" t="s">
        <v>9840</v>
      </c>
      <c r="D1682" t="s">
        <v>9841</v>
      </c>
      <c r="E1682" t="s">
        <v>9842</v>
      </c>
      <c r="G1682" t="s">
        <v>9840</v>
      </c>
      <c r="H1682" t="s">
        <v>205</v>
      </c>
      <c r="J1682" t="s">
        <v>9843</v>
      </c>
      <c r="L1682" t="s">
        <v>142</v>
      </c>
      <c r="M1682" t="s">
        <v>113</v>
      </c>
      <c r="R1682" t="s">
        <v>9844</v>
      </c>
      <c r="W1682" t="s">
        <v>9845</v>
      </c>
      <c r="X1682" t="s">
        <v>2607</v>
      </c>
      <c r="Y1682" t="s">
        <v>116</v>
      </c>
      <c r="Z1682" t="s">
        <v>117</v>
      </c>
      <c r="AA1682" t="str">
        <f>"14203-1194"</f>
        <v>14203-1194</v>
      </c>
      <c r="AB1682" t="s">
        <v>118</v>
      </c>
      <c r="AC1682" t="s">
        <v>119</v>
      </c>
      <c r="AD1682" t="s">
        <v>113</v>
      </c>
      <c r="AE1682" t="s">
        <v>120</v>
      </c>
      <c r="AG1682" t="s">
        <v>121</v>
      </c>
    </row>
    <row r="1683" spans="1:33" x14ac:dyDescent="0.25">
      <c r="A1683" t="str">
        <f>"1487625588"</f>
        <v>1487625588</v>
      </c>
      <c r="B1683" t="str">
        <f>"02345100"</f>
        <v>02345100</v>
      </c>
      <c r="C1683" t="s">
        <v>9846</v>
      </c>
      <c r="D1683" t="s">
        <v>9847</v>
      </c>
      <c r="E1683" t="s">
        <v>9848</v>
      </c>
      <c r="G1683" t="s">
        <v>9846</v>
      </c>
      <c r="H1683" t="s">
        <v>630</v>
      </c>
      <c r="J1683" t="s">
        <v>9849</v>
      </c>
      <c r="L1683" t="s">
        <v>142</v>
      </c>
      <c r="M1683" t="s">
        <v>113</v>
      </c>
      <c r="R1683" t="s">
        <v>9850</v>
      </c>
      <c r="W1683" t="s">
        <v>9848</v>
      </c>
      <c r="X1683" t="s">
        <v>253</v>
      </c>
      <c r="Y1683" t="s">
        <v>116</v>
      </c>
      <c r="Z1683" t="s">
        <v>117</v>
      </c>
      <c r="AA1683" t="str">
        <f>"14215-3021"</f>
        <v>14215-3021</v>
      </c>
      <c r="AB1683" t="s">
        <v>118</v>
      </c>
      <c r="AC1683" t="s">
        <v>119</v>
      </c>
      <c r="AD1683" t="s">
        <v>113</v>
      </c>
      <c r="AE1683" t="s">
        <v>120</v>
      </c>
      <c r="AG1683" t="s">
        <v>121</v>
      </c>
    </row>
    <row r="1684" spans="1:33" x14ac:dyDescent="0.25">
      <c r="A1684" t="str">
        <f>"1487629143"</f>
        <v>1487629143</v>
      </c>
      <c r="B1684" t="str">
        <f>"03146774"</f>
        <v>03146774</v>
      </c>
      <c r="C1684" t="s">
        <v>9851</v>
      </c>
      <c r="D1684" t="s">
        <v>9852</v>
      </c>
      <c r="E1684" t="s">
        <v>9853</v>
      </c>
      <c r="G1684" t="s">
        <v>9851</v>
      </c>
      <c r="H1684" t="s">
        <v>227</v>
      </c>
      <c r="J1684" t="s">
        <v>9854</v>
      </c>
      <c r="L1684" t="s">
        <v>142</v>
      </c>
      <c r="M1684" t="s">
        <v>113</v>
      </c>
      <c r="R1684" t="s">
        <v>9855</v>
      </c>
      <c r="W1684" t="s">
        <v>9853</v>
      </c>
      <c r="X1684" t="s">
        <v>9856</v>
      </c>
      <c r="Y1684" t="s">
        <v>9857</v>
      </c>
      <c r="Z1684" t="s">
        <v>117</v>
      </c>
      <c r="AA1684" t="str">
        <f>"12742"</f>
        <v>12742</v>
      </c>
      <c r="AB1684" t="s">
        <v>118</v>
      </c>
      <c r="AC1684" t="s">
        <v>119</v>
      </c>
      <c r="AD1684" t="s">
        <v>113</v>
      </c>
      <c r="AE1684" t="s">
        <v>120</v>
      </c>
      <c r="AG1684" t="s">
        <v>121</v>
      </c>
    </row>
    <row r="1685" spans="1:33" x14ac:dyDescent="0.25">
      <c r="A1685" t="str">
        <f>"1487629515"</f>
        <v>1487629515</v>
      </c>
      <c r="B1685" t="str">
        <f>"00722069"</f>
        <v>00722069</v>
      </c>
      <c r="C1685" t="s">
        <v>9858</v>
      </c>
      <c r="D1685" t="s">
        <v>9859</v>
      </c>
      <c r="E1685" t="s">
        <v>9860</v>
      </c>
      <c r="G1685" t="s">
        <v>9861</v>
      </c>
      <c r="H1685" t="s">
        <v>9862</v>
      </c>
      <c r="J1685" t="s">
        <v>383</v>
      </c>
      <c r="L1685" t="s">
        <v>150</v>
      </c>
      <c r="M1685" t="s">
        <v>113</v>
      </c>
      <c r="R1685" t="s">
        <v>9863</v>
      </c>
      <c r="W1685" t="s">
        <v>9864</v>
      </c>
      <c r="X1685" t="s">
        <v>7658</v>
      </c>
      <c r="Y1685" t="s">
        <v>387</v>
      </c>
      <c r="Z1685" t="s">
        <v>117</v>
      </c>
      <c r="AA1685" t="str">
        <f>"14787-1104"</f>
        <v>14787-1104</v>
      </c>
      <c r="AB1685" t="s">
        <v>118</v>
      </c>
      <c r="AC1685" t="s">
        <v>119</v>
      </c>
      <c r="AD1685" t="s">
        <v>113</v>
      </c>
      <c r="AE1685" t="s">
        <v>120</v>
      </c>
      <c r="AG1685" t="s">
        <v>121</v>
      </c>
    </row>
    <row r="1686" spans="1:33" x14ac:dyDescent="0.25">
      <c r="A1686" t="str">
        <f>"1487633228"</f>
        <v>1487633228</v>
      </c>
      <c r="B1686" t="str">
        <f>"02680335"</f>
        <v>02680335</v>
      </c>
      <c r="C1686" t="s">
        <v>9865</v>
      </c>
      <c r="D1686" t="s">
        <v>9866</v>
      </c>
      <c r="E1686" t="s">
        <v>9867</v>
      </c>
      <c r="G1686" t="s">
        <v>9865</v>
      </c>
      <c r="H1686" t="s">
        <v>205</v>
      </c>
      <c r="J1686" t="s">
        <v>9868</v>
      </c>
      <c r="L1686" t="s">
        <v>150</v>
      </c>
      <c r="M1686" t="s">
        <v>113</v>
      </c>
      <c r="R1686" t="s">
        <v>9869</v>
      </c>
      <c r="W1686" t="s">
        <v>9867</v>
      </c>
      <c r="X1686" t="s">
        <v>4856</v>
      </c>
      <c r="Y1686" t="s">
        <v>326</v>
      </c>
      <c r="Z1686" t="s">
        <v>117</v>
      </c>
      <c r="AA1686" t="str">
        <f>"14127-1506"</f>
        <v>14127-1506</v>
      </c>
      <c r="AB1686" t="s">
        <v>118</v>
      </c>
      <c r="AC1686" t="s">
        <v>119</v>
      </c>
      <c r="AD1686" t="s">
        <v>113</v>
      </c>
      <c r="AE1686" t="s">
        <v>120</v>
      </c>
      <c r="AG1686" t="s">
        <v>121</v>
      </c>
    </row>
    <row r="1687" spans="1:33" x14ac:dyDescent="0.25">
      <c r="A1687" t="str">
        <f>"1487642682"</f>
        <v>1487642682</v>
      </c>
      <c r="B1687" t="str">
        <f>"01748136"</f>
        <v>01748136</v>
      </c>
      <c r="C1687" t="s">
        <v>9870</v>
      </c>
      <c r="D1687" t="s">
        <v>9871</v>
      </c>
      <c r="E1687" t="s">
        <v>9872</v>
      </c>
      <c r="G1687" t="s">
        <v>9870</v>
      </c>
      <c r="H1687" t="s">
        <v>9873</v>
      </c>
      <c r="J1687" t="s">
        <v>9874</v>
      </c>
      <c r="L1687" t="s">
        <v>142</v>
      </c>
      <c r="M1687" t="s">
        <v>113</v>
      </c>
      <c r="R1687" t="s">
        <v>9875</v>
      </c>
      <c r="W1687" t="s">
        <v>9872</v>
      </c>
      <c r="X1687" t="s">
        <v>9876</v>
      </c>
      <c r="Y1687" t="s">
        <v>986</v>
      </c>
      <c r="Z1687" t="s">
        <v>117</v>
      </c>
      <c r="AA1687" t="str">
        <f>"14701-6221"</f>
        <v>14701-6221</v>
      </c>
      <c r="AB1687" t="s">
        <v>118</v>
      </c>
      <c r="AC1687" t="s">
        <v>119</v>
      </c>
      <c r="AD1687" t="s">
        <v>113</v>
      </c>
      <c r="AE1687" t="s">
        <v>120</v>
      </c>
      <c r="AG1687" t="s">
        <v>121</v>
      </c>
    </row>
    <row r="1688" spans="1:33" x14ac:dyDescent="0.25">
      <c r="A1688" t="str">
        <f>"1487650016"</f>
        <v>1487650016</v>
      </c>
      <c r="B1688" t="str">
        <f>"01417541"</f>
        <v>01417541</v>
      </c>
      <c r="C1688" t="s">
        <v>9877</v>
      </c>
      <c r="D1688" t="s">
        <v>9878</v>
      </c>
      <c r="E1688" t="s">
        <v>9879</v>
      </c>
      <c r="G1688" t="s">
        <v>9877</v>
      </c>
      <c r="H1688" t="s">
        <v>9222</v>
      </c>
      <c r="J1688" t="s">
        <v>9880</v>
      </c>
      <c r="L1688" t="s">
        <v>142</v>
      </c>
      <c r="M1688" t="s">
        <v>113</v>
      </c>
      <c r="R1688" t="s">
        <v>9881</v>
      </c>
      <c r="W1688" t="s">
        <v>9882</v>
      </c>
      <c r="X1688" t="s">
        <v>9883</v>
      </c>
      <c r="Y1688" t="s">
        <v>116</v>
      </c>
      <c r="Z1688" t="s">
        <v>117</v>
      </c>
      <c r="AA1688" t="str">
        <f>"14209-1118"</f>
        <v>14209-1118</v>
      </c>
      <c r="AB1688" t="s">
        <v>118</v>
      </c>
      <c r="AC1688" t="s">
        <v>119</v>
      </c>
      <c r="AD1688" t="s">
        <v>113</v>
      </c>
      <c r="AE1688" t="s">
        <v>120</v>
      </c>
      <c r="AG1688" t="s">
        <v>121</v>
      </c>
    </row>
    <row r="1689" spans="1:33" x14ac:dyDescent="0.25">
      <c r="A1689" t="str">
        <f>"1487655908"</f>
        <v>1487655908</v>
      </c>
      <c r="B1689" t="str">
        <f>"01246611"</f>
        <v>01246611</v>
      </c>
      <c r="C1689" t="s">
        <v>9884</v>
      </c>
      <c r="D1689" t="s">
        <v>9885</v>
      </c>
      <c r="E1689" t="s">
        <v>9886</v>
      </c>
      <c r="G1689" t="s">
        <v>9884</v>
      </c>
      <c r="H1689" t="s">
        <v>9887</v>
      </c>
      <c r="J1689" t="s">
        <v>9888</v>
      </c>
      <c r="L1689" t="s">
        <v>150</v>
      </c>
      <c r="M1689" t="s">
        <v>113</v>
      </c>
      <c r="R1689" t="s">
        <v>9889</v>
      </c>
      <c r="W1689" t="s">
        <v>9886</v>
      </c>
      <c r="X1689" t="s">
        <v>9890</v>
      </c>
      <c r="Y1689" t="s">
        <v>318</v>
      </c>
      <c r="Z1689" t="s">
        <v>117</v>
      </c>
      <c r="AA1689" t="str">
        <f>"14225-1080"</f>
        <v>14225-1080</v>
      </c>
      <c r="AB1689" t="s">
        <v>118</v>
      </c>
      <c r="AC1689" t="s">
        <v>119</v>
      </c>
      <c r="AD1689" t="s">
        <v>113</v>
      </c>
      <c r="AE1689" t="s">
        <v>120</v>
      </c>
      <c r="AG1689" t="s">
        <v>121</v>
      </c>
    </row>
    <row r="1690" spans="1:33" x14ac:dyDescent="0.25">
      <c r="A1690" t="str">
        <f>"1942495866"</f>
        <v>1942495866</v>
      </c>
      <c r="B1690" t="str">
        <f>"00616317"</f>
        <v>00616317</v>
      </c>
      <c r="C1690" t="s">
        <v>9891</v>
      </c>
      <c r="D1690" t="s">
        <v>9892</v>
      </c>
      <c r="E1690" t="s">
        <v>9893</v>
      </c>
      <c r="G1690" t="s">
        <v>9894</v>
      </c>
      <c r="H1690" t="s">
        <v>9895</v>
      </c>
      <c r="L1690" t="s">
        <v>142</v>
      </c>
      <c r="M1690" t="s">
        <v>113</v>
      </c>
      <c r="R1690" t="s">
        <v>9894</v>
      </c>
      <c r="W1690" t="s">
        <v>9896</v>
      </c>
      <c r="X1690" t="s">
        <v>9897</v>
      </c>
      <c r="Y1690" t="s">
        <v>362</v>
      </c>
      <c r="Z1690" t="s">
        <v>117</v>
      </c>
      <c r="AA1690" t="str">
        <f>"14108-1009"</f>
        <v>14108-1009</v>
      </c>
      <c r="AB1690" t="s">
        <v>118</v>
      </c>
      <c r="AC1690" t="s">
        <v>119</v>
      </c>
      <c r="AD1690" t="s">
        <v>113</v>
      </c>
      <c r="AE1690" t="s">
        <v>120</v>
      </c>
      <c r="AG1690" t="s">
        <v>121</v>
      </c>
    </row>
    <row r="1691" spans="1:33" x14ac:dyDescent="0.25">
      <c r="A1691" t="str">
        <f>"1003034992"</f>
        <v>1003034992</v>
      </c>
      <c r="C1691" t="s">
        <v>9898</v>
      </c>
      <c r="G1691" t="s">
        <v>9899</v>
      </c>
      <c r="H1691" t="s">
        <v>9900</v>
      </c>
      <c r="J1691" t="s">
        <v>9901</v>
      </c>
      <c r="K1691" t="s">
        <v>303</v>
      </c>
      <c r="L1691" t="s">
        <v>112</v>
      </c>
      <c r="M1691" t="s">
        <v>113</v>
      </c>
      <c r="R1691" t="s">
        <v>9902</v>
      </c>
      <c r="S1691" t="s">
        <v>9903</v>
      </c>
      <c r="T1691" t="s">
        <v>116</v>
      </c>
      <c r="U1691" t="s">
        <v>117</v>
      </c>
      <c r="V1691" t="str">
        <f>"14202"</f>
        <v>14202</v>
      </c>
      <c r="AC1691" t="s">
        <v>119</v>
      </c>
      <c r="AD1691" t="s">
        <v>113</v>
      </c>
      <c r="AE1691" t="s">
        <v>306</v>
      </c>
      <c r="AG1691" t="s">
        <v>121</v>
      </c>
    </row>
    <row r="1692" spans="1:33" x14ac:dyDescent="0.25">
      <c r="A1692" t="str">
        <f>"1003040569"</f>
        <v>1003040569</v>
      </c>
      <c r="B1692" t="str">
        <f>"03114945"</f>
        <v>03114945</v>
      </c>
      <c r="C1692" t="s">
        <v>9904</v>
      </c>
      <c r="D1692" t="s">
        <v>9905</v>
      </c>
      <c r="E1692" t="s">
        <v>9906</v>
      </c>
      <c r="G1692" t="s">
        <v>9907</v>
      </c>
      <c r="H1692" t="s">
        <v>937</v>
      </c>
      <c r="J1692" t="s">
        <v>9908</v>
      </c>
      <c r="L1692" t="s">
        <v>142</v>
      </c>
      <c r="M1692" t="s">
        <v>113</v>
      </c>
      <c r="R1692" t="s">
        <v>9909</v>
      </c>
      <c r="W1692" t="s">
        <v>9906</v>
      </c>
      <c r="X1692" t="s">
        <v>136</v>
      </c>
      <c r="Y1692" t="s">
        <v>116</v>
      </c>
      <c r="Z1692" t="s">
        <v>117</v>
      </c>
      <c r="AA1692" t="str">
        <f>"14209-1120"</f>
        <v>14209-1120</v>
      </c>
      <c r="AB1692" t="s">
        <v>118</v>
      </c>
      <c r="AC1692" t="s">
        <v>119</v>
      </c>
      <c r="AD1692" t="s">
        <v>113</v>
      </c>
      <c r="AE1692" t="s">
        <v>120</v>
      </c>
      <c r="AG1692" t="s">
        <v>121</v>
      </c>
    </row>
    <row r="1693" spans="1:33" x14ac:dyDescent="0.25">
      <c r="A1693" t="str">
        <f>"1003041187"</f>
        <v>1003041187</v>
      </c>
      <c r="B1693" t="str">
        <f>"03460088"</f>
        <v>03460088</v>
      </c>
      <c r="C1693" t="s">
        <v>9910</v>
      </c>
      <c r="D1693" t="s">
        <v>9911</v>
      </c>
      <c r="E1693" t="s">
        <v>9912</v>
      </c>
      <c r="G1693" t="s">
        <v>9910</v>
      </c>
      <c r="H1693" t="s">
        <v>1478</v>
      </c>
      <c r="J1693" t="s">
        <v>9913</v>
      </c>
      <c r="L1693" t="s">
        <v>142</v>
      </c>
      <c r="M1693" t="s">
        <v>113</v>
      </c>
      <c r="R1693" t="s">
        <v>9914</v>
      </c>
      <c r="W1693" t="s">
        <v>9912</v>
      </c>
      <c r="X1693" t="s">
        <v>838</v>
      </c>
      <c r="Y1693" t="s">
        <v>240</v>
      </c>
      <c r="Z1693" t="s">
        <v>117</v>
      </c>
      <c r="AA1693" t="str">
        <f>"14221-3647"</f>
        <v>14221-3647</v>
      </c>
      <c r="AB1693" t="s">
        <v>118</v>
      </c>
      <c r="AC1693" t="s">
        <v>119</v>
      </c>
      <c r="AD1693" t="s">
        <v>113</v>
      </c>
      <c r="AE1693" t="s">
        <v>120</v>
      </c>
      <c r="AG1693" t="s">
        <v>121</v>
      </c>
    </row>
    <row r="1694" spans="1:33" x14ac:dyDescent="0.25">
      <c r="A1694" t="str">
        <f>"1003057779"</f>
        <v>1003057779</v>
      </c>
      <c r="B1694" t="str">
        <f>"03111584"</f>
        <v>03111584</v>
      </c>
      <c r="C1694" t="s">
        <v>9915</v>
      </c>
      <c r="D1694" t="s">
        <v>9916</v>
      </c>
      <c r="E1694" t="s">
        <v>9917</v>
      </c>
      <c r="G1694" t="s">
        <v>9915</v>
      </c>
      <c r="H1694" t="s">
        <v>866</v>
      </c>
      <c r="J1694" t="s">
        <v>9918</v>
      </c>
      <c r="L1694" t="s">
        <v>142</v>
      </c>
      <c r="M1694" t="s">
        <v>113</v>
      </c>
      <c r="R1694" t="s">
        <v>9919</v>
      </c>
      <c r="W1694" t="s">
        <v>9917</v>
      </c>
      <c r="X1694" t="s">
        <v>176</v>
      </c>
      <c r="Y1694" t="s">
        <v>116</v>
      </c>
      <c r="Z1694" t="s">
        <v>117</v>
      </c>
      <c r="AA1694" t="str">
        <f>"14203-1126"</f>
        <v>14203-1126</v>
      </c>
      <c r="AB1694" t="s">
        <v>118</v>
      </c>
      <c r="AC1694" t="s">
        <v>119</v>
      </c>
      <c r="AD1694" t="s">
        <v>113</v>
      </c>
      <c r="AE1694" t="s">
        <v>120</v>
      </c>
      <c r="AG1694" t="s">
        <v>121</v>
      </c>
    </row>
    <row r="1695" spans="1:33" x14ac:dyDescent="0.25">
      <c r="A1695" t="str">
        <f>"1003071234"</f>
        <v>1003071234</v>
      </c>
      <c r="B1695" t="str">
        <f>"03848271"</f>
        <v>03848271</v>
      </c>
      <c r="C1695" t="s">
        <v>9920</v>
      </c>
      <c r="D1695" t="s">
        <v>9921</v>
      </c>
      <c r="E1695" t="s">
        <v>9922</v>
      </c>
      <c r="G1695" t="s">
        <v>9920</v>
      </c>
      <c r="H1695" t="s">
        <v>9923</v>
      </c>
      <c r="J1695" t="s">
        <v>9924</v>
      </c>
      <c r="L1695" t="s">
        <v>142</v>
      </c>
      <c r="M1695" t="s">
        <v>113</v>
      </c>
      <c r="R1695" t="s">
        <v>9925</v>
      </c>
      <c r="W1695" t="s">
        <v>9922</v>
      </c>
      <c r="X1695" t="s">
        <v>9926</v>
      </c>
      <c r="Y1695" t="s">
        <v>9927</v>
      </c>
      <c r="Z1695" t="s">
        <v>9928</v>
      </c>
      <c r="AA1695" t="str">
        <f>"02905-3248"</f>
        <v>02905-3248</v>
      </c>
      <c r="AB1695" t="s">
        <v>118</v>
      </c>
      <c r="AC1695" t="s">
        <v>119</v>
      </c>
      <c r="AD1695" t="s">
        <v>113</v>
      </c>
      <c r="AE1695" t="s">
        <v>120</v>
      </c>
      <c r="AG1695" t="s">
        <v>121</v>
      </c>
    </row>
    <row r="1696" spans="1:33" x14ac:dyDescent="0.25">
      <c r="A1696" t="str">
        <f>"1003072976"</f>
        <v>1003072976</v>
      </c>
      <c r="C1696" t="s">
        <v>9929</v>
      </c>
      <c r="G1696" t="s">
        <v>9930</v>
      </c>
      <c r="H1696" t="s">
        <v>590</v>
      </c>
      <c r="J1696" t="s">
        <v>9931</v>
      </c>
      <c r="K1696" t="s">
        <v>303</v>
      </c>
      <c r="L1696" t="s">
        <v>229</v>
      </c>
      <c r="M1696" t="s">
        <v>113</v>
      </c>
      <c r="R1696" t="s">
        <v>9932</v>
      </c>
      <c r="S1696" t="s">
        <v>626</v>
      </c>
      <c r="T1696" t="s">
        <v>116</v>
      </c>
      <c r="U1696" t="s">
        <v>117</v>
      </c>
      <c r="V1696" t="str">
        <f>"142102324"</f>
        <v>142102324</v>
      </c>
      <c r="AC1696" t="s">
        <v>119</v>
      </c>
      <c r="AD1696" t="s">
        <v>113</v>
      </c>
      <c r="AE1696" t="s">
        <v>306</v>
      </c>
      <c r="AG1696" t="s">
        <v>121</v>
      </c>
    </row>
    <row r="1697" spans="1:33" x14ac:dyDescent="0.25">
      <c r="A1697" t="str">
        <f>"1003107285"</f>
        <v>1003107285</v>
      </c>
      <c r="B1697" t="str">
        <f>"03581904"</f>
        <v>03581904</v>
      </c>
      <c r="C1697" t="s">
        <v>9933</v>
      </c>
      <c r="D1697" t="s">
        <v>9934</v>
      </c>
      <c r="E1697" t="s">
        <v>9935</v>
      </c>
      <c r="G1697" t="s">
        <v>9936</v>
      </c>
      <c r="H1697" t="s">
        <v>366</v>
      </c>
      <c r="J1697" t="s">
        <v>1387</v>
      </c>
      <c r="L1697" t="s">
        <v>142</v>
      </c>
      <c r="M1697" t="s">
        <v>113</v>
      </c>
      <c r="R1697" t="s">
        <v>9937</v>
      </c>
      <c r="W1697" t="s">
        <v>9935</v>
      </c>
      <c r="X1697" t="s">
        <v>1098</v>
      </c>
      <c r="Y1697" t="s">
        <v>305</v>
      </c>
      <c r="Z1697" t="s">
        <v>117</v>
      </c>
      <c r="AA1697" t="str">
        <f>"14760-1513"</f>
        <v>14760-1513</v>
      </c>
      <c r="AB1697" t="s">
        <v>118</v>
      </c>
      <c r="AC1697" t="s">
        <v>119</v>
      </c>
      <c r="AD1697" t="s">
        <v>113</v>
      </c>
      <c r="AE1697" t="s">
        <v>120</v>
      </c>
      <c r="AG1697" t="s">
        <v>121</v>
      </c>
    </row>
    <row r="1698" spans="1:33" x14ac:dyDescent="0.25">
      <c r="A1698" t="str">
        <f>"1003126160"</f>
        <v>1003126160</v>
      </c>
      <c r="C1698" t="s">
        <v>9938</v>
      </c>
      <c r="G1698" t="s">
        <v>9939</v>
      </c>
      <c r="H1698" t="s">
        <v>471</v>
      </c>
      <c r="J1698" t="s">
        <v>9940</v>
      </c>
      <c r="K1698" t="s">
        <v>303</v>
      </c>
      <c r="L1698" t="s">
        <v>112</v>
      </c>
      <c r="M1698" t="s">
        <v>113</v>
      </c>
      <c r="R1698" t="s">
        <v>9941</v>
      </c>
      <c r="S1698" t="s">
        <v>3331</v>
      </c>
      <c r="T1698" t="s">
        <v>116</v>
      </c>
      <c r="U1698" t="s">
        <v>117</v>
      </c>
      <c r="V1698" t="str">
        <f>"142011886"</f>
        <v>142011886</v>
      </c>
      <c r="AC1698" t="s">
        <v>119</v>
      </c>
      <c r="AD1698" t="s">
        <v>113</v>
      </c>
      <c r="AE1698" t="s">
        <v>306</v>
      </c>
      <c r="AG1698" t="s">
        <v>121</v>
      </c>
    </row>
    <row r="1699" spans="1:33" x14ac:dyDescent="0.25">
      <c r="A1699" t="str">
        <f>"1003132101"</f>
        <v>1003132101</v>
      </c>
      <c r="C1699" t="s">
        <v>9942</v>
      </c>
      <c r="G1699" t="s">
        <v>9943</v>
      </c>
      <c r="H1699" t="s">
        <v>9944</v>
      </c>
      <c r="J1699" t="s">
        <v>9945</v>
      </c>
      <c r="K1699" t="s">
        <v>303</v>
      </c>
      <c r="L1699" t="s">
        <v>229</v>
      </c>
      <c r="M1699" t="s">
        <v>113</v>
      </c>
      <c r="R1699" t="s">
        <v>9946</v>
      </c>
      <c r="S1699" t="s">
        <v>1709</v>
      </c>
      <c r="T1699" t="s">
        <v>116</v>
      </c>
      <c r="U1699" t="s">
        <v>117</v>
      </c>
      <c r="V1699" t="str">
        <f>"142131207"</f>
        <v>142131207</v>
      </c>
      <c r="AC1699" t="s">
        <v>119</v>
      </c>
      <c r="AD1699" t="s">
        <v>113</v>
      </c>
      <c r="AE1699" t="s">
        <v>306</v>
      </c>
      <c r="AG1699" t="s">
        <v>121</v>
      </c>
    </row>
    <row r="1700" spans="1:33" x14ac:dyDescent="0.25">
      <c r="A1700" t="str">
        <f>"1003147323"</f>
        <v>1003147323</v>
      </c>
      <c r="B1700" t="str">
        <f>"03204042"</f>
        <v>03204042</v>
      </c>
      <c r="C1700" t="s">
        <v>9947</v>
      </c>
      <c r="D1700" t="s">
        <v>9948</v>
      </c>
      <c r="E1700" t="s">
        <v>9949</v>
      </c>
      <c r="G1700" t="s">
        <v>9947</v>
      </c>
      <c r="H1700" t="s">
        <v>9950</v>
      </c>
      <c r="J1700" t="s">
        <v>9951</v>
      </c>
      <c r="L1700" t="s">
        <v>142</v>
      </c>
      <c r="M1700" t="s">
        <v>113</v>
      </c>
      <c r="R1700" t="s">
        <v>9952</v>
      </c>
      <c r="W1700" t="s">
        <v>9949</v>
      </c>
      <c r="X1700" t="s">
        <v>176</v>
      </c>
      <c r="Y1700" t="s">
        <v>116</v>
      </c>
      <c r="Z1700" t="s">
        <v>117</v>
      </c>
      <c r="AA1700" t="str">
        <f>"14203-1126"</f>
        <v>14203-1126</v>
      </c>
      <c r="AB1700" t="s">
        <v>118</v>
      </c>
      <c r="AC1700" t="s">
        <v>119</v>
      </c>
      <c r="AD1700" t="s">
        <v>113</v>
      </c>
      <c r="AE1700" t="s">
        <v>120</v>
      </c>
      <c r="AG1700" t="s">
        <v>121</v>
      </c>
    </row>
    <row r="1701" spans="1:33" x14ac:dyDescent="0.25">
      <c r="A1701" t="str">
        <f>"1003226283"</f>
        <v>1003226283</v>
      </c>
      <c r="C1701" t="s">
        <v>9953</v>
      </c>
      <c r="G1701" t="s">
        <v>9954</v>
      </c>
      <c r="H1701" t="s">
        <v>351</v>
      </c>
      <c r="J1701" t="s">
        <v>9955</v>
      </c>
      <c r="K1701" t="s">
        <v>303</v>
      </c>
      <c r="L1701" t="s">
        <v>229</v>
      </c>
      <c r="M1701" t="s">
        <v>113</v>
      </c>
      <c r="R1701" t="s">
        <v>9956</v>
      </c>
      <c r="S1701" t="s">
        <v>354</v>
      </c>
      <c r="T1701" t="s">
        <v>116</v>
      </c>
      <c r="U1701" t="s">
        <v>117</v>
      </c>
      <c r="V1701" t="str">
        <f>"142152814"</f>
        <v>142152814</v>
      </c>
      <c r="AC1701" t="s">
        <v>119</v>
      </c>
      <c r="AD1701" t="s">
        <v>113</v>
      </c>
      <c r="AE1701" t="s">
        <v>306</v>
      </c>
      <c r="AG1701" t="s">
        <v>121</v>
      </c>
    </row>
    <row r="1702" spans="1:33" x14ac:dyDescent="0.25">
      <c r="A1702" t="str">
        <f>"1003235466"</f>
        <v>1003235466</v>
      </c>
      <c r="C1702" t="s">
        <v>9957</v>
      </c>
      <c r="G1702" t="s">
        <v>9958</v>
      </c>
      <c r="H1702" t="s">
        <v>471</v>
      </c>
      <c r="J1702" t="s">
        <v>9959</v>
      </c>
      <c r="K1702" t="s">
        <v>303</v>
      </c>
      <c r="L1702" t="s">
        <v>112</v>
      </c>
      <c r="M1702" t="s">
        <v>113</v>
      </c>
      <c r="R1702" t="s">
        <v>9960</v>
      </c>
      <c r="S1702" t="s">
        <v>9296</v>
      </c>
      <c r="T1702" t="s">
        <v>2946</v>
      </c>
      <c r="U1702" t="s">
        <v>117</v>
      </c>
      <c r="V1702" t="str">
        <f>"140754905"</f>
        <v>140754905</v>
      </c>
      <c r="AC1702" t="s">
        <v>119</v>
      </c>
      <c r="AD1702" t="s">
        <v>113</v>
      </c>
      <c r="AE1702" t="s">
        <v>306</v>
      </c>
      <c r="AG1702" t="s">
        <v>121</v>
      </c>
    </row>
    <row r="1703" spans="1:33" x14ac:dyDescent="0.25">
      <c r="A1703" t="str">
        <f>"1003257114"</f>
        <v>1003257114</v>
      </c>
      <c r="C1703" t="s">
        <v>9961</v>
      </c>
      <c r="G1703" t="s">
        <v>9961</v>
      </c>
      <c r="H1703" t="s">
        <v>1308</v>
      </c>
      <c r="J1703" t="s">
        <v>9962</v>
      </c>
      <c r="K1703" t="s">
        <v>303</v>
      </c>
      <c r="L1703" t="s">
        <v>229</v>
      </c>
      <c r="M1703" t="s">
        <v>113</v>
      </c>
      <c r="R1703" t="s">
        <v>9963</v>
      </c>
      <c r="S1703" t="s">
        <v>6958</v>
      </c>
      <c r="T1703" t="s">
        <v>145</v>
      </c>
      <c r="U1703" t="s">
        <v>117</v>
      </c>
      <c r="V1703" t="str">
        <f>"140512610"</f>
        <v>140512610</v>
      </c>
      <c r="AC1703" t="s">
        <v>119</v>
      </c>
      <c r="AD1703" t="s">
        <v>113</v>
      </c>
      <c r="AE1703" t="s">
        <v>306</v>
      </c>
      <c r="AG1703" t="s">
        <v>121</v>
      </c>
    </row>
    <row r="1704" spans="1:33" x14ac:dyDescent="0.25">
      <c r="A1704" t="str">
        <f>"1003804949"</f>
        <v>1003804949</v>
      </c>
      <c r="C1704" t="s">
        <v>9964</v>
      </c>
      <c r="G1704" t="s">
        <v>9965</v>
      </c>
      <c r="J1704" t="s">
        <v>9966</v>
      </c>
      <c r="K1704" t="s">
        <v>303</v>
      </c>
      <c r="L1704" t="s">
        <v>229</v>
      </c>
      <c r="M1704" t="s">
        <v>113</v>
      </c>
      <c r="R1704" t="s">
        <v>9967</v>
      </c>
      <c r="S1704" t="s">
        <v>9968</v>
      </c>
      <c r="T1704" t="s">
        <v>116</v>
      </c>
      <c r="U1704" t="s">
        <v>117</v>
      </c>
      <c r="V1704" t="str">
        <f>"142222006"</f>
        <v>142222006</v>
      </c>
      <c r="AC1704" t="s">
        <v>119</v>
      </c>
      <c r="AD1704" t="s">
        <v>113</v>
      </c>
      <c r="AE1704" t="s">
        <v>306</v>
      </c>
      <c r="AG1704" t="s">
        <v>121</v>
      </c>
    </row>
    <row r="1705" spans="1:33" x14ac:dyDescent="0.25">
      <c r="A1705" t="str">
        <f>"1003808296"</f>
        <v>1003808296</v>
      </c>
      <c r="B1705" t="str">
        <f>"01922930"</f>
        <v>01922930</v>
      </c>
      <c r="C1705" t="s">
        <v>9969</v>
      </c>
      <c r="D1705" t="s">
        <v>9970</v>
      </c>
      <c r="E1705" t="s">
        <v>9971</v>
      </c>
      <c r="G1705" t="s">
        <v>6682</v>
      </c>
      <c r="H1705" t="s">
        <v>6683</v>
      </c>
      <c r="J1705" t="s">
        <v>6684</v>
      </c>
      <c r="L1705" t="s">
        <v>150</v>
      </c>
      <c r="M1705" t="s">
        <v>113</v>
      </c>
      <c r="R1705" t="s">
        <v>9972</v>
      </c>
      <c r="W1705" t="s">
        <v>9971</v>
      </c>
      <c r="X1705" t="s">
        <v>7611</v>
      </c>
      <c r="Y1705" t="s">
        <v>7612</v>
      </c>
      <c r="Z1705" t="s">
        <v>117</v>
      </c>
      <c r="AA1705" t="str">
        <f>"14530-1342"</f>
        <v>14530-1342</v>
      </c>
      <c r="AB1705" t="s">
        <v>118</v>
      </c>
      <c r="AC1705" t="s">
        <v>119</v>
      </c>
      <c r="AD1705" t="s">
        <v>113</v>
      </c>
      <c r="AE1705" t="s">
        <v>120</v>
      </c>
      <c r="AG1705" t="s">
        <v>121</v>
      </c>
    </row>
    <row r="1706" spans="1:33" x14ac:dyDescent="0.25">
      <c r="A1706" t="str">
        <f>"1144395054"</f>
        <v>1144395054</v>
      </c>
      <c r="B1706" t="str">
        <f>"00933817"</f>
        <v>00933817</v>
      </c>
      <c r="C1706" t="s">
        <v>9973</v>
      </c>
      <c r="D1706" t="s">
        <v>9974</v>
      </c>
      <c r="E1706" t="s">
        <v>9975</v>
      </c>
      <c r="G1706" t="s">
        <v>9976</v>
      </c>
      <c r="H1706" t="s">
        <v>9977</v>
      </c>
      <c r="J1706" t="s">
        <v>9978</v>
      </c>
      <c r="L1706" t="s">
        <v>9979</v>
      </c>
      <c r="M1706" t="s">
        <v>199</v>
      </c>
      <c r="R1706" t="s">
        <v>9980</v>
      </c>
      <c r="W1706" t="s">
        <v>9981</v>
      </c>
      <c r="X1706" t="s">
        <v>9982</v>
      </c>
      <c r="Y1706" t="s">
        <v>305</v>
      </c>
      <c r="Z1706" t="s">
        <v>117</v>
      </c>
      <c r="AA1706" t="str">
        <f>"14760-3646"</f>
        <v>14760-3646</v>
      </c>
      <c r="AB1706" t="s">
        <v>1146</v>
      </c>
      <c r="AC1706" t="s">
        <v>119</v>
      </c>
      <c r="AD1706" t="s">
        <v>113</v>
      </c>
      <c r="AE1706" t="s">
        <v>120</v>
      </c>
      <c r="AG1706" t="s">
        <v>121</v>
      </c>
    </row>
    <row r="1707" spans="1:33" x14ac:dyDescent="0.25">
      <c r="A1707" t="str">
        <f>"1144395914"</f>
        <v>1144395914</v>
      </c>
      <c r="B1707" t="str">
        <f>"01297236"</f>
        <v>01297236</v>
      </c>
      <c r="C1707" t="s">
        <v>1081</v>
      </c>
      <c r="D1707" t="s">
        <v>9983</v>
      </c>
      <c r="E1707" t="s">
        <v>9984</v>
      </c>
      <c r="F1707">
        <v>160794847</v>
      </c>
      <c r="G1707" t="s">
        <v>1084</v>
      </c>
      <c r="H1707" t="s">
        <v>1085</v>
      </c>
      <c r="I1707">
        <v>359</v>
      </c>
      <c r="J1707" t="s">
        <v>1086</v>
      </c>
      <c r="L1707" t="s">
        <v>69</v>
      </c>
      <c r="M1707" t="s">
        <v>199</v>
      </c>
      <c r="R1707" t="s">
        <v>1081</v>
      </c>
      <c r="W1707" t="s">
        <v>9984</v>
      </c>
      <c r="X1707" t="s">
        <v>9985</v>
      </c>
      <c r="Y1707" t="s">
        <v>153</v>
      </c>
      <c r="Z1707" t="s">
        <v>117</v>
      </c>
      <c r="AA1707" t="str">
        <f>"14304-4613"</f>
        <v>14304-4613</v>
      </c>
      <c r="AB1707" t="s">
        <v>282</v>
      </c>
      <c r="AC1707" t="s">
        <v>119</v>
      </c>
      <c r="AD1707" t="s">
        <v>113</v>
      </c>
      <c r="AE1707" t="s">
        <v>120</v>
      </c>
      <c r="AG1707" t="s">
        <v>121</v>
      </c>
    </row>
    <row r="1708" spans="1:33" x14ac:dyDescent="0.25">
      <c r="A1708" t="str">
        <f>"1144403700"</f>
        <v>1144403700</v>
      </c>
      <c r="C1708" t="s">
        <v>9986</v>
      </c>
      <c r="G1708" t="s">
        <v>9987</v>
      </c>
      <c r="H1708" t="s">
        <v>1071</v>
      </c>
      <c r="J1708" t="s">
        <v>9988</v>
      </c>
      <c r="K1708" t="s">
        <v>303</v>
      </c>
      <c r="L1708" t="s">
        <v>229</v>
      </c>
      <c r="M1708" t="s">
        <v>113</v>
      </c>
      <c r="R1708" t="s">
        <v>9989</v>
      </c>
      <c r="S1708" t="s">
        <v>474</v>
      </c>
      <c r="T1708" t="s">
        <v>116</v>
      </c>
      <c r="U1708" t="s">
        <v>117</v>
      </c>
      <c r="V1708" t="str">
        <f>"142141316"</f>
        <v>142141316</v>
      </c>
      <c r="AC1708" t="s">
        <v>119</v>
      </c>
      <c r="AD1708" t="s">
        <v>113</v>
      </c>
      <c r="AE1708" t="s">
        <v>306</v>
      </c>
      <c r="AG1708" t="s">
        <v>121</v>
      </c>
    </row>
    <row r="1709" spans="1:33" x14ac:dyDescent="0.25">
      <c r="A1709" t="str">
        <f>"1144422296"</f>
        <v>1144422296</v>
      </c>
      <c r="B1709" t="str">
        <f>"02887805"</f>
        <v>02887805</v>
      </c>
      <c r="C1709" t="s">
        <v>9990</v>
      </c>
      <c r="D1709" t="s">
        <v>9991</v>
      </c>
      <c r="E1709" t="s">
        <v>9992</v>
      </c>
      <c r="G1709" t="s">
        <v>9990</v>
      </c>
      <c r="H1709" t="s">
        <v>7096</v>
      </c>
      <c r="J1709" t="s">
        <v>9993</v>
      </c>
      <c r="L1709" t="s">
        <v>142</v>
      </c>
      <c r="M1709" t="s">
        <v>113</v>
      </c>
      <c r="R1709" t="s">
        <v>9994</v>
      </c>
      <c r="W1709" t="s">
        <v>9992</v>
      </c>
      <c r="X1709" t="s">
        <v>1845</v>
      </c>
      <c r="Y1709" t="s">
        <v>889</v>
      </c>
      <c r="Z1709" t="s">
        <v>117</v>
      </c>
      <c r="AA1709" t="str">
        <f>"14120-6150"</f>
        <v>14120-6150</v>
      </c>
      <c r="AB1709" t="s">
        <v>118</v>
      </c>
      <c r="AC1709" t="s">
        <v>119</v>
      </c>
      <c r="AD1709" t="s">
        <v>113</v>
      </c>
      <c r="AE1709" t="s">
        <v>120</v>
      </c>
      <c r="AG1709" t="s">
        <v>121</v>
      </c>
    </row>
    <row r="1710" spans="1:33" x14ac:dyDescent="0.25">
      <c r="A1710" t="str">
        <f>"1144461732"</f>
        <v>1144461732</v>
      </c>
      <c r="B1710" t="str">
        <f>"03084402"</f>
        <v>03084402</v>
      </c>
      <c r="C1710" t="s">
        <v>9995</v>
      </c>
      <c r="D1710" t="s">
        <v>9996</v>
      </c>
      <c r="E1710" t="s">
        <v>9997</v>
      </c>
      <c r="G1710" t="s">
        <v>9998</v>
      </c>
      <c r="H1710" t="s">
        <v>707</v>
      </c>
      <c r="J1710" t="s">
        <v>9999</v>
      </c>
      <c r="L1710" t="s">
        <v>142</v>
      </c>
      <c r="M1710" t="s">
        <v>113</v>
      </c>
      <c r="R1710" t="s">
        <v>10000</v>
      </c>
      <c r="W1710" t="s">
        <v>10001</v>
      </c>
      <c r="X1710" t="s">
        <v>253</v>
      </c>
      <c r="Y1710" t="s">
        <v>116</v>
      </c>
      <c r="Z1710" t="s">
        <v>117</v>
      </c>
      <c r="AA1710" t="str">
        <f>"14215-3021"</f>
        <v>14215-3021</v>
      </c>
      <c r="AB1710" t="s">
        <v>118</v>
      </c>
      <c r="AC1710" t="s">
        <v>119</v>
      </c>
      <c r="AD1710" t="s">
        <v>113</v>
      </c>
      <c r="AE1710" t="s">
        <v>120</v>
      </c>
      <c r="AG1710" t="s">
        <v>121</v>
      </c>
    </row>
    <row r="1711" spans="1:33" x14ac:dyDescent="0.25">
      <c r="A1711" t="str">
        <f>"1144491309"</f>
        <v>1144491309</v>
      </c>
      <c r="B1711" t="str">
        <f>"03625821"</f>
        <v>03625821</v>
      </c>
      <c r="C1711" t="s">
        <v>10002</v>
      </c>
      <c r="D1711" t="s">
        <v>10003</v>
      </c>
      <c r="E1711" t="s">
        <v>10004</v>
      </c>
      <c r="G1711" t="s">
        <v>10002</v>
      </c>
      <c r="H1711" t="s">
        <v>590</v>
      </c>
      <c r="J1711" t="s">
        <v>10005</v>
      </c>
      <c r="L1711" t="s">
        <v>7480</v>
      </c>
      <c r="M1711" t="s">
        <v>113</v>
      </c>
      <c r="R1711" t="s">
        <v>10006</v>
      </c>
      <c r="W1711" t="s">
        <v>10004</v>
      </c>
      <c r="X1711" t="s">
        <v>626</v>
      </c>
      <c r="Y1711" t="s">
        <v>116</v>
      </c>
      <c r="Z1711" t="s">
        <v>117</v>
      </c>
      <c r="AA1711" t="str">
        <f>"14210-2324"</f>
        <v>14210-2324</v>
      </c>
      <c r="AB1711" t="s">
        <v>528</v>
      </c>
      <c r="AC1711" t="s">
        <v>119</v>
      </c>
      <c r="AD1711" t="s">
        <v>113</v>
      </c>
      <c r="AE1711" t="s">
        <v>120</v>
      </c>
      <c r="AG1711" t="s">
        <v>121</v>
      </c>
    </row>
    <row r="1712" spans="1:33" x14ac:dyDescent="0.25">
      <c r="A1712" t="str">
        <f>"1124003660"</f>
        <v>1124003660</v>
      </c>
      <c r="C1712" t="s">
        <v>10007</v>
      </c>
      <c r="G1712" t="s">
        <v>10007</v>
      </c>
      <c r="H1712" t="s">
        <v>227</v>
      </c>
      <c r="J1712" t="s">
        <v>10008</v>
      </c>
      <c r="K1712" t="s">
        <v>303</v>
      </c>
      <c r="L1712" t="s">
        <v>229</v>
      </c>
      <c r="M1712" t="s">
        <v>113</v>
      </c>
      <c r="R1712" t="s">
        <v>10009</v>
      </c>
      <c r="S1712" t="s">
        <v>10010</v>
      </c>
      <c r="T1712" t="s">
        <v>10011</v>
      </c>
      <c r="U1712" t="s">
        <v>6827</v>
      </c>
      <c r="V1712" t="str">
        <f>"207235902"</f>
        <v>207235902</v>
      </c>
      <c r="AC1712" t="s">
        <v>119</v>
      </c>
      <c r="AD1712" t="s">
        <v>113</v>
      </c>
      <c r="AE1712" t="s">
        <v>306</v>
      </c>
      <c r="AG1712" t="s">
        <v>121</v>
      </c>
    </row>
    <row r="1713" spans="1:33" x14ac:dyDescent="0.25">
      <c r="A1713" t="str">
        <f>"1124011044"</f>
        <v>1124011044</v>
      </c>
      <c r="B1713" t="str">
        <f>"02285156"</f>
        <v>02285156</v>
      </c>
      <c r="C1713" t="s">
        <v>10012</v>
      </c>
      <c r="D1713" t="s">
        <v>10013</v>
      </c>
      <c r="E1713" t="s">
        <v>10014</v>
      </c>
      <c r="G1713" t="s">
        <v>10012</v>
      </c>
      <c r="H1713" t="s">
        <v>227</v>
      </c>
      <c r="J1713" t="s">
        <v>10015</v>
      </c>
      <c r="L1713" t="s">
        <v>142</v>
      </c>
      <c r="M1713" t="s">
        <v>113</v>
      </c>
      <c r="R1713" t="s">
        <v>10016</v>
      </c>
      <c r="W1713" t="s">
        <v>10014</v>
      </c>
      <c r="X1713" t="s">
        <v>10017</v>
      </c>
      <c r="Y1713" t="s">
        <v>10018</v>
      </c>
      <c r="Z1713" t="s">
        <v>117</v>
      </c>
      <c r="AA1713" t="str">
        <f>"13905-4246"</f>
        <v>13905-4246</v>
      </c>
      <c r="AB1713" t="s">
        <v>118</v>
      </c>
      <c r="AC1713" t="s">
        <v>119</v>
      </c>
      <c r="AD1713" t="s">
        <v>113</v>
      </c>
      <c r="AE1713" t="s">
        <v>120</v>
      </c>
      <c r="AG1713" t="s">
        <v>121</v>
      </c>
    </row>
    <row r="1714" spans="1:33" x14ac:dyDescent="0.25">
      <c r="A1714" t="str">
        <f>"1124014824"</f>
        <v>1124014824</v>
      </c>
      <c r="B1714" t="str">
        <f>"01885092"</f>
        <v>01885092</v>
      </c>
      <c r="C1714" t="s">
        <v>10019</v>
      </c>
      <c r="D1714" t="s">
        <v>10020</v>
      </c>
      <c r="E1714" t="s">
        <v>10021</v>
      </c>
      <c r="G1714" t="s">
        <v>10019</v>
      </c>
      <c r="H1714" t="s">
        <v>10022</v>
      </c>
      <c r="J1714" t="s">
        <v>10023</v>
      </c>
      <c r="L1714" t="s">
        <v>112</v>
      </c>
      <c r="M1714" t="s">
        <v>113</v>
      </c>
      <c r="R1714" t="s">
        <v>10024</v>
      </c>
      <c r="W1714" t="s">
        <v>10021</v>
      </c>
      <c r="X1714" t="s">
        <v>176</v>
      </c>
      <c r="Y1714" t="s">
        <v>116</v>
      </c>
      <c r="Z1714" t="s">
        <v>117</v>
      </c>
      <c r="AA1714" t="str">
        <f>"14203-1126"</f>
        <v>14203-1126</v>
      </c>
      <c r="AB1714" t="s">
        <v>118</v>
      </c>
      <c r="AC1714" t="s">
        <v>119</v>
      </c>
      <c r="AD1714" t="s">
        <v>113</v>
      </c>
      <c r="AE1714" t="s">
        <v>120</v>
      </c>
      <c r="AG1714" t="s">
        <v>121</v>
      </c>
    </row>
    <row r="1715" spans="1:33" x14ac:dyDescent="0.25">
      <c r="A1715" t="str">
        <f>"1124022041"</f>
        <v>1124022041</v>
      </c>
      <c r="B1715" t="str">
        <f>"01986570"</f>
        <v>01986570</v>
      </c>
      <c r="C1715" t="s">
        <v>10025</v>
      </c>
      <c r="D1715" t="s">
        <v>10026</v>
      </c>
      <c r="E1715" t="s">
        <v>10027</v>
      </c>
      <c r="G1715" t="s">
        <v>10025</v>
      </c>
      <c r="H1715" t="s">
        <v>1050</v>
      </c>
      <c r="J1715" t="s">
        <v>10028</v>
      </c>
      <c r="L1715" t="s">
        <v>150</v>
      </c>
      <c r="M1715" t="s">
        <v>113</v>
      </c>
      <c r="R1715" t="s">
        <v>10029</v>
      </c>
      <c r="W1715" t="s">
        <v>10027</v>
      </c>
      <c r="X1715" t="s">
        <v>1054</v>
      </c>
      <c r="Y1715" t="s">
        <v>816</v>
      </c>
      <c r="Z1715" t="s">
        <v>117</v>
      </c>
      <c r="AA1715" t="str">
        <f>"14120-1114"</f>
        <v>14120-1114</v>
      </c>
      <c r="AB1715" t="s">
        <v>118</v>
      </c>
      <c r="AC1715" t="s">
        <v>119</v>
      </c>
      <c r="AD1715" t="s">
        <v>113</v>
      </c>
      <c r="AE1715" t="s">
        <v>120</v>
      </c>
      <c r="AG1715" t="s">
        <v>121</v>
      </c>
    </row>
    <row r="1716" spans="1:33" x14ac:dyDescent="0.25">
      <c r="A1716" t="str">
        <f>"1124025705"</f>
        <v>1124025705</v>
      </c>
      <c r="C1716" t="s">
        <v>10030</v>
      </c>
      <c r="G1716" t="s">
        <v>10031</v>
      </c>
      <c r="H1716" t="s">
        <v>10032</v>
      </c>
      <c r="J1716" t="s">
        <v>10033</v>
      </c>
      <c r="K1716" t="s">
        <v>303</v>
      </c>
      <c r="L1716" t="s">
        <v>229</v>
      </c>
      <c r="M1716" t="s">
        <v>113</v>
      </c>
      <c r="R1716" t="s">
        <v>10030</v>
      </c>
      <c r="S1716" t="s">
        <v>10034</v>
      </c>
      <c r="T1716" t="s">
        <v>116</v>
      </c>
      <c r="U1716" t="s">
        <v>117</v>
      </c>
      <c r="V1716" t="str">
        <f>"142021515"</f>
        <v>142021515</v>
      </c>
      <c r="AC1716" t="s">
        <v>119</v>
      </c>
      <c r="AD1716" t="s">
        <v>113</v>
      </c>
      <c r="AE1716" t="s">
        <v>306</v>
      </c>
      <c r="AG1716" t="s">
        <v>121</v>
      </c>
    </row>
    <row r="1717" spans="1:33" x14ac:dyDescent="0.25">
      <c r="A1717" t="str">
        <f>"1124042668"</f>
        <v>1124042668</v>
      </c>
      <c r="B1717" t="str">
        <f>"02927186"</f>
        <v>02927186</v>
      </c>
      <c r="C1717" t="s">
        <v>10035</v>
      </c>
      <c r="D1717" t="s">
        <v>10036</v>
      </c>
      <c r="E1717" t="s">
        <v>10037</v>
      </c>
      <c r="G1717" t="s">
        <v>1723</v>
      </c>
      <c r="H1717" t="s">
        <v>10038</v>
      </c>
      <c r="J1717" t="s">
        <v>1725</v>
      </c>
      <c r="L1717" t="s">
        <v>112</v>
      </c>
      <c r="M1717" t="s">
        <v>113</v>
      </c>
      <c r="R1717" t="s">
        <v>10039</v>
      </c>
      <c r="W1717" t="s">
        <v>10037</v>
      </c>
      <c r="X1717" t="s">
        <v>10040</v>
      </c>
      <c r="Y1717" t="s">
        <v>10041</v>
      </c>
      <c r="Z1717" t="s">
        <v>117</v>
      </c>
      <c r="AA1717" t="str">
        <f>"11795-4927"</f>
        <v>11795-4927</v>
      </c>
      <c r="AB1717" t="s">
        <v>118</v>
      </c>
      <c r="AC1717" t="s">
        <v>119</v>
      </c>
      <c r="AD1717" t="s">
        <v>113</v>
      </c>
      <c r="AE1717" t="s">
        <v>120</v>
      </c>
      <c r="AG1717" t="s">
        <v>121</v>
      </c>
    </row>
    <row r="1718" spans="1:33" x14ac:dyDescent="0.25">
      <c r="A1718" t="str">
        <f>"1124054671"</f>
        <v>1124054671</v>
      </c>
      <c r="B1718" t="str">
        <f>"01667014"</f>
        <v>01667014</v>
      </c>
      <c r="C1718" t="s">
        <v>10042</v>
      </c>
      <c r="D1718" t="s">
        <v>10043</v>
      </c>
      <c r="E1718" t="s">
        <v>10044</v>
      </c>
      <c r="G1718" t="s">
        <v>10045</v>
      </c>
      <c r="H1718" t="s">
        <v>1013</v>
      </c>
      <c r="J1718" t="s">
        <v>10046</v>
      </c>
      <c r="L1718" t="s">
        <v>142</v>
      </c>
      <c r="M1718" t="s">
        <v>113</v>
      </c>
      <c r="R1718" t="s">
        <v>10047</v>
      </c>
      <c r="W1718" t="s">
        <v>10044</v>
      </c>
      <c r="X1718" t="s">
        <v>253</v>
      </c>
      <c r="Y1718" t="s">
        <v>116</v>
      </c>
      <c r="Z1718" t="s">
        <v>117</v>
      </c>
      <c r="AA1718" t="str">
        <f>"14215-3021"</f>
        <v>14215-3021</v>
      </c>
      <c r="AB1718" t="s">
        <v>118</v>
      </c>
      <c r="AC1718" t="s">
        <v>119</v>
      </c>
      <c r="AD1718" t="s">
        <v>113</v>
      </c>
      <c r="AE1718" t="s">
        <v>120</v>
      </c>
      <c r="AG1718" t="s">
        <v>121</v>
      </c>
    </row>
    <row r="1719" spans="1:33" x14ac:dyDescent="0.25">
      <c r="A1719" t="str">
        <f>"1285717298"</f>
        <v>1285717298</v>
      </c>
      <c r="B1719" t="str">
        <f>"00354467"</f>
        <v>00354467</v>
      </c>
      <c r="C1719" t="s">
        <v>22187</v>
      </c>
      <c r="D1719" t="s">
        <v>24036</v>
      </c>
      <c r="E1719" t="s">
        <v>22187</v>
      </c>
      <c r="G1719" t="s">
        <v>24037</v>
      </c>
      <c r="H1719" t="s">
        <v>24038</v>
      </c>
      <c r="J1719" t="s">
        <v>24039</v>
      </c>
      <c r="L1719" t="s">
        <v>24040</v>
      </c>
      <c r="M1719" t="s">
        <v>199</v>
      </c>
      <c r="R1719" t="s">
        <v>22185</v>
      </c>
      <c r="W1719" t="s">
        <v>22187</v>
      </c>
      <c r="X1719" t="s">
        <v>152</v>
      </c>
      <c r="Y1719" t="s">
        <v>153</v>
      </c>
      <c r="Z1719" t="s">
        <v>117</v>
      </c>
      <c r="AA1719" t="str">
        <f>"14301-1813"</f>
        <v>14301-1813</v>
      </c>
      <c r="AB1719" t="s">
        <v>1460</v>
      </c>
      <c r="AC1719" t="s">
        <v>119</v>
      </c>
      <c r="AD1719" t="s">
        <v>113</v>
      </c>
      <c r="AE1719" t="s">
        <v>120</v>
      </c>
      <c r="AG1719" t="s">
        <v>121</v>
      </c>
    </row>
    <row r="1720" spans="1:33" x14ac:dyDescent="0.25">
      <c r="A1720" t="str">
        <f>"1245416387"</f>
        <v>1245416387</v>
      </c>
      <c r="B1720" t="str">
        <f>"03165919"</f>
        <v>03165919</v>
      </c>
      <c r="C1720" t="s">
        <v>10053</v>
      </c>
      <c r="D1720" t="s">
        <v>10054</v>
      </c>
      <c r="E1720" t="s">
        <v>10055</v>
      </c>
      <c r="G1720" t="s">
        <v>10056</v>
      </c>
      <c r="H1720" t="s">
        <v>10057</v>
      </c>
      <c r="J1720" t="s">
        <v>10058</v>
      </c>
      <c r="L1720" t="s">
        <v>142</v>
      </c>
      <c r="M1720" t="s">
        <v>113</v>
      </c>
      <c r="R1720" t="s">
        <v>10059</v>
      </c>
      <c r="W1720" t="s">
        <v>10060</v>
      </c>
      <c r="X1720" t="s">
        <v>10061</v>
      </c>
      <c r="Y1720" t="s">
        <v>958</v>
      </c>
      <c r="Z1720" t="s">
        <v>117</v>
      </c>
      <c r="AA1720" t="str">
        <f>"14226-1018"</f>
        <v>14226-1018</v>
      </c>
      <c r="AB1720" t="s">
        <v>118</v>
      </c>
      <c r="AC1720" t="s">
        <v>119</v>
      </c>
      <c r="AD1720" t="s">
        <v>113</v>
      </c>
      <c r="AE1720" t="s">
        <v>120</v>
      </c>
      <c r="AG1720" t="s">
        <v>121</v>
      </c>
    </row>
    <row r="1721" spans="1:33" x14ac:dyDescent="0.25">
      <c r="A1721" t="str">
        <f>"1245490036"</f>
        <v>1245490036</v>
      </c>
      <c r="B1721" t="str">
        <f>"04464531"</f>
        <v>04464531</v>
      </c>
      <c r="C1721" t="s">
        <v>10062</v>
      </c>
      <c r="D1721" t="s">
        <v>10063</v>
      </c>
      <c r="E1721" t="s">
        <v>10064</v>
      </c>
      <c r="G1721" t="s">
        <v>10065</v>
      </c>
      <c r="H1721" t="s">
        <v>10066</v>
      </c>
      <c r="J1721" t="s">
        <v>10067</v>
      </c>
      <c r="L1721" t="s">
        <v>112</v>
      </c>
      <c r="M1721" t="s">
        <v>113</v>
      </c>
      <c r="R1721" t="s">
        <v>10068</v>
      </c>
      <c r="W1721" t="s">
        <v>10064</v>
      </c>
      <c r="AB1721" t="s">
        <v>118</v>
      </c>
      <c r="AC1721" t="s">
        <v>119</v>
      </c>
      <c r="AD1721" t="s">
        <v>113</v>
      </c>
      <c r="AE1721" t="s">
        <v>120</v>
      </c>
      <c r="AG1721" t="s">
        <v>121</v>
      </c>
    </row>
    <row r="1722" spans="1:33" x14ac:dyDescent="0.25">
      <c r="A1722" t="str">
        <f>"1245499482"</f>
        <v>1245499482</v>
      </c>
      <c r="C1722" t="s">
        <v>10069</v>
      </c>
      <c r="G1722" t="s">
        <v>10070</v>
      </c>
      <c r="H1722" t="s">
        <v>590</v>
      </c>
      <c r="J1722" t="s">
        <v>352</v>
      </c>
      <c r="K1722" t="s">
        <v>303</v>
      </c>
      <c r="L1722" t="s">
        <v>229</v>
      </c>
      <c r="M1722" t="s">
        <v>113</v>
      </c>
      <c r="R1722" t="s">
        <v>10071</v>
      </c>
      <c r="S1722" t="s">
        <v>651</v>
      </c>
      <c r="T1722" t="s">
        <v>116</v>
      </c>
      <c r="U1722" t="s">
        <v>117</v>
      </c>
      <c r="V1722" t="str">
        <f>"142091912"</f>
        <v>142091912</v>
      </c>
      <c r="AC1722" t="s">
        <v>119</v>
      </c>
      <c r="AD1722" t="s">
        <v>113</v>
      </c>
      <c r="AE1722" t="s">
        <v>306</v>
      </c>
      <c r="AG1722" t="s">
        <v>121</v>
      </c>
    </row>
    <row r="1723" spans="1:33" x14ac:dyDescent="0.25">
      <c r="A1723" t="str">
        <f>"1245506633"</f>
        <v>1245506633</v>
      </c>
      <c r="B1723" t="str">
        <f>"04049547"</f>
        <v>04049547</v>
      </c>
      <c r="C1723" t="s">
        <v>10072</v>
      </c>
      <c r="D1723" t="s">
        <v>10073</v>
      </c>
      <c r="E1723" t="s">
        <v>10074</v>
      </c>
      <c r="G1723" t="s">
        <v>10075</v>
      </c>
      <c r="H1723" t="s">
        <v>10076</v>
      </c>
      <c r="J1723" t="s">
        <v>10077</v>
      </c>
      <c r="L1723" t="s">
        <v>142</v>
      </c>
      <c r="M1723" t="s">
        <v>113</v>
      </c>
      <c r="R1723" t="s">
        <v>10078</v>
      </c>
      <c r="W1723" t="s">
        <v>10074</v>
      </c>
      <c r="X1723" t="s">
        <v>176</v>
      </c>
      <c r="Y1723" t="s">
        <v>116</v>
      </c>
      <c r="Z1723" t="s">
        <v>117</v>
      </c>
      <c r="AA1723" t="str">
        <f>"14203-1126"</f>
        <v>14203-1126</v>
      </c>
      <c r="AB1723" t="s">
        <v>118</v>
      </c>
      <c r="AC1723" t="s">
        <v>119</v>
      </c>
      <c r="AD1723" t="s">
        <v>113</v>
      </c>
      <c r="AE1723" t="s">
        <v>120</v>
      </c>
      <c r="AG1723" t="s">
        <v>121</v>
      </c>
    </row>
    <row r="1724" spans="1:33" x14ac:dyDescent="0.25">
      <c r="A1724" t="str">
        <f>"1245530906"</f>
        <v>1245530906</v>
      </c>
      <c r="C1724" t="s">
        <v>10079</v>
      </c>
      <c r="G1724" t="s">
        <v>10080</v>
      </c>
      <c r="H1724" t="s">
        <v>7991</v>
      </c>
      <c r="J1724" t="s">
        <v>10081</v>
      </c>
      <c r="K1724" t="s">
        <v>303</v>
      </c>
      <c r="L1724" t="s">
        <v>229</v>
      </c>
      <c r="M1724" t="s">
        <v>113</v>
      </c>
      <c r="R1724" t="s">
        <v>10082</v>
      </c>
      <c r="S1724" t="s">
        <v>1709</v>
      </c>
      <c r="T1724" t="s">
        <v>116</v>
      </c>
      <c r="U1724" t="s">
        <v>117</v>
      </c>
      <c r="V1724" t="str">
        <f>"142131207"</f>
        <v>142131207</v>
      </c>
      <c r="AC1724" t="s">
        <v>119</v>
      </c>
      <c r="AD1724" t="s">
        <v>113</v>
      </c>
      <c r="AE1724" t="s">
        <v>306</v>
      </c>
      <c r="AG1724" t="s">
        <v>121</v>
      </c>
    </row>
    <row r="1725" spans="1:33" x14ac:dyDescent="0.25">
      <c r="A1725" t="str">
        <f>"1245560119"</f>
        <v>1245560119</v>
      </c>
      <c r="B1725" t="str">
        <f>"03259510"</f>
        <v>03259510</v>
      </c>
      <c r="C1725" t="s">
        <v>10083</v>
      </c>
      <c r="D1725" t="s">
        <v>10084</v>
      </c>
      <c r="E1725" t="s">
        <v>10085</v>
      </c>
      <c r="G1725" t="s">
        <v>10083</v>
      </c>
      <c r="J1725" t="s">
        <v>10086</v>
      </c>
      <c r="L1725" t="s">
        <v>142</v>
      </c>
      <c r="M1725" t="s">
        <v>113</v>
      </c>
      <c r="R1725" t="s">
        <v>10087</v>
      </c>
      <c r="W1725" t="s">
        <v>10085</v>
      </c>
      <c r="X1725" t="s">
        <v>176</v>
      </c>
      <c r="Y1725" t="s">
        <v>116</v>
      </c>
      <c r="Z1725" t="s">
        <v>117</v>
      </c>
      <c r="AA1725" t="str">
        <f>"14203-1126"</f>
        <v>14203-1126</v>
      </c>
      <c r="AB1725" t="s">
        <v>118</v>
      </c>
      <c r="AC1725" t="s">
        <v>119</v>
      </c>
      <c r="AD1725" t="s">
        <v>113</v>
      </c>
      <c r="AE1725" t="s">
        <v>120</v>
      </c>
      <c r="AG1725" t="s">
        <v>121</v>
      </c>
    </row>
    <row r="1726" spans="1:33" x14ac:dyDescent="0.25">
      <c r="A1726" t="str">
        <f>"1245560531"</f>
        <v>1245560531</v>
      </c>
      <c r="C1726" t="s">
        <v>10088</v>
      </c>
      <c r="G1726" t="s">
        <v>10088</v>
      </c>
      <c r="J1726" t="s">
        <v>438</v>
      </c>
      <c r="K1726" t="s">
        <v>303</v>
      </c>
      <c r="L1726" t="s">
        <v>112</v>
      </c>
      <c r="M1726" t="s">
        <v>113</v>
      </c>
      <c r="R1726" t="s">
        <v>10089</v>
      </c>
      <c r="S1726" t="s">
        <v>3611</v>
      </c>
      <c r="T1726" t="s">
        <v>116</v>
      </c>
      <c r="U1726" t="s">
        <v>117</v>
      </c>
      <c r="V1726" t="str">
        <f>"142121501"</f>
        <v>142121501</v>
      </c>
      <c r="AC1726" t="s">
        <v>119</v>
      </c>
      <c r="AD1726" t="s">
        <v>113</v>
      </c>
      <c r="AE1726" t="s">
        <v>306</v>
      </c>
      <c r="AG1726" t="s">
        <v>121</v>
      </c>
    </row>
    <row r="1727" spans="1:33" x14ac:dyDescent="0.25">
      <c r="A1727" t="str">
        <f>"1245642602"</f>
        <v>1245642602</v>
      </c>
      <c r="C1727" t="s">
        <v>10090</v>
      </c>
      <c r="G1727" t="s">
        <v>10091</v>
      </c>
      <c r="H1727" t="s">
        <v>351</v>
      </c>
      <c r="K1727" t="s">
        <v>303</v>
      </c>
      <c r="L1727" t="s">
        <v>229</v>
      </c>
      <c r="M1727" t="s">
        <v>113</v>
      </c>
      <c r="R1727" t="s">
        <v>10092</v>
      </c>
      <c r="S1727" t="s">
        <v>354</v>
      </c>
      <c r="T1727" t="s">
        <v>116</v>
      </c>
      <c r="U1727" t="s">
        <v>117</v>
      </c>
      <c r="V1727" t="str">
        <f>"142152814"</f>
        <v>142152814</v>
      </c>
      <c r="AC1727" t="s">
        <v>119</v>
      </c>
      <c r="AD1727" t="s">
        <v>113</v>
      </c>
      <c r="AE1727" t="s">
        <v>306</v>
      </c>
      <c r="AG1727" t="s">
        <v>121</v>
      </c>
    </row>
    <row r="1728" spans="1:33" x14ac:dyDescent="0.25">
      <c r="A1728" t="str">
        <f>"1245671791"</f>
        <v>1245671791</v>
      </c>
      <c r="B1728" t="str">
        <f>"03690535"</f>
        <v>03690535</v>
      </c>
      <c r="C1728" t="s">
        <v>10093</v>
      </c>
      <c r="D1728" t="s">
        <v>10094</v>
      </c>
      <c r="E1728" t="s">
        <v>10095</v>
      </c>
      <c r="G1728" t="s">
        <v>10093</v>
      </c>
      <c r="J1728" t="s">
        <v>10096</v>
      </c>
      <c r="L1728" t="s">
        <v>112</v>
      </c>
      <c r="M1728" t="s">
        <v>113</v>
      </c>
      <c r="R1728" t="s">
        <v>10097</v>
      </c>
      <c r="W1728" t="s">
        <v>10095</v>
      </c>
      <c r="X1728" t="s">
        <v>10098</v>
      </c>
      <c r="Y1728" t="s">
        <v>240</v>
      </c>
      <c r="Z1728" t="s">
        <v>117</v>
      </c>
      <c r="AA1728" t="str">
        <f>"14221-6060"</f>
        <v>14221-6060</v>
      </c>
      <c r="AB1728" t="s">
        <v>118</v>
      </c>
      <c r="AC1728" t="s">
        <v>119</v>
      </c>
      <c r="AD1728" t="s">
        <v>113</v>
      </c>
      <c r="AE1728" t="s">
        <v>120</v>
      </c>
      <c r="AG1728" t="s">
        <v>121</v>
      </c>
    </row>
    <row r="1729" spans="1:33" x14ac:dyDescent="0.25">
      <c r="A1729" t="str">
        <f>"1245679703"</f>
        <v>1245679703</v>
      </c>
      <c r="C1729" t="s">
        <v>10099</v>
      </c>
      <c r="G1729" t="s">
        <v>10100</v>
      </c>
      <c r="H1729" t="s">
        <v>471</v>
      </c>
      <c r="J1729" t="s">
        <v>10101</v>
      </c>
      <c r="K1729" t="s">
        <v>303</v>
      </c>
      <c r="L1729" t="s">
        <v>112</v>
      </c>
      <c r="M1729" t="s">
        <v>113</v>
      </c>
      <c r="R1729" t="s">
        <v>10102</v>
      </c>
      <c r="S1729" t="s">
        <v>6160</v>
      </c>
      <c r="T1729" t="s">
        <v>116</v>
      </c>
      <c r="U1729" t="s">
        <v>117</v>
      </c>
      <c r="V1729" t="str">
        <f>"142091723"</f>
        <v>142091723</v>
      </c>
      <c r="AC1729" t="s">
        <v>119</v>
      </c>
      <c r="AD1729" t="s">
        <v>113</v>
      </c>
      <c r="AE1729" t="s">
        <v>306</v>
      </c>
      <c r="AG1729" t="s">
        <v>121</v>
      </c>
    </row>
    <row r="1730" spans="1:33" x14ac:dyDescent="0.25">
      <c r="A1730" t="str">
        <f>"1255303392"</f>
        <v>1255303392</v>
      </c>
      <c r="B1730" t="str">
        <f>"00790932"</f>
        <v>00790932</v>
      </c>
      <c r="C1730" t="s">
        <v>10103</v>
      </c>
      <c r="D1730" t="s">
        <v>10104</v>
      </c>
      <c r="E1730" t="s">
        <v>10105</v>
      </c>
      <c r="G1730" t="s">
        <v>10103</v>
      </c>
      <c r="H1730" t="s">
        <v>10106</v>
      </c>
      <c r="L1730" t="s">
        <v>229</v>
      </c>
      <c r="M1730" t="s">
        <v>113</v>
      </c>
      <c r="R1730" t="s">
        <v>10107</v>
      </c>
      <c r="W1730" t="s">
        <v>10105</v>
      </c>
      <c r="X1730" t="s">
        <v>8346</v>
      </c>
      <c r="Y1730" t="s">
        <v>116</v>
      </c>
      <c r="Z1730" t="s">
        <v>117</v>
      </c>
      <c r="AA1730" t="str">
        <f>"14203-1154"</f>
        <v>14203-1154</v>
      </c>
      <c r="AB1730" t="s">
        <v>118</v>
      </c>
      <c r="AC1730" t="s">
        <v>119</v>
      </c>
      <c r="AD1730" t="s">
        <v>113</v>
      </c>
      <c r="AE1730" t="s">
        <v>120</v>
      </c>
      <c r="AG1730" t="s">
        <v>121</v>
      </c>
    </row>
    <row r="1731" spans="1:33" x14ac:dyDescent="0.25">
      <c r="A1731" t="str">
        <f>"1255303996"</f>
        <v>1255303996</v>
      </c>
      <c r="B1731" t="str">
        <f>"01476168"</f>
        <v>01476168</v>
      </c>
      <c r="C1731" t="s">
        <v>10108</v>
      </c>
      <c r="D1731" t="s">
        <v>10109</v>
      </c>
      <c r="E1731" t="s">
        <v>10110</v>
      </c>
      <c r="G1731" t="s">
        <v>10108</v>
      </c>
      <c r="H1731" t="s">
        <v>2280</v>
      </c>
      <c r="J1731" t="s">
        <v>10111</v>
      </c>
      <c r="L1731" t="s">
        <v>142</v>
      </c>
      <c r="M1731" t="s">
        <v>199</v>
      </c>
      <c r="R1731" t="s">
        <v>10112</v>
      </c>
      <c r="W1731" t="s">
        <v>10110</v>
      </c>
      <c r="X1731" t="s">
        <v>216</v>
      </c>
      <c r="Y1731" t="s">
        <v>116</v>
      </c>
      <c r="Z1731" t="s">
        <v>117</v>
      </c>
      <c r="AA1731" t="str">
        <f>"14222-2006"</f>
        <v>14222-2006</v>
      </c>
      <c r="AB1731" t="s">
        <v>118</v>
      </c>
      <c r="AC1731" t="s">
        <v>119</v>
      </c>
      <c r="AD1731" t="s">
        <v>113</v>
      </c>
      <c r="AE1731" t="s">
        <v>120</v>
      </c>
      <c r="AG1731" t="s">
        <v>121</v>
      </c>
    </row>
    <row r="1732" spans="1:33" x14ac:dyDescent="0.25">
      <c r="A1732" t="str">
        <f>"1255313391"</f>
        <v>1255313391</v>
      </c>
      <c r="B1732" t="str">
        <f>"00737173"</f>
        <v>00737173</v>
      </c>
      <c r="C1732" t="s">
        <v>10113</v>
      </c>
      <c r="D1732" t="s">
        <v>10114</v>
      </c>
      <c r="E1732" t="s">
        <v>10115</v>
      </c>
      <c r="H1732" t="s">
        <v>10116</v>
      </c>
      <c r="L1732" t="s">
        <v>150</v>
      </c>
      <c r="M1732" t="s">
        <v>113</v>
      </c>
      <c r="R1732" t="s">
        <v>10117</v>
      </c>
      <c r="W1732" t="s">
        <v>10115</v>
      </c>
      <c r="X1732" t="s">
        <v>10118</v>
      </c>
      <c r="Y1732" t="s">
        <v>527</v>
      </c>
      <c r="Z1732" t="s">
        <v>117</v>
      </c>
      <c r="AA1732" t="str">
        <f>"14103"</f>
        <v>14103</v>
      </c>
      <c r="AB1732" t="s">
        <v>118</v>
      </c>
      <c r="AC1732" t="s">
        <v>119</v>
      </c>
      <c r="AD1732" t="s">
        <v>113</v>
      </c>
      <c r="AE1732" t="s">
        <v>120</v>
      </c>
      <c r="AG1732" t="s">
        <v>121</v>
      </c>
    </row>
    <row r="1733" spans="1:33" x14ac:dyDescent="0.25">
      <c r="A1733" t="str">
        <f>"1255313755"</f>
        <v>1255313755</v>
      </c>
      <c r="B1733" t="str">
        <f>"00722312"</f>
        <v>00722312</v>
      </c>
      <c r="C1733" t="s">
        <v>10119</v>
      </c>
      <c r="D1733" t="s">
        <v>10120</v>
      </c>
      <c r="E1733" t="s">
        <v>10121</v>
      </c>
      <c r="G1733" t="s">
        <v>330</v>
      </c>
      <c r="H1733" t="s">
        <v>10122</v>
      </c>
      <c r="J1733" t="s">
        <v>332</v>
      </c>
      <c r="L1733" t="s">
        <v>150</v>
      </c>
      <c r="M1733" t="s">
        <v>113</v>
      </c>
      <c r="R1733" t="s">
        <v>10123</v>
      </c>
      <c r="W1733" t="s">
        <v>10124</v>
      </c>
      <c r="X1733" t="s">
        <v>10125</v>
      </c>
      <c r="Y1733" t="s">
        <v>1257</v>
      </c>
      <c r="Z1733" t="s">
        <v>117</v>
      </c>
      <c r="AA1733" t="str">
        <f>"14141-1497"</f>
        <v>14141-1497</v>
      </c>
      <c r="AB1733" t="s">
        <v>118</v>
      </c>
      <c r="AC1733" t="s">
        <v>119</v>
      </c>
      <c r="AD1733" t="s">
        <v>113</v>
      </c>
      <c r="AE1733" t="s">
        <v>120</v>
      </c>
      <c r="AG1733" t="s">
        <v>121</v>
      </c>
    </row>
    <row r="1734" spans="1:33" x14ac:dyDescent="0.25">
      <c r="A1734" t="str">
        <f>"1255314456"</f>
        <v>1255314456</v>
      </c>
      <c r="B1734" t="str">
        <f>"02878357"</f>
        <v>02878357</v>
      </c>
      <c r="C1734" t="s">
        <v>10126</v>
      </c>
      <c r="D1734" t="s">
        <v>10127</v>
      </c>
      <c r="E1734" t="s">
        <v>10128</v>
      </c>
      <c r="G1734" t="s">
        <v>10126</v>
      </c>
      <c r="H1734" t="s">
        <v>205</v>
      </c>
      <c r="J1734" t="s">
        <v>10129</v>
      </c>
      <c r="L1734" t="s">
        <v>150</v>
      </c>
      <c r="M1734" t="s">
        <v>113</v>
      </c>
      <c r="R1734" t="s">
        <v>10130</v>
      </c>
      <c r="W1734" t="s">
        <v>10128</v>
      </c>
      <c r="X1734" t="s">
        <v>778</v>
      </c>
      <c r="Y1734" t="s">
        <v>240</v>
      </c>
      <c r="Z1734" t="s">
        <v>117</v>
      </c>
      <c r="AA1734" t="str">
        <f>"14221-8243"</f>
        <v>14221-8243</v>
      </c>
      <c r="AB1734" t="s">
        <v>118</v>
      </c>
      <c r="AC1734" t="s">
        <v>119</v>
      </c>
      <c r="AD1734" t="s">
        <v>113</v>
      </c>
      <c r="AE1734" t="s">
        <v>120</v>
      </c>
      <c r="AG1734" t="s">
        <v>121</v>
      </c>
    </row>
    <row r="1735" spans="1:33" x14ac:dyDescent="0.25">
      <c r="A1735" t="str">
        <f>"1255317343"</f>
        <v>1255317343</v>
      </c>
      <c r="B1735" t="str">
        <f>"00705862"</f>
        <v>00705862</v>
      </c>
      <c r="C1735" t="s">
        <v>10131</v>
      </c>
      <c r="D1735" t="s">
        <v>10132</v>
      </c>
      <c r="E1735" t="s">
        <v>10133</v>
      </c>
      <c r="G1735" t="s">
        <v>10131</v>
      </c>
      <c r="H1735" t="s">
        <v>1006</v>
      </c>
      <c r="J1735" t="s">
        <v>10134</v>
      </c>
      <c r="L1735" t="s">
        <v>142</v>
      </c>
      <c r="M1735" t="s">
        <v>113</v>
      </c>
      <c r="R1735" t="s">
        <v>10135</v>
      </c>
      <c r="W1735" t="s">
        <v>10133</v>
      </c>
      <c r="X1735" t="s">
        <v>1009</v>
      </c>
      <c r="Y1735" t="s">
        <v>240</v>
      </c>
      <c r="Z1735" t="s">
        <v>117</v>
      </c>
      <c r="AA1735" t="str">
        <f>"14221-2917"</f>
        <v>14221-2917</v>
      </c>
      <c r="AB1735" t="s">
        <v>118</v>
      </c>
      <c r="AC1735" t="s">
        <v>119</v>
      </c>
      <c r="AD1735" t="s">
        <v>113</v>
      </c>
      <c r="AE1735" t="s">
        <v>120</v>
      </c>
      <c r="AG1735" t="s">
        <v>121</v>
      </c>
    </row>
    <row r="1736" spans="1:33" x14ac:dyDescent="0.25">
      <c r="A1736" t="str">
        <f>"1114126455"</f>
        <v>1114126455</v>
      </c>
      <c r="C1736" t="s">
        <v>10136</v>
      </c>
      <c r="G1736" t="s">
        <v>10137</v>
      </c>
      <c r="H1736" t="s">
        <v>8882</v>
      </c>
      <c r="J1736" t="s">
        <v>10138</v>
      </c>
      <c r="K1736" t="s">
        <v>303</v>
      </c>
      <c r="L1736" t="s">
        <v>112</v>
      </c>
      <c r="M1736" t="s">
        <v>113</v>
      </c>
      <c r="R1736" t="s">
        <v>10139</v>
      </c>
      <c r="S1736" t="s">
        <v>216</v>
      </c>
      <c r="T1736" t="s">
        <v>116</v>
      </c>
      <c r="U1736" t="s">
        <v>117</v>
      </c>
      <c r="V1736" t="str">
        <f>"142222006"</f>
        <v>142222006</v>
      </c>
      <c r="AC1736" t="s">
        <v>119</v>
      </c>
      <c r="AD1736" t="s">
        <v>113</v>
      </c>
      <c r="AE1736" t="s">
        <v>306</v>
      </c>
      <c r="AG1736" t="s">
        <v>121</v>
      </c>
    </row>
    <row r="1737" spans="1:33" x14ac:dyDescent="0.25">
      <c r="A1737" t="str">
        <f>"1114133139"</f>
        <v>1114133139</v>
      </c>
      <c r="B1737" t="str">
        <f>"03675972"</f>
        <v>03675972</v>
      </c>
      <c r="C1737" t="s">
        <v>10140</v>
      </c>
      <c r="D1737" t="s">
        <v>10141</v>
      </c>
      <c r="E1737" t="s">
        <v>10142</v>
      </c>
      <c r="G1737" t="s">
        <v>10143</v>
      </c>
      <c r="H1737" t="s">
        <v>10144</v>
      </c>
      <c r="J1737" t="s">
        <v>352</v>
      </c>
      <c r="L1737" t="s">
        <v>112</v>
      </c>
      <c r="M1737" t="s">
        <v>113</v>
      </c>
      <c r="R1737" t="s">
        <v>10145</v>
      </c>
      <c r="W1737" t="s">
        <v>10142</v>
      </c>
      <c r="X1737" t="s">
        <v>10146</v>
      </c>
      <c r="Y1737" t="s">
        <v>663</v>
      </c>
      <c r="Z1737" t="s">
        <v>117</v>
      </c>
      <c r="AA1737" t="str">
        <f>"14094-3727"</f>
        <v>14094-3727</v>
      </c>
      <c r="AB1737" t="s">
        <v>621</v>
      </c>
      <c r="AC1737" t="s">
        <v>119</v>
      </c>
      <c r="AD1737" t="s">
        <v>113</v>
      </c>
      <c r="AE1737" t="s">
        <v>120</v>
      </c>
      <c r="AG1737" t="s">
        <v>121</v>
      </c>
    </row>
    <row r="1738" spans="1:33" x14ac:dyDescent="0.25">
      <c r="A1738" t="str">
        <f>"1114138286"</f>
        <v>1114138286</v>
      </c>
      <c r="B1738" t="str">
        <f>"00465834"</f>
        <v>00465834</v>
      </c>
      <c r="C1738" t="s">
        <v>1542</v>
      </c>
      <c r="D1738" t="s">
        <v>10147</v>
      </c>
      <c r="E1738" t="s">
        <v>10148</v>
      </c>
      <c r="H1738" t="s">
        <v>1456</v>
      </c>
      <c r="J1738" t="s">
        <v>1457</v>
      </c>
      <c r="L1738" t="s">
        <v>229</v>
      </c>
      <c r="M1738" t="s">
        <v>199</v>
      </c>
      <c r="R1738" t="s">
        <v>1542</v>
      </c>
      <c r="W1738" t="s">
        <v>10148</v>
      </c>
      <c r="X1738" t="s">
        <v>5515</v>
      </c>
      <c r="Y1738" t="s">
        <v>1545</v>
      </c>
      <c r="Z1738" t="s">
        <v>117</v>
      </c>
      <c r="AA1738" t="str">
        <f>"14218-2708"</f>
        <v>14218-2708</v>
      </c>
      <c r="AB1738" t="s">
        <v>5427</v>
      </c>
      <c r="AC1738" t="s">
        <v>119</v>
      </c>
      <c r="AD1738" t="s">
        <v>113</v>
      </c>
      <c r="AE1738" t="s">
        <v>120</v>
      </c>
      <c r="AG1738" t="s">
        <v>121</v>
      </c>
    </row>
    <row r="1739" spans="1:33" x14ac:dyDescent="0.25">
      <c r="A1739" t="str">
        <f>"1114155470"</f>
        <v>1114155470</v>
      </c>
      <c r="B1739" t="str">
        <f>"03118178"</f>
        <v>03118178</v>
      </c>
      <c r="C1739" t="s">
        <v>10149</v>
      </c>
      <c r="D1739" t="s">
        <v>10150</v>
      </c>
      <c r="E1739" t="s">
        <v>10151</v>
      </c>
      <c r="G1739" t="s">
        <v>10149</v>
      </c>
      <c r="H1739" t="s">
        <v>937</v>
      </c>
      <c r="J1739" t="s">
        <v>10152</v>
      </c>
      <c r="L1739" t="s">
        <v>142</v>
      </c>
      <c r="M1739" t="s">
        <v>113</v>
      </c>
      <c r="R1739" t="s">
        <v>10153</v>
      </c>
      <c r="W1739" t="s">
        <v>10151</v>
      </c>
      <c r="X1739" t="s">
        <v>136</v>
      </c>
      <c r="Y1739" t="s">
        <v>116</v>
      </c>
      <c r="Z1739" t="s">
        <v>117</v>
      </c>
      <c r="AA1739" t="str">
        <f>"14209-1120"</f>
        <v>14209-1120</v>
      </c>
      <c r="AB1739" t="s">
        <v>118</v>
      </c>
      <c r="AC1739" t="s">
        <v>119</v>
      </c>
      <c r="AD1739" t="s">
        <v>113</v>
      </c>
      <c r="AE1739" t="s">
        <v>120</v>
      </c>
      <c r="AG1739" t="s">
        <v>121</v>
      </c>
    </row>
    <row r="1740" spans="1:33" x14ac:dyDescent="0.25">
      <c r="A1740" t="str">
        <f>"1114157112"</f>
        <v>1114157112</v>
      </c>
      <c r="B1740" t="str">
        <f>"03374614"</f>
        <v>03374614</v>
      </c>
      <c r="C1740" t="s">
        <v>10154</v>
      </c>
      <c r="D1740" t="s">
        <v>10155</v>
      </c>
      <c r="E1740" t="s">
        <v>10156</v>
      </c>
      <c r="L1740" t="s">
        <v>150</v>
      </c>
      <c r="M1740" t="s">
        <v>113</v>
      </c>
      <c r="R1740" t="s">
        <v>10154</v>
      </c>
      <c r="W1740" t="s">
        <v>10156</v>
      </c>
      <c r="X1740" t="s">
        <v>6222</v>
      </c>
      <c r="Y1740" t="s">
        <v>541</v>
      </c>
      <c r="Z1740" t="s">
        <v>117</v>
      </c>
      <c r="AA1740" t="str">
        <f>"14048-2237"</f>
        <v>14048-2237</v>
      </c>
      <c r="AB1740" t="s">
        <v>118</v>
      </c>
      <c r="AC1740" t="s">
        <v>119</v>
      </c>
      <c r="AD1740" t="s">
        <v>113</v>
      </c>
      <c r="AE1740" t="s">
        <v>120</v>
      </c>
      <c r="AG1740" t="s">
        <v>121</v>
      </c>
    </row>
    <row r="1741" spans="1:33" x14ac:dyDescent="0.25">
      <c r="A1741" t="str">
        <f>"1114184710"</f>
        <v>1114184710</v>
      </c>
      <c r="B1741" t="str">
        <f>"04316381"</f>
        <v>04316381</v>
      </c>
      <c r="C1741" t="s">
        <v>10157</v>
      </c>
      <c r="D1741" t="s">
        <v>10158</v>
      </c>
      <c r="E1741" t="s">
        <v>10159</v>
      </c>
      <c r="G1741" t="s">
        <v>10160</v>
      </c>
      <c r="H1741" t="s">
        <v>1115</v>
      </c>
      <c r="J1741" t="s">
        <v>352</v>
      </c>
      <c r="L1741" t="s">
        <v>112</v>
      </c>
      <c r="M1741" t="s">
        <v>113</v>
      </c>
      <c r="R1741" t="s">
        <v>10161</v>
      </c>
      <c r="W1741" t="s">
        <v>10159</v>
      </c>
      <c r="X1741" t="s">
        <v>405</v>
      </c>
      <c r="Y1741" t="s">
        <v>116</v>
      </c>
      <c r="Z1741" t="s">
        <v>117</v>
      </c>
      <c r="AA1741" t="str">
        <f>"14215-1139"</f>
        <v>14215-1139</v>
      </c>
      <c r="AB1741" t="s">
        <v>621</v>
      </c>
      <c r="AC1741" t="s">
        <v>119</v>
      </c>
      <c r="AD1741" t="s">
        <v>113</v>
      </c>
      <c r="AE1741" t="s">
        <v>120</v>
      </c>
      <c r="AG1741" t="s">
        <v>121</v>
      </c>
    </row>
    <row r="1742" spans="1:33" x14ac:dyDescent="0.25">
      <c r="A1742" t="str">
        <f>"1114206042"</f>
        <v>1114206042</v>
      </c>
      <c r="C1742" t="s">
        <v>10162</v>
      </c>
      <c r="G1742" t="s">
        <v>10163</v>
      </c>
      <c r="H1742" t="s">
        <v>10164</v>
      </c>
      <c r="J1742" t="s">
        <v>10165</v>
      </c>
      <c r="K1742" t="s">
        <v>303</v>
      </c>
      <c r="L1742" t="s">
        <v>229</v>
      </c>
      <c r="M1742" t="s">
        <v>113</v>
      </c>
      <c r="R1742" t="s">
        <v>10166</v>
      </c>
      <c r="S1742" t="s">
        <v>10167</v>
      </c>
      <c r="T1742" t="s">
        <v>10168</v>
      </c>
      <c r="U1742" t="s">
        <v>10169</v>
      </c>
      <c r="V1742" t="str">
        <f>"875442275"</f>
        <v>875442275</v>
      </c>
      <c r="AC1742" t="s">
        <v>119</v>
      </c>
      <c r="AD1742" t="s">
        <v>113</v>
      </c>
      <c r="AE1742" t="s">
        <v>306</v>
      </c>
      <c r="AG1742" t="s">
        <v>121</v>
      </c>
    </row>
    <row r="1743" spans="1:33" x14ac:dyDescent="0.25">
      <c r="A1743" t="str">
        <f>"1114211356"</f>
        <v>1114211356</v>
      </c>
      <c r="C1743" t="s">
        <v>10170</v>
      </c>
      <c r="G1743" t="s">
        <v>10171</v>
      </c>
      <c r="J1743" t="s">
        <v>352</v>
      </c>
      <c r="K1743" t="s">
        <v>303</v>
      </c>
      <c r="L1743" t="s">
        <v>229</v>
      </c>
      <c r="M1743" t="s">
        <v>113</v>
      </c>
      <c r="R1743" t="s">
        <v>10172</v>
      </c>
      <c r="S1743" t="s">
        <v>1922</v>
      </c>
      <c r="T1743" t="s">
        <v>268</v>
      </c>
      <c r="U1743" t="s">
        <v>117</v>
      </c>
      <c r="V1743" t="str">
        <f>"141508441"</f>
        <v>141508441</v>
      </c>
      <c r="AC1743" t="s">
        <v>119</v>
      </c>
      <c r="AD1743" t="s">
        <v>113</v>
      </c>
      <c r="AE1743" t="s">
        <v>306</v>
      </c>
      <c r="AG1743" t="s">
        <v>121</v>
      </c>
    </row>
    <row r="1744" spans="1:33" x14ac:dyDescent="0.25">
      <c r="A1744" t="str">
        <f>"1114221348"</f>
        <v>1114221348</v>
      </c>
      <c r="C1744" t="s">
        <v>10173</v>
      </c>
      <c r="G1744" t="s">
        <v>10174</v>
      </c>
      <c r="H1744" t="s">
        <v>2120</v>
      </c>
      <c r="J1744" t="s">
        <v>352</v>
      </c>
      <c r="K1744" t="s">
        <v>303</v>
      </c>
      <c r="L1744" t="s">
        <v>229</v>
      </c>
      <c r="M1744" t="s">
        <v>113</v>
      </c>
      <c r="R1744" t="s">
        <v>10175</v>
      </c>
      <c r="S1744" t="s">
        <v>405</v>
      </c>
      <c r="T1744" t="s">
        <v>116</v>
      </c>
      <c r="U1744" t="s">
        <v>117</v>
      </c>
      <c r="V1744" t="str">
        <f>"142151139"</f>
        <v>142151139</v>
      </c>
      <c r="AC1744" t="s">
        <v>119</v>
      </c>
      <c r="AD1744" t="s">
        <v>113</v>
      </c>
      <c r="AE1744" t="s">
        <v>306</v>
      </c>
      <c r="AG1744" t="s">
        <v>121</v>
      </c>
    </row>
    <row r="1745" spans="1:33" x14ac:dyDescent="0.25">
      <c r="A1745" t="str">
        <f>"1114249695"</f>
        <v>1114249695</v>
      </c>
      <c r="B1745" t="str">
        <f>"03208477"</f>
        <v>03208477</v>
      </c>
      <c r="C1745" t="s">
        <v>10176</v>
      </c>
      <c r="D1745" t="s">
        <v>10177</v>
      </c>
      <c r="E1745" t="s">
        <v>10178</v>
      </c>
      <c r="G1745" t="s">
        <v>10176</v>
      </c>
      <c r="H1745" t="s">
        <v>10179</v>
      </c>
      <c r="J1745" t="s">
        <v>10180</v>
      </c>
      <c r="L1745" t="s">
        <v>112</v>
      </c>
      <c r="M1745" t="s">
        <v>113</v>
      </c>
      <c r="R1745" t="s">
        <v>10181</v>
      </c>
      <c r="W1745" t="s">
        <v>10178</v>
      </c>
      <c r="X1745" t="s">
        <v>216</v>
      </c>
      <c r="Y1745" t="s">
        <v>116</v>
      </c>
      <c r="Z1745" t="s">
        <v>117</v>
      </c>
      <c r="AA1745" t="str">
        <f>"14222-2006"</f>
        <v>14222-2006</v>
      </c>
      <c r="AB1745" t="s">
        <v>2359</v>
      </c>
      <c r="AC1745" t="s">
        <v>119</v>
      </c>
      <c r="AD1745" t="s">
        <v>113</v>
      </c>
      <c r="AE1745" t="s">
        <v>120</v>
      </c>
      <c r="AG1745" t="s">
        <v>121</v>
      </c>
    </row>
    <row r="1746" spans="1:33" x14ac:dyDescent="0.25">
      <c r="A1746" t="str">
        <f>"1114250107"</f>
        <v>1114250107</v>
      </c>
      <c r="B1746" t="str">
        <f>"03194378"</f>
        <v>03194378</v>
      </c>
      <c r="C1746" t="s">
        <v>10182</v>
      </c>
      <c r="D1746" t="s">
        <v>10183</v>
      </c>
      <c r="E1746" t="s">
        <v>10184</v>
      </c>
      <c r="G1746" t="s">
        <v>10185</v>
      </c>
      <c r="H1746" t="s">
        <v>10186</v>
      </c>
      <c r="J1746" t="s">
        <v>10187</v>
      </c>
      <c r="L1746" t="s">
        <v>112</v>
      </c>
      <c r="M1746" t="s">
        <v>113</v>
      </c>
      <c r="R1746" t="s">
        <v>10188</v>
      </c>
      <c r="W1746" t="s">
        <v>10184</v>
      </c>
      <c r="X1746" t="s">
        <v>253</v>
      </c>
      <c r="Y1746" t="s">
        <v>116</v>
      </c>
      <c r="Z1746" t="s">
        <v>117</v>
      </c>
      <c r="AA1746" t="str">
        <f>"14215-3021"</f>
        <v>14215-3021</v>
      </c>
      <c r="AB1746" t="s">
        <v>118</v>
      </c>
      <c r="AC1746" t="s">
        <v>119</v>
      </c>
      <c r="AD1746" t="s">
        <v>113</v>
      </c>
      <c r="AE1746" t="s">
        <v>120</v>
      </c>
      <c r="AG1746" t="s">
        <v>121</v>
      </c>
    </row>
    <row r="1747" spans="1:33" x14ac:dyDescent="0.25">
      <c r="A1747" t="str">
        <f>"1114342946"</f>
        <v>1114342946</v>
      </c>
      <c r="C1747" t="s">
        <v>10189</v>
      </c>
      <c r="G1747" t="s">
        <v>10190</v>
      </c>
      <c r="H1747" t="s">
        <v>351</v>
      </c>
      <c r="K1747" t="s">
        <v>303</v>
      </c>
      <c r="L1747" t="s">
        <v>229</v>
      </c>
      <c r="M1747" t="s">
        <v>113</v>
      </c>
      <c r="R1747" t="s">
        <v>10191</v>
      </c>
      <c r="S1747" t="s">
        <v>354</v>
      </c>
      <c r="T1747" t="s">
        <v>116</v>
      </c>
      <c r="U1747" t="s">
        <v>117</v>
      </c>
      <c r="V1747" t="str">
        <f>"142152814"</f>
        <v>142152814</v>
      </c>
      <c r="AC1747" t="s">
        <v>119</v>
      </c>
      <c r="AD1747" t="s">
        <v>113</v>
      </c>
      <c r="AE1747" t="s">
        <v>306</v>
      </c>
      <c r="AG1747" t="s">
        <v>121</v>
      </c>
    </row>
    <row r="1748" spans="1:33" x14ac:dyDescent="0.25">
      <c r="A1748" t="str">
        <f>"1225383136"</f>
        <v>1225383136</v>
      </c>
      <c r="C1748" t="s">
        <v>1578</v>
      </c>
      <c r="K1748" t="s">
        <v>303</v>
      </c>
      <c r="L1748" t="s">
        <v>229</v>
      </c>
      <c r="M1748" t="s">
        <v>113</v>
      </c>
      <c r="R1748" t="s">
        <v>1578</v>
      </c>
      <c r="S1748" t="s">
        <v>1584</v>
      </c>
      <c r="T1748" t="s">
        <v>240</v>
      </c>
      <c r="U1748" t="s">
        <v>117</v>
      </c>
      <c r="V1748" t="str">
        <f>"142213230"</f>
        <v>142213230</v>
      </c>
      <c r="AC1748" t="s">
        <v>119</v>
      </c>
      <c r="AD1748" t="s">
        <v>113</v>
      </c>
      <c r="AE1748" t="s">
        <v>306</v>
      </c>
      <c r="AG1748" t="s">
        <v>121</v>
      </c>
    </row>
    <row r="1749" spans="1:33" x14ac:dyDescent="0.25">
      <c r="A1749" t="str">
        <f>"1225387657"</f>
        <v>1225387657</v>
      </c>
      <c r="B1749" t="str">
        <f>"03509208"</f>
        <v>03509208</v>
      </c>
      <c r="C1749" t="s">
        <v>10192</v>
      </c>
      <c r="D1749" t="s">
        <v>10193</v>
      </c>
      <c r="E1749" t="s">
        <v>10194</v>
      </c>
      <c r="G1749" t="s">
        <v>10195</v>
      </c>
      <c r="H1749" t="s">
        <v>10196</v>
      </c>
      <c r="J1749" t="s">
        <v>10197</v>
      </c>
      <c r="L1749" t="s">
        <v>112</v>
      </c>
      <c r="M1749" t="s">
        <v>113</v>
      </c>
      <c r="R1749" t="s">
        <v>10194</v>
      </c>
      <c r="W1749" t="s">
        <v>10194</v>
      </c>
      <c r="X1749" t="s">
        <v>10198</v>
      </c>
      <c r="Y1749" t="s">
        <v>240</v>
      </c>
      <c r="Z1749" t="s">
        <v>117</v>
      </c>
      <c r="AA1749" t="str">
        <f>"14221-2749"</f>
        <v>14221-2749</v>
      </c>
      <c r="AB1749" t="s">
        <v>118</v>
      </c>
      <c r="AC1749" t="s">
        <v>119</v>
      </c>
      <c r="AD1749" t="s">
        <v>113</v>
      </c>
      <c r="AE1749" t="s">
        <v>120</v>
      </c>
      <c r="AG1749" t="s">
        <v>121</v>
      </c>
    </row>
    <row r="1750" spans="1:33" x14ac:dyDescent="0.25">
      <c r="A1750" t="str">
        <f>"1235101460"</f>
        <v>1235101460</v>
      </c>
      <c r="B1750" t="str">
        <f>"02273352"</f>
        <v>02273352</v>
      </c>
      <c r="C1750" t="s">
        <v>10199</v>
      </c>
      <c r="D1750" t="s">
        <v>10200</v>
      </c>
      <c r="E1750" t="s">
        <v>10201</v>
      </c>
      <c r="G1750" t="s">
        <v>10199</v>
      </c>
      <c r="H1750" t="s">
        <v>3967</v>
      </c>
      <c r="J1750" t="s">
        <v>10202</v>
      </c>
      <c r="L1750" t="s">
        <v>142</v>
      </c>
      <c r="M1750" t="s">
        <v>199</v>
      </c>
      <c r="R1750" t="s">
        <v>10203</v>
      </c>
      <c r="W1750" t="s">
        <v>10201</v>
      </c>
      <c r="X1750" t="s">
        <v>5537</v>
      </c>
      <c r="Y1750" t="s">
        <v>116</v>
      </c>
      <c r="Z1750" t="s">
        <v>117</v>
      </c>
      <c r="AA1750" t="str">
        <f>"14222-2006"</f>
        <v>14222-2006</v>
      </c>
      <c r="AB1750" t="s">
        <v>118</v>
      </c>
      <c r="AC1750" t="s">
        <v>119</v>
      </c>
      <c r="AD1750" t="s">
        <v>113</v>
      </c>
      <c r="AE1750" t="s">
        <v>120</v>
      </c>
      <c r="AG1750" t="s">
        <v>121</v>
      </c>
    </row>
    <row r="1751" spans="1:33" x14ac:dyDescent="0.25">
      <c r="A1751" t="str">
        <f>"1235101908"</f>
        <v>1235101908</v>
      </c>
      <c r="B1751" t="str">
        <f>"02431010"</f>
        <v>02431010</v>
      </c>
      <c r="C1751" t="s">
        <v>10204</v>
      </c>
      <c r="D1751" t="s">
        <v>10205</v>
      </c>
      <c r="E1751" t="s">
        <v>10206</v>
      </c>
      <c r="G1751" t="s">
        <v>10204</v>
      </c>
      <c r="H1751" t="s">
        <v>579</v>
      </c>
      <c r="J1751" t="s">
        <v>10207</v>
      </c>
      <c r="L1751" t="s">
        <v>150</v>
      </c>
      <c r="M1751" t="s">
        <v>113</v>
      </c>
      <c r="R1751" t="s">
        <v>10208</v>
      </c>
      <c r="W1751" t="s">
        <v>10206</v>
      </c>
      <c r="X1751" t="s">
        <v>10209</v>
      </c>
      <c r="Y1751" t="s">
        <v>305</v>
      </c>
      <c r="Z1751" t="s">
        <v>117</v>
      </c>
      <c r="AA1751" t="str">
        <f>"14760-1514"</f>
        <v>14760-1514</v>
      </c>
      <c r="AB1751" t="s">
        <v>118</v>
      </c>
      <c r="AC1751" t="s">
        <v>119</v>
      </c>
      <c r="AD1751" t="s">
        <v>113</v>
      </c>
      <c r="AE1751" t="s">
        <v>120</v>
      </c>
      <c r="AG1751" t="s">
        <v>121</v>
      </c>
    </row>
    <row r="1752" spans="1:33" x14ac:dyDescent="0.25">
      <c r="A1752" t="str">
        <f>"1235105222"</f>
        <v>1235105222</v>
      </c>
      <c r="C1752" t="s">
        <v>10210</v>
      </c>
      <c r="G1752" t="s">
        <v>10211</v>
      </c>
      <c r="H1752" t="s">
        <v>10212</v>
      </c>
      <c r="J1752" t="s">
        <v>10213</v>
      </c>
      <c r="K1752" t="s">
        <v>303</v>
      </c>
      <c r="L1752" t="s">
        <v>229</v>
      </c>
      <c r="M1752" t="s">
        <v>113</v>
      </c>
      <c r="R1752" t="s">
        <v>10214</v>
      </c>
      <c r="S1752" t="s">
        <v>5722</v>
      </c>
      <c r="T1752" t="s">
        <v>986</v>
      </c>
      <c r="U1752" t="s">
        <v>117</v>
      </c>
      <c r="V1752" t="str">
        <f>"147015502"</f>
        <v>147015502</v>
      </c>
      <c r="AC1752" t="s">
        <v>119</v>
      </c>
      <c r="AD1752" t="s">
        <v>113</v>
      </c>
      <c r="AE1752" t="s">
        <v>306</v>
      </c>
      <c r="AG1752" t="s">
        <v>121</v>
      </c>
    </row>
    <row r="1753" spans="1:33" x14ac:dyDescent="0.25">
      <c r="A1753" t="str">
        <f>"1235112079"</f>
        <v>1235112079</v>
      </c>
      <c r="B1753" t="str">
        <f>"02322278"</f>
        <v>02322278</v>
      </c>
      <c r="C1753" t="s">
        <v>10215</v>
      </c>
      <c r="D1753" t="s">
        <v>10216</v>
      </c>
      <c r="E1753" t="s">
        <v>10217</v>
      </c>
      <c r="G1753" t="s">
        <v>10218</v>
      </c>
      <c r="H1753" t="s">
        <v>707</v>
      </c>
      <c r="L1753" t="s">
        <v>1033</v>
      </c>
      <c r="M1753" t="s">
        <v>113</v>
      </c>
      <c r="R1753" t="s">
        <v>10219</v>
      </c>
      <c r="W1753" t="s">
        <v>10217</v>
      </c>
      <c r="X1753" t="s">
        <v>709</v>
      </c>
      <c r="Y1753" t="s">
        <v>116</v>
      </c>
      <c r="Z1753" t="s">
        <v>117</v>
      </c>
      <c r="AA1753" t="str">
        <f>"14263-0001"</f>
        <v>14263-0001</v>
      </c>
      <c r="AB1753" t="s">
        <v>118</v>
      </c>
      <c r="AC1753" t="s">
        <v>119</v>
      </c>
      <c r="AD1753" t="s">
        <v>113</v>
      </c>
      <c r="AE1753" t="s">
        <v>120</v>
      </c>
      <c r="AG1753" t="s">
        <v>121</v>
      </c>
    </row>
    <row r="1754" spans="1:33" x14ac:dyDescent="0.25">
      <c r="A1754" t="str">
        <f>"1235112822"</f>
        <v>1235112822</v>
      </c>
      <c r="B1754" t="str">
        <f>"01086539"</f>
        <v>01086539</v>
      </c>
      <c r="C1754" t="s">
        <v>10220</v>
      </c>
      <c r="D1754" t="s">
        <v>10221</v>
      </c>
      <c r="E1754" t="s">
        <v>10222</v>
      </c>
      <c r="H1754" t="s">
        <v>10223</v>
      </c>
      <c r="L1754" t="s">
        <v>150</v>
      </c>
      <c r="M1754" t="s">
        <v>113</v>
      </c>
      <c r="R1754" t="s">
        <v>10224</v>
      </c>
      <c r="W1754" t="s">
        <v>10222</v>
      </c>
      <c r="X1754" t="s">
        <v>10225</v>
      </c>
      <c r="Y1754" t="s">
        <v>10226</v>
      </c>
      <c r="Z1754" t="s">
        <v>117</v>
      </c>
      <c r="AA1754" t="str">
        <f>"14012-9605"</f>
        <v>14012-9605</v>
      </c>
      <c r="AB1754" t="s">
        <v>118</v>
      </c>
      <c r="AC1754" t="s">
        <v>119</v>
      </c>
      <c r="AD1754" t="s">
        <v>113</v>
      </c>
      <c r="AE1754" t="s">
        <v>120</v>
      </c>
      <c r="AG1754" t="s">
        <v>121</v>
      </c>
    </row>
    <row r="1755" spans="1:33" x14ac:dyDescent="0.25">
      <c r="A1755" t="str">
        <f>"1003875691"</f>
        <v>1003875691</v>
      </c>
      <c r="B1755" t="str">
        <f>"01341620"</f>
        <v>01341620</v>
      </c>
      <c r="C1755" t="s">
        <v>10227</v>
      </c>
      <c r="D1755" t="s">
        <v>10228</v>
      </c>
      <c r="E1755" t="s">
        <v>10229</v>
      </c>
      <c r="G1755" t="s">
        <v>10227</v>
      </c>
      <c r="H1755" t="s">
        <v>10230</v>
      </c>
      <c r="J1755" t="s">
        <v>10231</v>
      </c>
      <c r="L1755" t="s">
        <v>142</v>
      </c>
      <c r="M1755" t="s">
        <v>113</v>
      </c>
      <c r="R1755" t="s">
        <v>10232</v>
      </c>
      <c r="W1755" t="s">
        <v>10229</v>
      </c>
      <c r="X1755" t="s">
        <v>10233</v>
      </c>
      <c r="Y1755" t="s">
        <v>9183</v>
      </c>
      <c r="Z1755" t="s">
        <v>117</v>
      </c>
      <c r="AA1755" t="str">
        <f>"14086-2224"</f>
        <v>14086-2224</v>
      </c>
      <c r="AB1755" t="s">
        <v>118</v>
      </c>
      <c r="AC1755" t="s">
        <v>119</v>
      </c>
      <c r="AD1755" t="s">
        <v>113</v>
      </c>
      <c r="AE1755" t="s">
        <v>120</v>
      </c>
      <c r="AG1755" t="s">
        <v>121</v>
      </c>
    </row>
    <row r="1756" spans="1:33" x14ac:dyDescent="0.25">
      <c r="A1756" t="str">
        <f>"1023266566"</f>
        <v>1023266566</v>
      </c>
      <c r="B1756" t="str">
        <f>"03092335"</f>
        <v>03092335</v>
      </c>
      <c r="C1756" t="s">
        <v>10234</v>
      </c>
      <c r="D1756" t="s">
        <v>10235</v>
      </c>
      <c r="E1756" t="s">
        <v>10236</v>
      </c>
      <c r="G1756" t="s">
        <v>859</v>
      </c>
      <c r="H1756" t="s">
        <v>10237</v>
      </c>
      <c r="J1756" t="s">
        <v>861</v>
      </c>
      <c r="L1756" t="s">
        <v>142</v>
      </c>
      <c r="M1756" t="s">
        <v>113</v>
      </c>
      <c r="R1756" t="s">
        <v>10238</v>
      </c>
      <c r="W1756" t="s">
        <v>10236</v>
      </c>
      <c r="X1756" t="s">
        <v>253</v>
      </c>
      <c r="Y1756" t="s">
        <v>116</v>
      </c>
      <c r="Z1756" t="s">
        <v>117</v>
      </c>
      <c r="AA1756" t="str">
        <f>"14215-3021"</f>
        <v>14215-3021</v>
      </c>
      <c r="AB1756" t="s">
        <v>118</v>
      </c>
      <c r="AC1756" t="s">
        <v>119</v>
      </c>
      <c r="AD1756" t="s">
        <v>113</v>
      </c>
      <c r="AE1756" t="s">
        <v>120</v>
      </c>
      <c r="AG1756" t="s">
        <v>121</v>
      </c>
    </row>
    <row r="1757" spans="1:33" x14ac:dyDescent="0.25">
      <c r="A1757" t="str">
        <f>"1275896755"</f>
        <v>1275896755</v>
      </c>
      <c r="C1757" t="s">
        <v>10239</v>
      </c>
      <c r="G1757" t="s">
        <v>10240</v>
      </c>
      <c r="H1757" t="s">
        <v>471</v>
      </c>
      <c r="J1757" t="s">
        <v>10241</v>
      </c>
      <c r="K1757" t="s">
        <v>303</v>
      </c>
      <c r="L1757" t="s">
        <v>112</v>
      </c>
      <c r="M1757" t="s">
        <v>113</v>
      </c>
      <c r="R1757" t="s">
        <v>10242</v>
      </c>
      <c r="S1757" t="s">
        <v>474</v>
      </c>
      <c r="T1757" t="s">
        <v>116</v>
      </c>
      <c r="U1757" t="s">
        <v>117</v>
      </c>
      <c r="V1757" t="str">
        <f>"142141316"</f>
        <v>142141316</v>
      </c>
      <c r="AC1757" t="s">
        <v>119</v>
      </c>
      <c r="AD1757" t="s">
        <v>113</v>
      </c>
      <c r="AE1757" t="s">
        <v>306</v>
      </c>
      <c r="AG1757" t="s">
        <v>121</v>
      </c>
    </row>
    <row r="1758" spans="1:33" x14ac:dyDescent="0.25">
      <c r="A1758" t="str">
        <f>"1275968141"</f>
        <v>1275968141</v>
      </c>
      <c r="B1758" t="str">
        <f>"04155542"</f>
        <v>04155542</v>
      </c>
      <c r="C1758" t="s">
        <v>10243</v>
      </c>
      <c r="D1758" t="s">
        <v>10244</v>
      </c>
      <c r="E1758" t="s">
        <v>10245</v>
      </c>
      <c r="G1758" t="s">
        <v>10243</v>
      </c>
      <c r="H1758" t="s">
        <v>2252</v>
      </c>
      <c r="J1758" t="s">
        <v>10246</v>
      </c>
      <c r="L1758" t="s">
        <v>112</v>
      </c>
      <c r="M1758" t="s">
        <v>113</v>
      </c>
      <c r="R1758" t="s">
        <v>10247</v>
      </c>
      <c r="W1758" t="s">
        <v>10245</v>
      </c>
      <c r="X1758" t="s">
        <v>3705</v>
      </c>
      <c r="Y1758" t="s">
        <v>958</v>
      </c>
      <c r="Z1758" t="s">
        <v>117</v>
      </c>
      <c r="AA1758" t="str">
        <f>"14226-1727"</f>
        <v>14226-1727</v>
      </c>
      <c r="AB1758" t="s">
        <v>118</v>
      </c>
      <c r="AC1758" t="s">
        <v>119</v>
      </c>
      <c r="AD1758" t="s">
        <v>113</v>
      </c>
      <c r="AE1758" t="s">
        <v>120</v>
      </c>
      <c r="AG1758" t="s">
        <v>121</v>
      </c>
    </row>
    <row r="1759" spans="1:33" x14ac:dyDescent="0.25">
      <c r="A1759" t="str">
        <f>"1275979924"</f>
        <v>1275979924</v>
      </c>
      <c r="C1759" t="s">
        <v>10248</v>
      </c>
      <c r="G1759" t="s">
        <v>10248</v>
      </c>
      <c r="H1759" t="s">
        <v>937</v>
      </c>
      <c r="J1759" t="s">
        <v>10249</v>
      </c>
      <c r="K1759" t="s">
        <v>303</v>
      </c>
      <c r="L1759" t="s">
        <v>229</v>
      </c>
      <c r="M1759" t="s">
        <v>113</v>
      </c>
      <c r="R1759" t="s">
        <v>10250</v>
      </c>
      <c r="S1759" t="s">
        <v>3739</v>
      </c>
      <c r="T1759" t="s">
        <v>240</v>
      </c>
      <c r="U1759" t="s">
        <v>117</v>
      </c>
      <c r="V1759" t="str">
        <f>"142216728"</f>
        <v>142216728</v>
      </c>
      <c r="AC1759" t="s">
        <v>119</v>
      </c>
      <c r="AD1759" t="s">
        <v>113</v>
      </c>
      <c r="AE1759" t="s">
        <v>306</v>
      </c>
      <c r="AG1759" t="s">
        <v>121</v>
      </c>
    </row>
    <row r="1760" spans="1:33" x14ac:dyDescent="0.25">
      <c r="A1760" t="str">
        <f>"1285037606"</f>
        <v>1285037606</v>
      </c>
      <c r="C1760" t="s">
        <v>10251</v>
      </c>
      <c r="G1760" t="s">
        <v>10252</v>
      </c>
      <c r="H1760" t="s">
        <v>590</v>
      </c>
      <c r="J1760" t="s">
        <v>10253</v>
      </c>
      <c r="K1760" t="s">
        <v>303</v>
      </c>
      <c r="L1760" t="s">
        <v>229</v>
      </c>
      <c r="M1760" t="s">
        <v>113</v>
      </c>
      <c r="R1760" t="s">
        <v>10254</v>
      </c>
      <c r="S1760" t="s">
        <v>605</v>
      </c>
      <c r="T1760" t="s">
        <v>326</v>
      </c>
      <c r="U1760" t="s">
        <v>117</v>
      </c>
      <c r="V1760" t="str">
        <f>"141272600"</f>
        <v>141272600</v>
      </c>
      <c r="AC1760" t="s">
        <v>119</v>
      </c>
      <c r="AD1760" t="s">
        <v>113</v>
      </c>
      <c r="AE1760" t="s">
        <v>306</v>
      </c>
      <c r="AG1760" t="s">
        <v>121</v>
      </c>
    </row>
    <row r="1761" spans="1:33" x14ac:dyDescent="0.25">
      <c r="A1761" t="str">
        <f>"1285040840"</f>
        <v>1285040840</v>
      </c>
      <c r="C1761" t="s">
        <v>10255</v>
      </c>
      <c r="G1761" t="s">
        <v>10256</v>
      </c>
      <c r="H1761" t="s">
        <v>1115</v>
      </c>
      <c r="J1761" t="s">
        <v>438</v>
      </c>
      <c r="K1761" t="s">
        <v>303</v>
      </c>
      <c r="L1761" t="s">
        <v>229</v>
      </c>
      <c r="M1761" t="s">
        <v>113</v>
      </c>
      <c r="R1761" t="s">
        <v>10257</v>
      </c>
      <c r="S1761" t="s">
        <v>1994</v>
      </c>
      <c r="T1761" t="s">
        <v>116</v>
      </c>
      <c r="U1761" t="s">
        <v>117</v>
      </c>
      <c r="V1761" t="str">
        <f>"142041811"</f>
        <v>142041811</v>
      </c>
      <c r="AC1761" t="s">
        <v>119</v>
      </c>
      <c r="AD1761" t="s">
        <v>113</v>
      </c>
      <c r="AE1761" t="s">
        <v>306</v>
      </c>
      <c r="AG1761" t="s">
        <v>121</v>
      </c>
    </row>
    <row r="1762" spans="1:33" x14ac:dyDescent="0.25">
      <c r="A1762" t="str">
        <f>"1285052167"</f>
        <v>1285052167</v>
      </c>
      <c r="B1762" t="str">
        <f>"03822277"</f>
        <v>03822277</v>
      </c>
      <c r="C1762" t="s">
        <v>10258</v>
      </c>
      <c r="D1762" t="s">
        <v>10259</v>
      </c>
      <c r="E1762" t="s">
        <v>10260</v>
      </c>
      <c r="G1762" t="s">
        <v>10261</v>
      </c>
      <c r="J1762" t="s">
        <v>10262</v>
      </c>
      <c r="L1762" t="s">
        <v>142</v>
      </c>
      <c r="M1762" t="s">
        <v>113</v>
      </c>
      <c r="R1762" t="s">
        <v>10263</v>
      </c>
      <c r="W1762" t="s">
        <v>10260</v>
      </c>
      <c r="X1762" t="s">
        <v>1845</v>
      </c>
      <c r="Y1762" t="s">
        <v>816</v>
      </c>
      <c r="Z1762" t="s">
        <v>117</v>
      </c>
      <c r="AA1762" t="str">
        <f>"14120-6150"</f>
        <v>14120-6150</v>
      </c>
      <c r="AB1762" t="s">
        <v>118</v>
      </c>
      <c r="AC1762" t="s">
        <v>119</v>
      </c>
      <c r="AD1762" t="s">
        <v>113</v>
      </c>
      <c r="AE1762" t="s">
        <v>120</v>
      </c>
      <c r="AG1762" t="s">
        <v>121</v>
      </c>
    </row>
    <row r="1763" spans="1:33" x14ac:dyDescent="0.25">
      <c r="A1763" t="str">
        <f>"1285600833"</f>
        <v>1285600833</v>
      </c>
      <c r="B1763" t="str">
        <f>"00942690"</f>
        <v>00942690</v>
      </c>
      <c r="C1763" t="s">
        <v>10264</v>
      </c>
      <c r="D1763" t="s">
        <v>10265</v>
      </c>
      <c r="E1763" t="s">
        <v>10266</v>
      </c>
      <c r="G1763" t="s">
        <v>10264</v>
      </c>
      <c r="H1763" t="s">
        <v>744</v>
      </c>
      <c r="J1763" t="s">
        <v>10267</v>
      </c>
      <c r="L1763" t="s">
        <v>150</v>
      </c>
      <c r="M1763" t="s">
        <v>113</v>
      </c>
      <c r="R1763" t="s">
        <v>10268</v>
      </c>
      <c r="W1763" t="s">
        <v>10269</v>
      </c>
      <c r="X1763" t="s">
        <v>216</v>
      </c>
      <c r="Y1763" t="s">
        <v>116</v>
      </c>
      <c r="Z1763" t="s">
        <v>117</v>
      </c>
      <c r="AA1763" t="str">
        <f>"14222-2006"</f>
        <v>14222-2006</v>
      </c>
      <c r="AB1763" t="s">
        <v>118</v>
      </c>
      <c r="AC1763" t="s">
        <v>119</v>
      </c>
      <c r="AD1763" t="s">
        <v>113</v>
      </c>
      <c r="AE1763" t="s">
        <v>120</v>
      </c>
      <c r="AG1763" t="s">
        <v>121</v>
      </c>
    </row>
    <row r="1764" spans="1:33" x14ac:dyDescent="0.25">
      <c r="A1764" t="str">
        <f>"1285601716"</f>
        <v>1285601716</v>
      </c>
      <c r="B1764" t="str">
        <f>"02023114"</f>
        <v>02023114</v>
      </c>
      <c r="C1764" t="s">
        <v>10270</v>
      </c>
      <c r="D1764" t="s">
        <v>10271</v>
      </c>
      <c r="E1764" t="s">
        <v>10272</v>
      </c>
      <c r="G1764" t="s">
        <v>10273</v>
      </c>
      <c r="H1764" t="s">
        <v>10274</v>
      </c>
      <c r="J1764" t="s">
        <v>10275</v>
      </c>
      <c r="L1764" t="s">
        <v>112</v>
      </c>
      <c r="M1764" t="s">
        <v>113</v>
      </c>
      <c r="R1764" t="s">
        <v>10276</v>
      </c>
      <c r="W1764" t="s">
        <v>10272</v>
      </c>
      <c r="X1764" t="s">
        <v>838</v>
      </c>
      <c r="Y1764" t="s">
        <v>240</v>
      </c>
      <c r="Z1764" t="s">
        <v>117</v>
      </c>
      <c r="AA1764" t="str">
        <f>"14221-3647"</f>
        <v>14221-3647</v>
      </c>
      <c r="AB1764" t="s">
        <v>118</v>
      </c>
      <c r="AC1764" t="s">
        <v>119</v>
      </c>
      <c r="AD1764" t="s">
        <v>113</v>
      </c>
      <c r="AE1764" t="s">
        <v>120</v>
      </c>
      <c r="AG1764" t="s">
        <v>121</v>
      </c>
    </row>
    <row r="1765" spans="1:33" x14ac:dyDescent="0.25">
      <c r="A1765" t="str">
        <f>"1285605089"</f>
        <v>1285605089</v>
      </c>
      <c r="B1765" t="str">
        <f>"01217981"</f>
        <v>01217981</v>
      </c>
      <c r="C1765" t="s">
        <v>10277</v>
      </c>
      <c r="D1765" t="s">
        <v>10278</v>
      </c>
      <c r="E1765" t="s">
        <v>10279</v>
      </c>
      <c r="G1765" t="s">
        <v>859</v>
      </c>
      <c r="H1765" t="s">
        <v>559</v>
      </c>
      <c r="J1765" t="s">
        <v>861</v>
      </c>
      <c r="L1765" t="s">
        <v>142</v>
      </c>
      <c r="M1765" t="s">
        <v>113</v>
      </c>
      <c r="R1765" t="s">
        <v>10280</v>
      </c>
      <c r="W1765" t="s">
        <v>10279</v>
      </c>
      <c r="X1765" t="s">
        <v>838</v>
      </c>
      <c r="Y1765" t="s">
        <v>240</v>
      </c>
      <c r="Z1765" t="s">
        <v>117</v>
      </c>
      <c r="AA1765" t="str">
        <f>"14221-3647"</f>
        <v>14221-3647</v>
      </c>
      <c r="AB1765" t="s">
        <v>118</v>
      </c>
      <c r="AC1765" t="s">
        <v>119</v>
      </c>
      <c r="AD1765" t="s">
        <v>113</v>
      </c>
      <c r="AE1765" t="s">
        <v>120</v>
      </c>
      <c r="AG1765" t="s">
        <v>121</v>
      </c>
    </row>
    <row r="1766" spans="1:33" x14ac:dyDescent="0.25">
      <c r="A1766" t="str">
        <f>"1285606152"</f>
        <v>1285606152</v>
      </c>
      <c r="B1766" t="str">
        <f>"02651265"</f>
        <v>02651265</v>
      </c>
      <c r="C1766" t="s">
        <v>10281</v>
      </c>
      <c r="D1766" t="s">
        <v>10282</v>
      </c>
      <c r="E1766" t="s">
        <v>10283</v>
      </c>
      <c r="G1766" t="s">
        <v>10281</v>
      </c>
      <c r="H1766" t="s">
        <v>1272</v>
      </c>
      <c r="J1766" t="s">
        <v>10284</v>
      </c>
      <c r="L1766" t="s">
        <v>142</v>
      </c>
      <c r="M1766" t="s">
        <v>113</v>
      </c>
      <c r="R1766" t="s">
        <v>10285</v>
      </c>
      <c r="W1766" t="s">
        <v>10286</v>
      </c>
      <c r="X1766" t="s">
        <v>460</v>
      </c>
      <c r="Y1766" t="s">
        <v>116</v>
      </c>
      <c r="Z1766" t="s">
        <v>117</v>
      </c>
      <c r="AA1766" t="str">
        <f>"14216-2611"</f>
        <v>14216-2611</v>
      </c>
      <c r="AB1766" t="s">
        <v>118</v>
      </c>
      <c r="AC1766" t="s">
        <v>119</v>
      </c>
      <c r="AD1766" t="s">
        <v>113</v>
      </c>
      <c r="AE1766" t="s">
        <v>120</v>
      </c>
      <c r="AG1766" t="s">
        <v>121</v>
      </c>
    </row>
    <row r="1767" spans="1:33" x14ac:dyDescent="0.25">
      <c r="A1767" t="str">
        <f>"1285609875"</f>
        <v>1285609875</v>
      </c>
      <c r="B1767" t="str">
        <f>"00611427"</f>
        <v>00611427</v>
      </c>
      <c r="C1767" t="s">
        <v>10287</v>
      </c>
      <c r="D1767" t="s">
        <v>10288</v>
      </c>
      <c r="E1767" t="s">
        <v>10289</v>
      </c>
      <c r="G1767" t="s">
        <v>10287</v>
      </c>
      <c r="H1767" t="s">
        <v>10290</v>
      </c>
      <c r="J1767" t="s">
        <v>10291</v>
      </c>
      <c r="L1767" t="s">
        <v>150</v>
      </c>
      <c r="M1767" t="s">
        <v>113</v>
      </c>
      <c r="R1767" t="s">
        <v>10292</v>
      </c>
      <c r="W1767" t="s">
        <v>10289</v>
      </c>
      <c r="X1767" t="s">
        <v>4200</v>
      </c>
      <c r="Y1767" t="s">
        <v>326</v>
      </c>
      <c r="Z1767" t="s">
        <v>117</v>
      </c>
      <c r="AA1767" t="str">
        <f>"14127-1233"</f>
        <v>14127-1233</v>
      </c>
      <c r="AB1767" t="s">
        <v>118</v>
      </c>
      <c r="AC1767" t="s">
        <v>119</v>
      </c>
      <c r="AD1767" t="s">
        <v>113</v>
      </c>
      <c r="AE1767" t="s">
        <v>120</v>
      </c>
      <c r="AG1767" t="s">
        <v>121</v>
      </c>
    </row>
    <row r="1768" spans="1:33" x14ac:dyDescent="0.25">
      <c r="A1768" t="str">
        <f>"1285615047"</f>
        <v>1285615047</v>
      </c>
      <c r="B1768" t="str">
        <f>"01412495"</f>
        <v>01412495</v>
      </c>
      <c r="C1768" t="s">
        <v>10293</v>
      </c>
      <c r="D1768" t="s">
        <v>10294</v>
      </c>
      <c r="E1768" t="s">
        <v>10295</v>
      </c>
      <c r="G1768" t="s">
        <v>10293</v>
      </c>
      <c r="H1768" t="s">
        <v>205</v>
      </c>
      <c r="J1768" t="s">
        <v>10296</v>
      </c>
      <c r="L1768" t="s">
        <v>142</v>
      </c>
      <c r="M1768" t="s">
        <v>113</v>
      </c>
      <c r="R1768" t="s">
        <v>10297</v>
      </c>
      <c r="W1768" t="s">
        <v>10295</v>
      </c>
      <c r="X1768" t="s">
        <v>10298</v>
      </c>
      <c r="Y1768" t="s">
        <v>116</v>
      </c>
      <c r="Z1768" t="s">
        <v>117</v>
      </c>
      <c r="AA1768" t="str">
        <f>"14221"</f>
        <v>14221</v>
      </c>
      <c r="AB1768" t="s">
        <v>118</v>
      </c>
      <c r="AC1768" t="s">
        <v>119</v>
      </c>
      <c r="AD1768" t="s">
        <v>113</v>
      </c>
      <c r="AE1768" t="s">
        <v>120</v>
      </c>
      <c r="AG1768" t="s">
        <v>121</v>
      </c>
    </row>
    <row r="1769" spans="1:33" x14ac:dyDescent="0.25">
      <c r="A1769" t="str">
        <f>"1285617431"</f>
        <v>1285617431</v>
      </c>
      <c r="B1769" t="str">
        <f>"00598123"</f>
        <v>00598123</v>
      </c>
      <c r="C1769" t="s">
        <v>10299</v>
      </c>
      <c r="D1769" t="s">
        <v>10300</v>
      </c>
      <c r="E1769" t="s">
        <v>10301</v>
      </c>
      <c r="G1769" t="s">
        <v>10299</v>
      </c>
      <c r="H1769" t="s">
        <v>295</v>
      </c>
      <c r="J1769" t="s">
        <v>10302</v>
      </c>
      <c r="L1769" t="s">
        <v>142</v>
      </c>
      <c r="M1769" t="s">
        <v>113</v>
      </c>
      <c r="R1769" t="s">
        <v>10303</v>
      </c>
      <c r="W1769" t="s">
        <v>10304</v>
      </c>
      <c r="X1769" t="s">
        <v>966</v>
      </c>
      <c r="Y1769" t="s">
        <v>116</v>
      </c>
      <c r="Z1769" t="s">
        <v>117</v>
      </c>
      <c r="AA1769" t="str">
        <f>"14207-1816"</f>
        <v>14207-1816</v>
      </c>
      <c r="AB1769" t="s">
        <v>118</v>
      </c>
      <c r="AC1769" t="s">
        <v>119</v>
      </c>
      <c r="AD1769" t="s">
        <v>113</v>
      </c>
      <c r="AE1769" t="s">
        <v>120</v>
      </c>
      <c r="AG1769" t="s">
        <v>121</v>
      </c>
    </row>
    <row r="1770" spans="1:33" x14ac:dyDescent="0.25">
      <c r="A1770" t="str">
        <f>"1285633032"</f>
        <v>1285633032</v>
      </c>
      <c r="B1770" t="str">
        <f>"00958970"</f>
        <v>00958970</v>
      </c>
      <c r="C1770" t="s">
        <v>10305</v>
      </c>
      <c r="D1770" t="s">
        <v>10306</v>
      </c>
      <c r="E1770" t="s">
        <v>10307</v>
      </c>
      <c r="G1770" t="s">
        <v>10308</v>
      </c>
      <c r="H1770" t="s">
        <v>10309</v>
      </c>
      <c r="J1770" t="s">
        <v>10310</v>
      </c>
      <c r="L1770" t="s">
        <v>150</v>
      </c>
      <c r="M1770" t="s">
        <v>113</v>
      </c>
      <c r="R1770" t="s">
        <v>10311</v>
      </c>
      <c r="W1770" t="s">
        <v>10307</v>
      </c>
      <c r="X1770" t="s">
        <v>10312</v>
      </c>
      <c r="Y1770" t="s">
        <v>153</v>
      </c>
      <c r="Z1770" t="s">
        <v>117</v>
      </c>
      <c r="AA1770" t="str">
        <f>"14301-1841"</f>
        <v>14301-1841</v>
      </c>
      <c r="AB1770" t="s">
        <v>118</v>
      </c>
      <c r="AC1770" t="s">
        <v>119</v>
      </c>
      <c r="AD1770" t="s">
        <v>113</v>
      </c>
      <c r="AE1770" t="s">
        <v>120</v>
      </c>
      <c r="AG1770" t="s">
        <v>121</v>
      </c>
    </row>
    <row r="1771" spans="1:33" x14ac:dyDescent="0.25">
      <c r="A1771" t="str">
        <f>"1285644880"</f>
        <v>1285644880</v>
      </c>
      <c r="B1771" t="str">
        <f>"02804593"</f>
        <v>02804593</v>
      </c>
      <c r="C1771" t="s">
        <v>10313</v>
      </c>
      <c r="D1771" t="s">
        <v>10314</v>
      </c>
      <c r="E1771" t="s">
        <v>10315</v>
      </c>
      <c r="G1771" t="s">
        <v>10316</v>
      </c>
      <c r="H1771" t="s">
        <v>6294</v>
      </c>
      <c r="L1771" t="s">
        <v>142</v>
      </c>
      <c r="M1771" t="s">
        <v>113</v>
      </c>
      <c r="R1771" t="s">
        <v>10316</v>
      </c>
      <c r="W1771" t="s">
        <v>10315</v>
      </c>
      <c r="X1771" t="s">
        <v>10317</v>
      </c>
      <c r="Y1771" t="s">
        <v>318</v>
      </c>
      <c r="Z1771" t="s">
        <v>117</v>
      </c>
      <c r="AA1771" t="str">
        <f>"14227-2379"</f>
        <v>14227-2379</v>
      </c>
      <c r="AB1771" t="s">
        <v>118</v>
      </c>
      <c r="AC1771" t="s">
        <v>119</v>
      </c>
      <c r="AD1771" t="s">
        <v>113</v>
      </c>
      <c r="AE1771" t="s">
        <v>120</v>
      </c>
      <c r="AG1771" t="s">
        <v>121</v>
      </c>
    </row>
    <row r="1772" spans="1:33" x14ac:dyDescent="0.25">
      <c r="A1772" t="str">
        <f>"1285653725"</f>
        <v>1285653725</v>
      </c>
      <c r="B1772" t="str">
        <f>"01494100"</f>
        <v>01494100</v>
      </c>
      <c r="C1772" t="s">
        <v>10318</v>
      </c>
      <c r="D1772" t="s">
        <v>10319</v>
      </c>
      <c r="E1772" t="s">
        <v>10320</v>
      </c>
      <c r="G1772" t="s">
        <v>10318</v>
      </c>
      <c r="H1772" t="s">
        <v>10321</v>
      </c>
      <c r="J1772" t="s">
        <v>10322</v>
      </c>
      <c r="L1772" t="s">
        <v>142</v>
      </c>
      <c r="M1772" t="s">
        <v>113</v>
      </c>
      <c r="R1772" t="s">
        <v>10323</v>
      </c>
      <c r="W1772" t="s">
        <v>10320</v>
      </c>
      <c r="X1772" t="s">
        <v>10324</v>
      </c>
      <c r="Y1772" t="s">
        <v>116</v>
      </c>
      <c r="Z1772" t="s">
        <v>117</v>
      </c>
      <c r="AA1772" t="str">
        <f>"14222-2099"</f>
        <v>14222-2099</v>
      </c>
      <c r="AB1772" t="s">
        <v>118</v>
      </c>
      <c r="AC1772" t="s">
        <v>119</v>
      </c>
      <c r="AD1772" t="s">
        <v>113</v>
      </c>
      <c r="AE1772" t="s">
        <v>120</v>
      </c>
      <c r="AG1772" t="s">
        <v>121</v>
      </c>
    </row>
    <row r="1773" spans="1:33" x14ac:dyDescent="0.25">
      <c r="A1773" t="str">
        <f>"1285675686"</f>
        <v>1285675686</v>
      </c>
      <c r="B1773" t="str">
        <f>"03100561"</f>
        <v>03100561</v>
      </c>
      <c r="C1773" t="s">
        <v>10325</v>
      </c>
      <c r="D1773" t="s">
        <v>10326</v>
      </c>
      <c r="E1773" t="s">
        <v>10327</v>
      </c>
      <c r="G1773" t="s">
        <v>10328</v>
      </c>
      <c r="H1773" t="s">
        <v>8765</v>
      </c>
      <c r="J1773" t="s">
        <v>10329</v>
      </c>
      <c r="L1773" t="s">
        <v>112</v>
      </c>
      <c r="M1773" t="s">
        <v>113</v>
      </c>
      <c r="R1773" t="s">
        <v>10330</v>
      </c>
      <c r="W1773" t="s">
        <v>10331</v>
      </c>
      <c r="X1773" t="s">
        <v>10332</v>
      </c>
      <c r="Y1773" t="s">
        <v>116</v>
      </c>
      <c r="Z1773" t="s">
        <v>117</v>
      </c>
      <c r="AA1773" t="str">
        <f>"14220-2039"</f>
        <v>14220-2039</v>
      </c>
      <c r="AB1773" t="s">
        <v>118</v>
      </c>
      <c r="AC1773" t="s">
        <v>119</v>
      </c>
      <c r="AD1773" t="s">
        <v>113</v>
      </c>
      <c r="AE1773" t="s">
        <v>120</v>
      </c>
      <c r="AG1773" t="s">
        <v>121</v>
      </c>
    </row>
    <row r="1774" spans="1:33" x14ac:dyDescent="0.25">
      <c r="A1774" t="str">
        <f>"1285677161"</f>
        <v>1285677161</v>
      </c>
      <c r="B1774" t="str">
        <f>"01659172"</f>
        <v>01659172</v>
      </c>
      <c r="C1774" t="s">
        <v>10333</v>
      </c>
      <c r="D1774" t="s">
        <v>10334</v>
      </c>
      <c r="E1774" t="s">
        <v>10335</v>
      </c>
      <c r="G1774" t="s">
        <v>10333</v>
      </c>
      <c r="H1774" t="s">
        <v>5624</v>
      </c>
      <c r="J1774" t="s">
        <v>10336</v>
      </c>
      <c r="L1774" t="s">
        <v>150</v>
      </c>
      <c r="M1774" t="s">
        <v>113</v>
      </c>
      <c r="R1774" t="s">
        <v>10337</v>
      </c>
      <c r="W1774" t="s">
        <v>10335</v>
      </c>
      <c r="X1774" t="s">
        <v>7527</v>
      </c>
      <c r="Y1774" t="s">
        <v>116</v>
      </c>
      <c r="Z1774" t="s">
        <v>117</v>
      </c>
      <c r="AA1774" t="str">
        <f>"14203-1126"</f>
        <v>14203-1126</v>
      </c>
      <c r="AB1774" t="s">
        <v>118</v>
      </c>
      <c r="AC1774" t="s">
        <v>119</v>
      </c>
      <c r="AD1774" t="s">
        <v>113</v>
      </c>
      <c r="AE1774" t="s">
        <v>120</v>
      </c>
      <c r="AG1774" t="s">
        <v>121</v>
      </c>
    </row>
    <row r="1775" spans="1:33" x14ac:dyDescent="0.25">
      <c r="A1775" t="str">
        <f>"1285677880"</f>
        <v>1285677880</v>
      </c>
      <c r="B1775" t="str">
        <f>"01153617"</f>
        <v>01153617</v>
      </c>
      <c r="C1775" t="s">
        <v>10338</v>
      </c>
      <c r="D1775" t="s">
        <v>10339</v>
      </c>
      <c r="E1775" t="s">
        <v>10340</v>
      </c>
      <c r="G1775" t="s">
        <v>10338</v>
      </c>
      <c r="H1775" t="s">
        <v>1478</v>
      </c>
      <c r="J1775" t="s">
        <v>10341</v>
      </c>
      <c r="L1775" t="s">
        <v>142</v>
      </c>
      <c r="M1775" t="s">
        <v>113</v>
      </c>
      <c r="R1775" t="s">
        <v>10342</v>
      </c>
      <c r="W1775" t="s">
        <v>10340</v>
      </c>
      <c r="X1775" t="s">
        <v>838</v>
      </c>
      <c r="Y1775" t="s">
        <v>240</v>
      </c>
      <c r="Z1775" t="s">
        <v>117</v>
      </c>
      <c r="AA1775" t="str">
        <f>"14221-3698"</f>
        <v>14221-3698</v>
      </c>
      <c r="AB1775" t="s">
        <v>118</v>
      </c>
      <c r="AC1775" t="s">
        <v>119</v>
      </c>
      <c r="AD1775" t="s">
        <v>113</v>
      </c>
      <c r="AE1775" t="s">
        <v>120</v>
      </c>
      <c r="AG1775" t="s">
        <v>121</v>
      </c>
    </row>
    <row r="1776" spans="1:33" x14ac:dyDescent="0.25">
      <c r="A1776" t="str">
        <f>"1285679621"</f>
        <v>1285679621</v>
      </c>
      <c r="B1776" t="str">
        <f>"02806788"</f>
        <v>02806788</v>
      </c>
      <c r="C1776" t="s">
        <v>10343</v>
      </c>
      <c r="D1776" t="s">
        <v>10344</v>
      </c>
      <c r="E1776" t="s">
        <v>10345</v>
      </c>
      <c r="G1776" t="s">
        <v>10343</v>
      </c>
      <c r="H1776" t="s">
        <v>10346</v>
      </c>
      <c r="J1776" t="s">
        <v>10347</v>
      </c>
      <c r="L1776" t="s">
        <v>150</v>
      </c>
      <c r="M1776" t="s">
        <v>113</v>
      </c>
      <c r="R1776" t="s">
        <v>10348</v>
      </c>
      <c r="W1776" t="s">
        <v>10345</v>
      </c>
      <c r="X1776" t="s">
        <v>838</v>
      </c>
      <c r="Y1776" t="s">
        <v>240</v>
      </c>
      <c r="Z1776" t="s">
        <v>117</v>
      </c>
      <c r="AA1776" t="str">
        <f>"14221-3647"</f>
        <v>14221-3647</v>
      </c>
      <c r="AB1776" t="s">
        <v>118</v>
      </c>
      <c r="AC1776" t="s">
        <v>119</v>
      </c>
      <c r="AD1776" t="s">
        <v>113</v>
      </c>
      <c r="AE1776" t="s">
        <v>120</v>
      </c>
      <c r="AG1776" t="s">
        <v>121</v>
      </c>
    </row>
    <row r="1777" spans="1:33" x14ac:dyDescent="0.25">
      <c r="A1777" t="str">
        <f>"1285686402"</f>
        <v>1285686402</v>
      </c>
      <c r="B1777" t="str">
        <f>"01485390"</f>
        <v>01485390</v>
      </c>
      <c r="C1777" t="s">
        <v>10349</v>
      </c>
      <c r="D1777" t="s">
        <v>10350</v>
      </c>
      <c r="E1777" t="s">
        <v>10351</v>
      </c>
      <c r="G1777" t="s">
        <v>10349</v>
      </c>
      <c r="H1777" t="s">
        <v>10352</v>
      </c>
      <c r="J1777" t="s">
        <v>10353</v>
      </c>
      <c r="L1777" t="s">
        <v>142</v>
      </c>
      <c r="M1777" t="s">
        <v>113</v>
      </c>
      <c r="R1777" t="s">
        <v>10354</v>
      </c>
      <c r="W1777" t="s">
        <v>10351</v>
      </c>
      <c r="X1777" t="s">
        <v>216</v>
      </c>
      <c r="Y1777" t="s">
        <v>116</v>
      </c>
      <c r="Z1777" t="s">
        <v>117</v>
      </c>
      <c r="AA1777" t="str">
        <f>"14222-2006"</f>
        <v>14222-2006</v>
      </c>
      <c r="AB1777" t="s">
        <v>118</v>
      </c>
      <c r="AC1777" t="s">
        <v>119</v>
      </c>
      <c r="AD1777" t="s">
        <v>113</v>
      </c>
      <c r="AE1777" t="s">
        <v>120</v>
      </c>
      <c r="AG1777" t="s">
        <v>121</v>
      </c>
    </row>
    <row r="1778" spans="1:33" x14ac:dyDescent="0.25">
      <c r="A1778" t="str">
        <f>"1285686733"</f>
        <v>1285686733</v>
      </c>
      <c r="B1778" t="str">
        <f>"00664695"</f>
        <v>00664695</v>
      </c>
      <c r="C1778" t="s">
        <v>10355</v>
      </c>
      <c r="D1778" t="s">
        <v>10356</v>
      </c>
      <c r="E1778" t="s">
        <v>10357</v>
      </c>
      <c r="G1778" t="s">
        <v>10355</v>
      </c>
      <c r="H1778" t="s">
        <v>10358</v>
      </c>
      <c r="J1778" t="s">
        <v>10359</v>
      </c>
      <c r="L1778" t="s">
        <v>142</v>
      </c>
      <c r="M1778" t="s">
        <v>113</v>
      </c>
      <c r="R1778" t="s">
        <v>10360</v>
      </c>
      <c r="W1778" t="s">
        <v>10361</v>
      </c>
      <c r="X1778" t="s">
        <v>3276</v>
      </c>
      <c r="Y1778" t="s">
        <v>240</v>
      </c>
      <c r="Z1778" t="s">
        <v>117</v>
      </c>
      <c r="AA1778" t="str">
        <f>"14221-2644"</f>
        <v>14221-2644</v>
      </c>
      <c r="AB1778" t="s">
        <v>118</v>
      </c>
      <c r="AC1778" t="s">
        <v>119</v>
      </c>
      <c r="AD1778" t="s">
        <v>113</v>
      </c>
      <c r="AE1778" t="s">
        <v>120</v>
      </c>
      <c r="AG1778" t="s">
        <v>121</v>
      </c>
    </row>
    <row r="1779" spans="1:33" x14ac:dyDescent="0.25">
      <c r="A1779" t="str">
        <f>"1942509898"</f>
        <v>1942509898</v>
      </c>
      <c r="B1779" t="str">
        <f>"02343108"</f>
        <v>02343108</v>
      </c>
      <c r="C1779" t="s">
        <v>10362</v>
      </c>
      <c r="D1779" t="s">
        <v>10363</v>
      </c>
      <c r="E1779" t="s">
        <v>10364</v>
      </c>
      <c r="G1779" t="s">
        <v>10365</v>
      </c>
      <c r="H1779" t="s">
        <v>10366</v>
      </c>
      <c r="J1779" t="s">
        <v>10367</v>
      </c>
      <c r="L1779" t="s">
        <v>112</v>
      </c>
      <c r="M1779" t="s">
        <v>113</v>
      </c>
      <c r="R1779" t="s">
        <v>10368</v>
      </c>
      <c r="W1779" t="s">
        <v>10364</v>
      </c>
      <c r="X1779" t="s">
        <v>10369</v>
      </c>
      <c r="Y1779" t="s">
        <v>116</v>
      </c>
      <c r="Z1779" t="s">
        <v>117</v>
      </c>
      <c r="AA1779" t="str">
        <f>"14203-1126"</f>
        <v>14203-1126</v>
      </c>
      <c r="AB1779" t="s">
        <v>118</v>
      </c>
      <c r="AC1779" t="s">
        <v>119</v>
      </c>
      <c r="AD1779" t="s">
        <v>113</v>
      </c>
      <c r="AE1779" t="s">
        <v>120</v>
      </c>
      <c r="AG1779" t="s">
        <v>121</v>
      </c>
    </row>
    <row r="1780" spans="1:33" x14ac:dyDescent="0.25">
      <c r="A1780" t="str">
        <f>"1942526652"</f>
        <v>1942526652</v>
      </c>
      <c r="B1780" t="str">
        <f>"03723897"</f>
        <v>03723897</v>
      </c>
      <c r="C1780" t="s">
        <v>10370</v>
      </c>
      <c r="D1780" t="s">
        <v>10371</v>
      </c>
      <c r="E1780" t="s">
        <v>10372</v>
      </c>
      <c r="G1780" t="s">
        <v>10370</v>
      </c>
      <c r="H1780" t="s">
        <v>10373</v>
      </c>
      <c r="J1780" t="s">
        <v>10374</v>
      </c>
      <c r="L1780" t="s">
        <v>150</v>
      </c>
      <c r="M1780" t="s">
        <v>113</v>
      </c>
      <c r="R1780" t="s">
        <v>10375</v>
      </c>
      <c r="W1780" t="s">
        <v>10372</v>
      </c>
      <c r="X1780" t="s">
        <v>10376</v>
      </c>
      <c r="Y1780" t="s">
        <v>153</v>
      </c>
      <c r="Z1780" t="s">
        <v>117</v>
      </c>
      <c r="AA1780" t="str">
        <f>"14304-3022"</f>
        <v>14304-3022</v>
      </c>
      <c r="AB1780" t="s">
        <v>118</v>
      </c>
      <c r="AC1780" t="s">
        <v>119</v>
      </c>
      <c r="AD1780" t="s">
        <v>113</v>
      </c>
      <c r="AE1780" t="s">
        <v>120</v>
      </c>
      <c r="AG1780" t="s">
        <v>121</v>
      </c>
    </row>
    <row r="1781" spans="1:33" x14ac:dyDescent="0.25">
      <c r="A1781" t="str">
        <f>"1942540844"</f>
        <v>1942540844</v>
      </c>
      <c r="C1781" t="s">
        <v>10377</v>
      </c>
      <c r="G1781" t="s">
        <v>10377</v>
      </c>
      <c r="H1781" t="s">
        <v>1964</v>
      </c>
      <c r="J1781" t="s">
        <v>10378</v>
      </c>
      <c r="K1781" t="s">
        <v>303</v>
      </c>
      <c r="L1781" t="s">
        <v>229</v>
      </c>
      <c r="M1781" t="s">
        <v>113</v>
      </c>
      <c r="R1781" t="s">
        <v>10379</v>
      </c>
      <c r="S1781" t="s">
        <v>176</v>
      </c>
      <c r="T1781" t="s">
        <v>116</v>
      </c>
      <c r="U1781" t="s">
        <v>117</v>
      </c>
      <c r="V1781" t="str">
        <f>"142031126"</f>
        <v>142031126</v>
      </c>
      <c r="AC1781" t="s">
        <v>119</v>
      </c>
      <c r="AD1781" t="s">
        <v>113</v>
      </c>
      <c r="AE1781" t="s">
        <v>306</v>
      </c>
      <c r="AG1781" t="s">
        <v>121</v>
      </c>
    </row>
    <row r="1782" spans="1:33" x14ac:dyDescent="0.25">
      <c r="A1782" t="str">
        <f>"1942545645"</f>
        <v>1942545645</v>
      </c>
      <c r="B1782" t="str">
        <f>"04368594"</f>
        <v>04368594</v>
      </c>
      <c r="C1782" t="s">
        <v>10380</v>
      </c>
      <c r="D1782" t="s">
        <v>10381</v>
      </c>
      <c r="E1782" t="s">
        <v>10382</v>
      </c>
      <c r="G1782" t="s">
        <v>10383</v>
      </c>
      <c r="H1782" t="s">
        <v>1964</v>
      </c>
      <c r="J1782" t="s">
        <v>10384</v>
      </c>
      <c r="L1782" t="s">
        <v>229</v>
      </c>
      <c r="M1782" t="s">
        <v>113</v>
      </c>
      <c r="R1782" t="s">
        <v>10385</v>
      </c>
      <c r="W1782" t="s">
        <v>10382</v>
      </c>
      <c r="X1782" t="s">
        <v>176</v>
      </c>
      <c r="Y1782" t="s">
        <v>116</v>
      </c>
      <c r="Z1782" t="s">
        <v>117</v>
      </c>
      <c r="AA1782" t="str">
        <f>"14203-1126"</f>
        <v>14203-1126</v>
      </c>
      <c r="AB1782" t="s">
        <v>118</v>
      </c>
      <c r="AC1782" t="s">
        <v>119</v>
      </c>
      <c r="AD1782" t="s">
        <v>113</v>
      </c>
      <c r="AE1782" t="s">
        <v>120</v>
      </c>
      <c r="AG1782" t="s">
        <v>121</v>
      </c>
    </row>
    <row r="1783" spans="1:33" x14ac:dyDescent="0.25">
      <c r="A1783" t="str">
        <f>"1821290628"</f>
        <v>1821290628</v>
      </c>
      <c r="B1783" t="str">
        <f>"03848226"</f>
        <v>03848226</v>
      </c>
      <c r="C1783" t="s">
        <v>10386</v>
      </c>
      <c r="D1783" t="s">
        <v>10387</v>
      </c>
      <c r="E1783" t="s">
        <v>10388</v>
      </c>
      <c r="G1783" t="s">
        <v>10386</v>
      </c>
      <c r="H1783" t="s">
        <v>10389</v>
      </c>
      <c r="J1783" t="s">
        <v>10390</v>
      </c>
      <c r="L1783" t="s">
        <v>229</v>
      </c>
      <c r="M1783" t="s">
        <v>113</v>
      </c>
      <c r="R1783" t="s">
        <v>10391</v>
      </c>
      <c r="W1783" t="s">
        <v>10388</v>
      </c>
      <c r="X1783" t="s">
        <v>216</v>
      </c>
      <c r="Y1783" t="s">
        <v>116</v>
      </c>
      <c r="Z1783" t="s">
        <v>117</v>
      </c>
      <c r="AA1783" t="str">
        <f>"14222-2006"</f>
        <v>14222-2006</v>
      </c>
      <c r="AB1783" t="s">
        <v>118</v>
      </c>
      <c r="AC1783" t="s">
        <v>119</v>
      </c>
      <c r="AD1783" t="s">
        <v>113</v>
      </c>
      <c r="AE1783" t="s">
        <v>120</v>
      </c>
      <c r="AG1783" t="s">
        <v>121</v>
      </c>
    </row>
    <row r="1784" spans="1:33" x14ac:dyDescent="0.25">
      <c r="A1784" t="str">
        <f>"1821328758"</f>
        <v>1821328758</v>
      </c>
      <c r="B1784" t="str">
        <f>"03813949"</f>
        <v>03813949</v>
      </c>
      <c r="C1784" t="s">
        <v>10392</v>
      </c>
      <c r="D1784" t="s">
        <v>10393</v>
      </c>
      <c r="E1784" t="s">
        <v>10394</v>
      </c>
      <c r="G1784" t="s">
        <v>10395</v>
      </c>
      <c r="H1784" t="s">
        <v>10396</v>
      </c>
      <c r="J1784" t="s">
        <v>10397</v>
      </c>
      <c r="L1784" t="s">
        <v>112</v>
      </c>
      <c r="M1784" t="s">
        <v>113</v>
      </c>
      <c r="R1784" t="s">
        <v>10398</v>
      </c>
      <c r="W1784" t="s">
        <v>10394</v>
      </c>
      <c r="X1784" t="s">
        <v>152</v>
      </c>
      <c r="Y1784" t="s">
        <v>153</v>
      </c>
      <c r="Z1784" t="s">
        <v>117</v>
      </c>
      <c r="AA1784" t="str">
        <f>"14301-1813"</f>
        <v>14301-1813</v>
      </c>
      <c r="AB1784" t="s">
        <v>10399</v>
      </c>
      <c r="AC1784" t="s">
        <v>119</v>
      </c>
      <c r="AD1784" t="s">
        <v>113</v>
      </c>
      <c r="AE1784" t="s">
        <v>120</v>
      </c>
      <c r="AG1784" t="s">
        <v>121</v>
      </c>
    </row>
    <row r="1785" spans="1:33" x14ac:dyDescent="0.25">
      <c r="A1785" t="str">
        <f>"1821352147"</f>
        <v>1821352147</v>
      </c>
      <c r="C1785" t="s">
        <v>10400</v>
      </c>
      <c r="G1785" t="s">
        <v>10400</v>
      </c>
      <c r="H1785" t="s">
        <v>10401</v>
      </c>
      <c r="J1785" t="s">
        <v>10402</v>
      </c>
      <c r="K1785" t="s">
        <v>303</v>
      </c>
      <c r="L1785" t="s">
        <v>112</v>
      </c>
      <c r="M1785" t="s">
        <v>113</v>
      </c>
      <c r="R1785" t="s">
        <v>10403</v>
      </c>
      <c r="S1785" t="s">
        <v>10404</v>
      </c>
      <c r="T1785" t="s">
        <v>153</v>
      </c>
      <c r="U1785" t="s">
        <v>117</v>
      </c>
      <c r="V1785" t="str">
        <f>"143011910"</f>
        <v>143011910</v>
      </c>
      <c r="AC1785" t="s">
        <v>119</v>
      </c>
      <c r="AD1785" t="s">
        <v>113</v>
      </c>
      <c r="AE1785" t="s">
        <v>306</v>
      </c>
      <c r="AG1785" t="s">
        <v>121</v>
      </c>
    </row>
    <row r="1786" spans="1:33" x14ac:dyDescent="0.25">
      <c r="A1786" t="str">
        <f>"1821352493"</f>
        <v>1821352493</v>
      </c>
      <c r="B1786" t="str">
        <f>"03483603"</f>
        <v>03483603</v>
      </c>
      <c r="C1786" t="s">
        <v>10405</v>
      </c>
      <c r="D1786" t="s">
        <v>10406</v>
      </c>
      <c r="E1786" t="s">
        <v>10407</v>
      </c>
      <c r="G1786" t="s">
        <v>10408</v>
      </c>
      <c r="H1786" t="s">
        <v>10409</v>
      </c>
      <c r="J1786" t="s">
        <v>10410</v>
      </c>
      <c r="L1786" t="s">
        <v>142</v>
      </c>
      <c r="M1786" t="s">
        <v>113</v>
      </c>
      <c r="R1786" t="s">
        <v>10411</v>
      </c>
      <c r="W1786" t="s">
        <v>10407</v>
      </c>
      <c r="X1786" t="s">
        <v>216</v>
      </c>
      <c r="Y1786" t="s">
        <v>116</v>
      </c>
      <c r="Z1786" t="s">
        <v>117</v>
      </c>
      <c r="AA1786" t="str">
        <f>"14222-2006"</f>
        <v>14222-2006</v>
      </c>
      <c r="AB1786" t="s">
        <v>118</v>
      </c>
      <c r="AC1786" t="s">
        <v>119</v>
      </c>
      <c r="AD1786" t="s">
        <v>113</v>
      </c>
      <c r="AE1786" t="s">
        <v>120</v>
      </c>
      <c r="AG1786" t="s">
        <v>121</v>
      </c>
    </row>
    <row r="1787" spans="1:33" x14ac:dyDescent="0.25">
      <c r="A1787" t="str">
        <f>"1821399411"</f>
        <v>1821399411</v>
      </c>
      <c r="B1787" t="str">
        <f>"03446971"</f>
        <v>03446971</v>
      </c>
      <c r="C1787" t="s">
        <v>10412</v>
      </c>
      <c r="D1787" t="s">
        <v>10413</v>
      </c>
      <c r="E1787" t="s">
        <v>10414</v>
      </c>
      <c r="G1787" t="s">
        <v>4593</v>
      </c>
      <c r="H1787" t="s">
        <v>4594</v>
      </c>
      <c r="J1787" t="s">
        <v>4595</v>
      </c>
      <c r="L1787" t="s">
        <v>142</v>
      </c>
      <c r="M1787" t="s">
        <v>113</v>
      </c>
      <c r="R1787" t="s">
        <v>10415</v>
      </c>
      <c r="W1787" t="s">
        <v>10414</v>
      </c>
      <c r="X1787" t="s">
        <v>518</v>
      </c>
      <c r="Y1787" t="s">
        <v>305</v>
      </c>
      <c r="Z1787" t="s">
        <v>117</v>
      </c>
      <c r="AA1787" t="str">
        <f>"14760-1500"</f>
        <v>14760-1500</v>
      </c>
      <c r="AB1787" t="s">
        <v>118</v>
      </c>
      <c r="AC1787" t="s">
        <v>119</v>
      </c>
      <c r="AD1787" t="s">
        <v>113</v>
      </c>
      <c r="AE1787" t="s">
        <v>120</v>
      </c>
      <c r="AG1787" t="s">
        <v>121</v>
      </c>
    </row>
    <row r="1788" spans="1:33" x14ac:dyDescent="0.25">
      <c r="A1788" t="str">
        <f>"1821498775"</f>
        <v>1821498775</v>
      </c>
      <c r="C1788" t="s">
        <v>10416</v>
      </c>
      <c r="G1788" t="s">
        <v>10417</v>
      </c>
      <c r="H1788" t="s">
        <v>443</v>
      </c>
      <c r="J1788" t="s">
        <v>352</v>
      </c>
      <c r="K1788" t="s">
        <v>303</v>
      </c>
      <c r="L1788" t="s">
        <v>112</v>
      </c>
      <c r="M1788" t="s">
        <v>113</v>
      </c>
      <c r="R1788" t="s">
        <v>10418</v>
      </c>
      <c r="S1788" t="s">
        <v>409</v>
      </c>
      <c r="T1788" t="s">
        <v>116</v>
      </c>
      <c r="U1788" t="s">
        <v>117</v>
      </c>
      <c r="V1788" t="str">
        <f>"142152814"</f>
        <v>142152814</v>
      </c>
      <c r="AC1788" t="s">
        <v>119</v>
      </c>
      <c r="AD1788" t="s">
        <v>113</v>
      </c>
      <c r="AE1788" t="s">
        <v>306</v>
      </c>
      <c r="AG1788" t="s">
        <v>121</v>
      </c>
    </row>
    <row r="1789" spans="1:33" x14ac:dyDescent="0.25">
      <c r="A1789" t="str">
        <f>"1891832879"</f>
        <v>1891832879</v>
      </c>
      <c r="B1789" t="str">
        <f>"00618786"</f>
        <v>00618786</v>
      </c>
      <c r="C1789" t="s">
        <v>6563</v>
      </c>
      <c r="D1789" t="s">
        <v>10419</v>
      </c>
      <c r="E1789" t="s">
        <v>10420</v>
      </c>
      <c r="G1789" t="s">
        <v>10421</v>
      </c>
      <c r="H1789" t="s">
        <v>10422</v>
      </c>
      <c r="L1789" t="s">
        <v>14</v>
      </c>
      <c r="M1789" t="s">
        <v>113</v>
      </c>
      <c r="R1789" t="s">
        <v>6563</v>
      </c>
      <c r="W1789" t="s">
        <v>10420</v>
      </c>
      <c r="X1789" t="s">
        <v>6109</v>
      </c>
      <c r="Y1789" t="s">
        <v>663</v>
      </c>
      <c r="Z1789" t="s">
        <v>117</v>
      </c>
      <c r="AA1789" t="str">
        <f>"14094-1899"</f>
        <v>14094-1899</v>
      </c>
      <c r="AB1789" t="s">
        <v>1146</v>
      </c>
      <c r="AC1789" t="s">
        <v>119</v>
      </c>
      <c r="AD1789" t="s">
        <v>113</v>
      </c>
      <c r="AE1789" t="s">
        <v>120</v>
      </c>
      <c r="AG1789" t="s">
        <v>121</v>
      </c>
    </row>
    <row r="1790" spans="1:33" x14ac:dyDescent="0.25">
      <c r="A1790" t="str">
        <f>"1891846218"</f>
        <v>1891846218</v>
      </c>
      <c r="B1790" t="str">
        <f>"00652924"</f>
        <v>00652924</v>
      </c>
      <c r="C1790" t="s">
        <v>10423</v>
      </c>
      <c r="D1790" t="s">
        <v>10424</v>
      </c>
      <c r="E1790" t="s">
        <v>10425</v>
      </c>
      <c r="G1790" t="s">
        <v>10423</v>
      </c>
      <c r="H1790" t="s">
        <v>10426</v>
      </c>
      <c r="J1790" t="s">
        <v>10427</v>
      </c>
      <c r="L1790" t="s">
        <v>142</v>
      </c>
      <c r="M1790" t="s">
        <v>113</v>
      </c>
      <c r="R1790" t="s">
        <v>10428</v>
      </c>
      <c r="W1790" t="s">
        <v>10425</v>
      </c>
      <c r="X1790" t="s">
        <v>10429</v>
      </c>
      <c r="Y1790" t="s">
        <v>9183</v>
      </c>
      <c r="Z1790" t="s">
        <v>117</v>
      </c>
      <c r="AA1790" t="str">
        <f>"14086-2123"</f>
        <v>14086-2123</v>
      </c>
      <c r="AB1790" t="s">
        <v>1755</v>
      </c>
      <c r="AC1790" t="s">
        <v>119</v>
      </c>
      <c r="AD1790" t="s">
        <v>113</v>
      </c>
      <c r="AE1790" t="s">
        <v>120</v>
      </c>
      <c r="AG1790" t="s">
        <v>121</v>
      </c>
    </row>
    <row r="1791" spans="1:33" x14ac:dyDescent="0.25">
      <c r="A1791" t="str">
        <f>"1891860128"</f>
        <v>1891860128</v>
      </c>
      <c r="B1791" t="str">
        <f>"00668997"</f>
        <v>00668997</v>
      </c>
      <c r="C1791" t="s">
        <v>10430</v>
      </c>
      <c r="D1791" t="s">
        <v>10431</v>
      </c>
      <c r="E1791" t="s">
        <v>10432</v>
      </c>
      <c r="G1791" t="s">
        <v>10430</v>
      </c>
      <c r="H1791" t="s">
        <v>10433</v>
      </c>
      <c r="J1791" t="s">
        <v>10434</v>
      </c>
      <c r="L1791" t="s">
        <v>142</v>
      </c>
      <c r="M1791" t="s">
        <v>113</v>
      </c>
      <c r="R1791" t="s">
        <v>10435</v>
      </c>
      <c r="W1791" t="s">
        <v>10432</v>
      </c>
      <c r="X1791" t="s">
        <v>10436</v>
      </c>
      <c r="Y1791" t="s">
        <v>116</v>
      </c>
      <c r="Z1791" t="s">
        <v>117</v>
      </c>
      <c r="AA1791" t="str">
        <f>"14216-2826"</f>
        <v>14216-2826</v>
      </c>
      <c r="AB1791" t="s">
        <v>1755</v>
      </c>
      <c r="AC1791" t="s">
        <v>119</v>
      </c>
      <c r="AD1791" t="s">
        <v>113</v>
      </c>
      <c r="AE1791" t="s">
        <v>120</v>
      </c>
      <c r="AG1791" t="s">
        <v>121</v>
      </c>
    </row>
    <row r="1792" spans="1:33" x14ac:dyDescent="0.25">
      <c r="A1792" t="str">
        <f>"1891867289"</f>
        <v>1891867289</v>
      </c>
      <c r="B1792" t="str">
        <f>"03534094"</f>
        <v>03534094</v>
      </c>
      <c r="C1792" t="s">
        <v>10437</v>
      </c>
      <c r="D1792" t="s">
        <v>10438</v>
      </c>
      <c r="E1792" t="s">
        <v>10439</v>
      </c>
      <c r="G1792" t="s">
        <v>10437</v>
      </c>
      <c r="H1792" t="s">
        <v>590</v>
      </c>
      <c r="J1792" t="s">
        <v>10440</v>
      </c>
      <c r="L1792" t="s">
        <v>112</v>
      </c>
      <c r="M1792" t="s">
        <v>113</v>
      </c>
      <c r="R1792" t="s">
        <v>10441</v>
      </c>
      <c r="W1792" t="s">
        <v>10439</v>
      </c>
      <c r="X1792" t="s">
        <v>3004</v>
      </c>
      <c r="Y1792" t="s">
        <v>116</v>
      </c>
      <c r="Z1792" t="s">
        <v>117</v>
      </c>
      <c r="AA1792" t="str">
        <f>"14209-2111"</f>
        <v>14209-2111</v>
      </c>
      <c r="AB1792" t="s">
        <v>528</v>
      </c>
      <c r="AC1792" t="s">
        <v>119</v>
      </c>
      <c r="AD1792" t="s">
        <v>113</v>
      </c>
      <c r="AE1792" t="s">
        <v>120</v>
      </c>
      <c r="AG1792" t="s">
        <v>121</v>
      </c>
    </row>
    <row r="1793" spans="1:33" x14ac:dyDescent="0.25">
      <c r="A1793" t="str">
        <f>"1891880902"</f>
        <v>1891880902</v>
      </c>
      <c r="B1793" t="str">
        <f>"01842891"</f>
        <v>01842891</v>
      </c>
      <c r="C1793" t="s">
        <v>10442</v>
      </c>
      <c r="D1793" t="s">
        <v>10443</v>
      </c>
      <c r="E1793" t="s">
        <v>10444</v>
      </c>
      <c r="G1793" t="s">
        <v>10442</v>
      </c>
      <c r="H1793" t="s">
        <v>10445</v>
      </c>
      <c r="J1793" t="s">
        <v>10446</v>
      </c>
      <c r="L1793" t="s">
        <v>150</v>
      </c>
      <c r="M1793" t="s">
        <v>113</v>
      </c>
      <c r="R1793" t="s">
        <v>10444</v>
      </c>
      <c r="W1793" t="s">
        <v>10444</v>
      </c>
      <c r="X1793" t="s">
        <v>10444</v>
      </c>
      <c r="Y1793" t="s">
        <v>240</v>
      </c>
      <c r="Z1793" t="s">
        <v>117</v>
      </c>
      <c r="AA1793" t="str">
        <f>"14221-6835"</f>
        <v>14221-6835</v>
      </c>
      <c r="AB1793" t="s">
        <v>118</v>
      </c>
      <c r="AC1793" t="s">
        <v>119</v>
      </c>
      <c r="AD1793" t="s">
        <v>113</v>
      </c>
      <c r="AE1793" t="s">
        <v>120</v>
      </c>
      <c r="AG1793" t="s">
        <v>121</v>
      </c>
    </row>
    <row r="1794" spans="1:33" x14ac:dyDescent="0.25">
      <c r="A1794" t="str">
        <f>"1760630636"</f>
        <v>1760630636</v>
      </c>
      <c r="B1794" t="str">
        <f>"03269234"</f>
        <v>03269234</v>
      </c>
      <c r="C1794" t="s">
        <v>13802</v>
      </c>
      <c r="D1794" t="s">
        <v>13803</v>
      </c>
      <c r="E1794" t="s">
        <v>13804</v>
      </c>
      <c r="F1794">
        <v>160769044</v>
      </c>
      <c r="H1794" t="s">
        <v>13805</v>
      </c>
      <c r="L1794" t="s">
        <v>67</v>
      </c>
      <c r="M1794" t="s">
        <v>199</v>
      </c>
      <c r="R1794" t="s">
        <v>13802</v>
      </c>
      <c r="W1794" t="s">
        <v>13804</v>
      </c>
      <c r="X1794" t="s">
        <v>1459</v>
      </c>
      <c r="Y1794" t="s">
        <v>305</v>
      </c>
      <c r="Z1794" t="s">
        <v>117</v>
      </c>
      <c r="AA1794" t="str">
        <f>"14760-1100"</f>
        <v>14760-1100</v>
      </c>
      <c r="AB1794" t="s">
        <v>1460</v>
      </c>
      <c r="AC1794" t="s">
        <v>119</v>
      </c>
      <c r="AD1794" t="s">
        <v>113</v>
      </c>
      <c r="AE1794" t="s">
        <v>120</v>
      </c>
      <c r="AG1794" t="s">
        <v>121</v>
      </c>
    </row>
    <row r="1795" spans="1:33" x14ac:dyDescent="0.25">
      <c r="A1795" t="str">
        <f>"1891928750"</f>
        <v>1891928750</v>
      </c>
      <c r="B1795" t="str">
        <f>"03194983"</f>
        <v>03194983</v>
      </c>
      <c r="C1795" t="s">
        <v>10448</v>
      </c>
      <c r="D1795" t="s">
        <v>10449</v>
      </c>
      <c r="E1795" t="s">
        <v>10450</v>
      </c>
      <c r="G1795" t="s">
        <v>10451</v>
      </c>
      <c r="H1795" t="s">
        <v>2848</v>
      </c>
      <c r="J1795" t="s">
        <v>10452</v>
      </c>
      <c r="L1795" t="s">
        <v>142</v>
      </c>
      <c r="M1795" t="s">
        <v>113</v>
      </c>
      <c r="R1795" t="s">
        <v>10453</v>
      </c>
      <c r="W1795" t="s">
        <v>10450</v>
      </c>
      <c r="X1795" t="s">
        <v>10454</v>
      </c>
      <c r="Y1795" t="s">
        <v>116</v>
      </c>
      <c r="Z1795" t="s">
        <v>117</v>
      </c>
      <c r="AA1795" t="str">
        <f>"14228-2044"</f>
        <v>14228-2044</v>
      </c>
      <c r="AB1795" t="s">
        <v>118</v>
      </c>
      <c r="AC1795" t="s">
        <v>119</v>
      </c>
      <c r="AD1795" t="s">
        <v>113</v>
      </c>
      <c r="AE1795" t="s">
        <v>120</v>
      </c>
      <c r="AG1795" t="s">
        <v>121</v>
      </c>
    </row>
    <row r="1796" spans="1:33" x14ac:dyDescent="0.25">
      <c r="A1796" t="str">
        <f>"1891951497"</f>
        <v>1891951497</v>
      </c>
      <c r="B1796" t="str">
        <f>"03169748"</f>
        <v>03169748</v>
      </c>
      <c r="C1796" t="s">
        <v>10455</v>
      </c>
      <c r="D1796" t="s">
        <v>10456</v>
      </c>
      <c r="E1796" t="s">
        <v>10457</v>
      </c>
      <c r="G1796" t="s">
        <v>10455</v>
      </c>
      <c r="H1796" t="s">
        <v>10458</v>
      </c>
      <c r="J1796" t="s">
        <v>10459</v>
      </c>
      <c r="L1796" t="s">
        <v>150</v>
      </c>
      <c r="M1796" t="s">
        <v>113</v>
      </c>
      <c r="R1796" t="s">
        <v>10460</v>
      </c>
      <c r="W1796" t="s">
        <v>10461</v>
      </c>
      <c r="X1796" t="s">
        <v>10462</v>
      </c>
      <c r="Y1796" t="s">
        <v>5228</v>
      </c>
      <c r="Z1796" t="s">
        <v>117</v>
      </c>
      <c r="AA1796" t="str">
        <f>"14228-2011"</f>
        <v>14228-2011</v>
      </c>
      <c r="AB1796" t="s">
        <v>118</v>
      </c>
      <c r="AC1796" t="s">
        <v>119</v>
      </c>
      <c r="AD1796" t="s">
        <v>113</v>
      </c>
      <c r="AE1796" t="s">
        <v>120</v>
      </c>
      <c r="AG1796" t="s">
        <v>121</v>
      </c>
    </row>
    <row r="1797" spans="1:33" x14ac:dyDescent="0.25">
      <c r="A1797" t="str">
        <f>"1891954012"</f>
        <v>1891954012</v>
      </c>
      <c r="B1797" t="str">
        <f>"01663065"</f>
        <v>01663065</v>
      </c>
      <c r="C1797" t="s">
        <v>10463</v>
      </c>
      <c r="D1797" t="s">
        <v>10464</v>
      </c>
      <c r="E1797" t="s">
        <v>10465</v>
      </c>
      <c r="G1797" t="s">
        <v>10466</v>
      </c>
      <c r="H1797" t="s">
        <v>10467</v>
      </c>
      <c r="L1797" t="s">
        <v>150</v>
      </c>
      <c r="M1797" t="s">
        <v>113</v>
      </c>
      <c r="R1797" t="s">
        <v>10466</v>
      </c>
      <c r="W1797" t="s">
        <v>10465</v>
      </c>
      <c r="X1797" t="s">
        <v>4765</v>
      </c>
      <c r="Y1797" t="s">
        <v>116</v>
      </c>
      <c r="Z1797" t="s">
        <v>117</v>
      </c>
      <c r="AA1797" t="str">
        <f>"14209-1802"</f>
        <v>14209-1802</v>
      </c>
      <c r="AB1797" t="s">
        <v>118</v>
      </c>
      <c r="AC1797" t="s">
        <v>119</v>
      </c>
      <c r="AD1797" t="s">
        <v>113</v>
      </c>
      <c r="AE1797" t="s">
        <v>120</v>
      </c>
      <c r="AG1797" t="s">
        <v>121</v>
      </c>
    </row>
    <row r="1798" spans="1:33" x14ac:dyDescent="0.25">
      <c r="A1798" t="str">
        <f>"1891958138"</f>
        <v>1891958138</v>
      </c>
      <c r="B1798" t="str">
        <f>"03233350"</f>
        <v>03233350</v>
      </c>
      <c r="C1798" t="s">
        <v>10468</v>
      </c>
      <c r="D1798" t="s">
        <v>10469</v>
      </c>
      <c r="E1798" t="s">
        <v>10470</v>
      </c>
      <c r="G1798" t="s">
        <v>10468</v>
      </c>
      <c r="H1798" t="s">
        <v>2057</v>
      </c>
      <c r="J1798" t="s">
        <v>10471</v>
      </c>
      <c r="L1798" t="s">
        <v>142</v>
      </c>
      <c r="M1798" t="s">
        <v>113</v>
      </c>
      <c r="R1798" t="s">
        <v>10470</v>
      </c>
      <c r="W1798" t="s">
        <v>10470</v>
      </c>
      <c r="X1798" t="s">
        <v>253</v>
      </c>
      <c r="Y1798" t="s">
        <v>116</v>
      </c>
      <c r="Z1798" t="s">
        <v>117</v>
      </c>
      <c r="AA1798" t="str">
        <f>"14215-3021"</f>
        <v>14215-3021</v>
      </c>
      <c r="AB1798" t="s">
        <v>118</v>
      </c>
      <c r="AC1798" t="s">
        <v>119</v>
      </c>
      <c r="AD1798" t="s">
        <v>113</v>
      </c>
      <c r="AE1798" t="s">
        <v>120</v>
      </c>
      <c r="AG1798" t="s">
        <v>121</v>
      </c>
    </row>
    <row r="1799" spans="1:33" x14ac:dyDescent="0.25">
      <c r="A1799" t="str">
        <f>"1891986584"</f>
        <v>1891986584</v>
      </c>
      <c r="B1799" t="str">
        <f>"03384012"</f>
        <v>03384012</v>
      </c>
      <c r="C1799" t="s">
        <v>10472</v>
      </c>
      <c r="D1799" t="s">
        <v>10473</v>
      </c>
      <c r="E1799" t="s">
        <v>10474</v>
      </c>
      <c r="G1799" t="s">
        <v>10475</v>
      </c>
      <c r="H1799" t="s">
        <v>10476</v>
      </c>
      <c r="L1799" t="s">
        <v>1033</v>
      </c>
      <c r="M1799" t="s">
        <v>113</v>
      </c>
      <c r="R1799" t="s">
        <v>10475</v>
      </c>
      <c r="W1799" t="s">
        <v>10474</v>
      </c>
      <c r="X1799" t="s">
        <v>10477</v>
      </c>
      <c r="Y1799" t="s">
        <v>978</v>
      </c>
      <c r="Z1799" t="s">
        <v>117</v>
      </c>
      <c r="AA1799" t="str">
        <f>"14081"</f>
        <v>14081</v>
      </c>
      <c r="AB1799" t="s">
        <v>118</v>
      </c>
      <c r="AC1799" t="s">
        <v>119</v>
      </c>
      <c r="AD1799" t="s">
        <v>113</v>
      </c>
      <c r="AE1799" t="s">
        <v>120</v>
      </c>
      <c r="AG1799" t="s">
        <v>121</v>
      </c>
    </row>
    <row r="1800" spans="1:33" x14ac:dyDescent="0.25">
      <c r="A1800" t="str">
        <f>"1902009954"</f>
        <v>1902009954</v>
      </c>
      <c r="B1800" t="str">
        <f>"02892588"</f>
        <v>02892588</v>
      </c>
      <c r="C1800" t="s">
        <v>10478</v>
      </c>
      <c r="D1800" t="s">
        <v>10479</v>
      </c>
      <c r="E1800" t="s">
        <v>10480</v>
      </c>
      <c r="G1800" t="s">
        <v>2200</v>
      </c>
      <c r="H1800" t="s">
        <v>10481</v>
      </c>
      <c r="J1800" t="s">
        <v>2202</v>
      </c>
      <c r="L1800" t="s">
        <v>142</v>
      </c>
      <c r="M1800" t="s">
        <v>113</v>
      </c>
      <c r="R1800" t="s">
        <v>10482</v>
      </c>
      <c r="W1800" t="s">
        <v>10480</v>
      </c>
      <c r="X1800" t="s">
        <v>526</v>
      </c>
      <c r="Y1800" t="s">
        <v>527</v>
      </c>
      <c r="Z1800" t="s">
        <v>117</v>
      </c>
      <c r="AA1800" t="str">
        <f>"14103-1191"</f>
        <v>14103-1191</v>
      </c>
      <c r="AB1800" t="s">
        <v>118</v>
      </c>
      <c r="AC1800" t="s">
        <v>119</v>
      </c>
      <c r="AD1800" t="s">
        <v>113</v>
      </c>
      <c r="AE1800" t="s">
        <v>120</v>
      </c>
      <c r="AG1800" t="s">
        <v>121</v>
      </c>
    </row>
    <row r="1801" spans="1:33" x14ac:dyDescent="0.25">
      <c r="A1801" t="str">
        <f>"1902010523"</f>
        <v>1902010523</v>
      </c>
      <c r="B1801" t="str">
        <f>"02903111"</f>
        <v>02903111</v>
      </c>
      <c r="C1801" t="s">
        <v>10483</v>
      </c>
      <c r="D1801" t="s">
        <v>10484</v>
      </c>
      <c r="E1801" t="s">
        <v>10485</v>
      </c>
      <c r="G1801" t="s">
        <v>10483</v>
      </c>
      <c r="H1801" t="s">
        <v>2280</v>
      </c>
      <c r="J1801" t="s">
        <v>10486</v>
      </c>
      <c r="L1801" t="s">
        <v>142</v>
      </c>
      <c r="M1801" t="s">
        <v>113</v>
      </c>
      <c r="R1801" t="s">
        <v>10487</v>
      </c>
      <c r="W1801" t="s">
        <v>10485</v>
      </c>
      <c r="X1801" t="s">
        <v>253</v>
      </c>
      <c r="Y1801" t="s">
        <v>116</v>
      </c>
      <c r="Z1801" t="s">
        <v>117</v>
      </c>
      <c r="AA1801" t="str">
        <f>"14215-3021"</f>
        <v>14215-3021</v>
      </c>
      <c r="AB1801" t="s">
        <v>118</v>
      </c>
      <c r="AC1801" t="s">
        <v>119</v>
      </c>
      <c r="AD1801" t="s">
        <v>113</v>
      </c>
      <c r="AE1801" t="s">
        <v>120</v>
      </c>
      <c r="AG1801" t="s">
        <v>121</v>
      </c>
    </row>
    <row r="1802" spans="1:33" x14ac:dyDescent="0.25">
      <c r="A1802" t="str">
        <f>"1902032865"</f>
        <v>1902032865</v>
      </c>
      <c r="B1802" t="str">
        <f>"03128874"</f>
        <v>03128874</v>
      </c>
      <c r="C1802" t="s">
        <v>10488</v>
      </c>
      <c r="D1802" t="s">
        <v>10489</v>
      </c>
      <c r="E1802" t="s">
        <v>10490</v>
      </c>
      <c r="G1802" t="s">
        <v>10488</v>
      </c>
      <c r="H1802" t="s">
        <v>6458</v>
      </c>
      <c r="J1802" t="s">
        <v>10491</v>
      </c>
      <c r="L1802" t="s">
        <v>150</v>
      </c>
      <c r="M1802" t="s">
        <v>113</v>
      </c>
      <c r="R1802" t="s">
        <v>10492</v>
      </c>
      <c r="W1802" t="s">
        <v>10493</v>
      </c>
      <c r="X1802" t="s">
        <v>10494</v>
      </c>
      <c r="Y1802" t="s">
        <v>541</v>
      </c>
      <c r="Z1802" t="s">
        <v>117</v>
      </c>
      <c r="AA1802" t="str">
        <f>"14048-3559"</f>
        <v>14048-3559</v>
      </c>
      <c r="AB1802" t="s">
        <v>118</v>
      </c>
      <c r="AC1802" t="s">
        <v>119</v>
      </c>
      <c r="AD1802" t="s">
        <v>113</v>
      </c>
      <c r="AE1802" t="s">
        <v>120</v>
      </c>
      <c r="AG1802" t="s">
        <v>121</v>
      </c>
    </row>
    <row r="1803" spans="1:33" x14ac:dyDescent="0.25">
      <c r="A1803" t="str">
        <f>"1902061914"</f>
        <v>1902061914</v>
      </c>
      <c r="B1803" t="str">
        <f>"03442573"</f>
        <v>03442573</v>
      </c>
      <c r="C1803" t="s">
        <v>10495</v>
      </c>
      <c r="D1803" t="s">
        <v>10496</v>
      </c>
      <c r="E1803" t="s">
        <v>10497</v>
      </c>
      <c r="G1803" t="s">
        <v>10495</v>
      </c>
      <c r="H1803" t="s">
        <v>7498</v>
      </c>
      <c r="J1803" t="s">
        <v>10498</v>
      </c>
      <c r="L1803" t="s">
        <v>142</v>
      </c>
      <c r="M1803" t="s">
        <v>113</v>
      </c>
      <c r="R1803" t="s">
        <v>10499</v>
      </c>
      <c r="W1803" t="s">
        <v>10497</v>
      </c>
      <c r="X1803" t="s">
        <v>10500</v>
      </c>
      <c r="Y1803" t="s">
        <v>318</v>
      </c>
      <c r="Z1803" t="s">
        <v>117</v>
      </c>
      <c r="AA1803" t="str">
        <f>"14225-2591"</f>
        <v>14225-2591</v>
      </c>
      <c r="AB1803" t="s">
        <v>118</v>
      </c>
      <c r="AC1803" t="s">
        <v>119</v>
      </c>
      <c r="AD1803" t="s">
        <v>113</v>
      </c>
      <c r="AE1803" t="s">
        <v>120</v>
      </c>
      <c r="AG1803" t="s">
        <v>121</v>
      </c>
    </row>
    <row r="1804" spans="1:33" x14ac:dyDescent="0.25">
      <c r="A1804" t="str">
        <f>"1902082209"</f>
        <v>1902082209</v>
      </c>
      <c r="B1804" t="str">
        <f>"03520427"</f>
        <v>03520427</v>
      </c>
      <c r="C1804" t="s">
        <v>10501</v>
      </c>
      <c r="D1804" t="s">
        <v>10502</v>
      </c>
      <c r="E1804" t="s">
        <v>10503</v>
      </c>
      <c r="G1804" t="s">
        <v>10501</v>
      </c>
      <c r="H1804" t="s">
        <v>10504</v>
      </c>
      <c r="J1804" t="s">
        <v>10505</v>
      </c>
      <c r="L1804" t="s">
        <v>142</v>
      </c>
      <c r="M1804" t="s">
        <v>113</v>
      </c>
      <c r="R1804" t="s">
        <v>10506</v>
      </c>
      <c r="W1804" t="s">
        <v>10503</v>
      </c>
      <c r="X1804" t="s">
        <v>176</v>
      </c>
      <c r="Y1804" t="s">
        <v>116</v>
      </c>
      <c r="Z1804" t="s">
        <v>117</v>
      </c>
      <c r="AA1804" t="str">
        <f>"14203-1126"</f>
        <v>14203-1126</v>
      </c>
      <c r="AB1804" t="s">
        <v>118</v>
      </c>
      <c r="AC1804" t="s">
        <v>119</v>
      </c>
      <c r="AD1804" t="s">
        <v>113</v>
      </c>
      <c r="AE1804" t="s">
        <v>120</v>
      </c>
      <c r="AG1804" t="s">
        <v>121</v>
      </c>
    </row>
    <row r="1805" spans="1:33" x14ac:dyDescent="0.25">
      <c r="A1805" t="str">
        <f>"1902140338"</f>
        <v>1902140338</v>
      </c>
      <c r="B1805" t="str">
        <f>"03527268"</f>
        <v>03527268</v>
      </c>
      <c r="C1805" t="s">
        <v>10507</v>
      </c>
      <c r="D1805" t="s">
        <v>10508</v>
      </c>
      <c r="E1805" t="s">
        <v>10509</v>
      </c>
      <c r="G1805" t="s">
        <v>10510</v>
      </c>
      <c r="J1805" t="s">
        <v>10511</v>
      </c>
      <c r="L1805" t="s">
        <v>142</v>
      </c>
      <c r="M1805" t="s">
        <v>113</v>
      </c>
      <c r="R1805" t="s">
        <v>10512</v>
      </c>
      <c r="W1805" t="s">
        <v>10509</v>
      </c>
      <c r="X1805" t="s">
        <v>2474</v>
      </c>
      <c r="Y1805" t="s">
        <v>116</v>
      </c>
      <c r="Z1805" t="s">
        <v>117</v>
      </c>
      <c r="AA1805" t="str">
        <f>"14215-3021"</f>
        <v>14215-3021</v>
      </c>
      <c r="AB1805" t="s">
        <v>118</v>
      </c>
      <c r="AC1805" t="s">
        <v>119</v>
      </c>
      <c r="AD1805" t="s">
        <v>113</v>
      </c>
      <c r="AE1805" t="s">
        <v>120</v>
      </c>
      <c r="AG1805" t="s">
        <v>121</v>
      </c>
    </row>
    <row r="1806" spans="1:33" x14ac:dyDescent="0.25">
      <c r="A1806" t="str">
        <f>"1902159551"</f>
        <v>1902159551</v>
      </c>
      <c r="B1806" t="str">
        <f>"03571804"</f>
        <v>03571804</v>
      </c>
      <c r="C1806" t="s">
        <v>10513</v>
      </c>
      <c r="D1806" t="s">
        <v>10514</v>
      </c>
      <c r="E1806" t="s">
        <v>10515</v>
      </c>
      <c r="G1806" t="s">
        <v>10513</v>
      </c>
      <c r="H1806" t="s">
        <v>10516</v>
      </c>
      <c r="J1806" t="s">
        <v>10517</v>
      </c>
      <c r="L1806" t="s">
        <v>112</v>
      </c>
      <c r="M1806" t="s">
        <v>113</v>
      </c>
      <c r="R1806" t="s">
        <v>10518</v>
      </c>
      <c r="W1806" t="s">
        <v>10515</v>
      </c>
      <c r="X1806" t="s">
        <v>176</v>
      </c>
      <c r="Y1806" t="s">
        <v>116</v>
      </c>
      <c r="Z1806" t="s">
        <v>117</v>
      </c>
      <c r="AA1806" t="str">
        <f>"14203-1126"</f>
        <v>14203-1126</v>
      </c>
      <c r="AB1806" t="s">
        <v>118</v>
      </c>
      <c r="AC1806" t="s">
        <v>119</v>
      </c>
      <c r="AD1806" t="s">
        <v>113</v>
      </c>
      <c r="AE1806" t="s">
        <v>120</v>
      </c>
      <c r="AG1806" t="s">
        <v>121</v>
      </c>
    </row>
    <row r="1807" spans="1:33" x14ac:dyDescent="0.25">
      <c r="A1807" t="str">
        <f>"1710067780"</f>
        <v>1710067780</v>
      </c>
      <c r="C1807" t="s">
        <v>10519</v>
      </c>
      <c r="G1807" t="s">
        <v>10520</v>
      </c>
      <c r="H1807" t="s">
        <v>590</v>
      </c>
      <c r="J1807" t="s">
        <v>10521</v>
      </c>
      <c r="K1807" t="s">
        <v>303</v>
      </c>
      <c r="L1807" t="s">
        <v>229</v>
      </c>
      <c r="M1807" t="s">
        <v>113</v>
      </c>
      <c r="R1807" t="s">
        <v>10522</v>
      </c>
      <c r="S1807" t="s">
        <v>1433</v>
      </c>
      <c r="T1807" t="s">
        <v>129</v>
      </c>
      <c r="U1807" t="s">
        <v>117</v>
      </c>
      <c r="V1807" t="str">
        <f>"142242635"</f>
        <v>142242635</v>
      </c>
      <c r="AC1807" t="s">
        <v>119</v>
      </c>
      <c r="AD1807" t="s">
        <v>113</v>
      </c>
      <c r="AE1807" t="s">
        <v>306</v>
      </c>
      <c r="AG1807" t="s">
        <v>121</v>
      </c>
    </row>
    <row r="1808" spans="1:33" x14ac:dyDescent="0.25">
      <c r="A1808" t="str">
        <f>"1154381317"</f>
        <v>1154381317</v>
      </c>
      <c r="B1808" t="str">
        <f>"01054324"</f>
        <v>01054324</v>
      </c>
      <c r="C1808" t="s">
        <v>7481</v>
      </c>
      <c r="D1808" t="s">
        <v>10523</v>
      </c>
      <c r="E1808" t="s">
        <v>10524</v>
      </c>
      <c r="G1808" t="s">
        <v>7481</v>
      </c>
      <c r="H1808" t="s">
        <v>10525</v>
      </c>
      <c r="L1808" t="s">
        <v>150</v>
      </c>
      <c r="M1808" t="s">
        <v>113</v>
      </c>
      <c r="R1808" t="s">
        <v>10526</v>
      </c>
      <c r="W1808" t="s">
        <v>10524</v>
      </c>
      <c r="X1808" t="s">
        <v>10527</v>
      </c>
      <c r="Y1808" t="s">
        <v>663</v>
      </c>
      <c r="Z1808" t="s">
        <v>117</v>
      </c>
      <c r="AA1808" t="str">
        <f>"14094-5370"</f>
        <v>14094-5370</v>
      </c>
      <c r="AB1808" t="s">
        <v>118</v>
      </c>
      <c r="AC1808" t="s">
        <v>119</v>
      </c>
      <c r="AD1808" t="s">
        <v>113</v>
      </c>
      <c r="AE1808" t="s">
        <v>120</v>
      </c>
      <c r="AG1808" t="s">
        <v>121</v>
      </c>
    </row>
    <row r="1809" spans="1:33" x14ac:dyDescent="0.25">
      <c r="A1809" t="str">
        <f>"1154387868"</f>
        <v>1154387868</v>
      </c>
      <c r="B1809" t="str">
        <f>"00480979"</f>
        <v>00480979</v>
      </c>
      <c r="C1809" t="s">
        <v>10528</v>
      </c>
      <c r="D1809" t="s">
        <v>10529</v>
      </c>
      <c r="E1809" t="s">
        <v>10530</v>
      </c>
      <c r="G1809" t="s">
        <v>10528</v>
      </c>
      <c r="H1809" t="s">
        <v>10531</v>
      </c>
      <c r="J1809" t="s">
        <v>10532</v>
      </c>
      <c r="L1809" t="s">
        <v>142</v>
      </c>
      <c r="M1809" t="s">
        <v>113</v>
      </c>
      <c r="R1809" t="s">
        <v>10533</v>
      </c>
      <c r="W1809" t="s">
        <v>10530</v>
      </c>
      <c r="X1809" t="s">
        <v>176</v>
      </c>
      <c r="Y1809" t="s">
        <v>116</v>
      </c>
      <c r="Z1809" t="s">
        <v>117</v>
      </c>
      <c r="AA1809" t="str">
        <f>"14203-1126"</f>
        <v>14203-1126</v>
      </c>
      <c r="AB1809" t="s">
        <v>118</v>
      </c>
      <c r="AC1809" t="s">
        <v>119</v>
      </c>
      <c r="AD1809" t="s">
        <v>113</v>
      </c>
      <c r="AE1809" t="s">
        <v>120</v>
      </c>
      <c r="AG1809" t="s">
        <v>121</v>
      </c>
    </row>
    <row r="1810" spans="1:33" x14ac:dyDescent="0.25">
      <c r="A1810" t="str">
        <f>"1154387918"</f>
        <v>1154387918</v>
      </c>
      <c r="B1810" t="str">
        <f>"01230148"</f>
        <v>01230148</v>
      </c>
      <c r="C1810" t="s">
        <v>10534</v>
      </c>
      <c r="D1810" t="s">
        <v>10535</v>
      </c>
      <c r="E1810" t="s">
        <v>10536</v>
      </c>
      <c r="G1810" t="s">
        <v>10534</v>
      </c>
      <c r="H1810" t="s">
        <v>908</v>
      </c>
      <c r="J1810" t="s">
        <v>10537</v>
      </c>
      <c r="L1810" t="s">
        <v>142</v>
      </c>
      <c r="M1810" t="s">
        <v>113</v>
      </c>
      <c r="R1810" t="s">
        <v>10538</v>
      </c>
      <c r="W1810" t="s">
        <v>10536</v>
      </c>
      <c r="Y1810" t="s">
        <v>240</v>
      </c>
      <c r="Z1810" t="s">
        <v>117</v>
      </c>
      <c r="AA1810" t="str">
        <f>"14221-8214"</f>
        <v>14221-8214</v>
      </c>
      <c r="AB1810" t="s">
        <v>118</v>
      </c>
      <c r="AC1810" t="s">
        <v>119</v>
      </c>
      <c r="AD1810" t="s">
        <v>113</v>
      </c>
      <c r="AE1810" t="s">
        <v>120</v>
      </c>
      <c r="AG1810" t="s">
        <v>121</v>
      </c>
    </row>
    <row r="1811" spans="1:33" x14ac:dyDescent="0.25">
      <c r="A1811" t="str">
        <f>"1154388049"</f>
        <v>1154388049</v>
      </c>
      <c r="B1811" t="str">
        <f>"02494544"</f>
        <v>02494544</v>
      </c>
      <c r="C1811" t="s">
        <v>10539</v>
      </c>
      <c r="D1811" t="s">
        <v>10540</v>
      </c>
      <c r="E1811" t="s">
        <v>10541</v>
      </c>
      <c r="G1811" t="s">
        <v>6939</v>
      </c>
      <c r="H1811" t="s">
        <v>579</v>
      </c>
      <c r="J1811" t="s">
        <v>6941</v>
      </c>
      <c r="L1811" t="s">
        <v>150</v>
      </c>
      <c r="M1811" t="s">
        <v>113</v>
      </c>
      <c r="R1811" t="s">
        <v>10542</v>
      </c>
      <c r="W1811" t="s">
        <v>10541</v>
      </c>
      <c r="X1811" t="s">
        <v>10543</v>
      </c>
      <c r="Y1811" t="s">
        <v>816</v>
      </c>
      <c r="Z1811" t="s">
        <v>117</v>
      </c>
      <c r="AA1811" t="str">
        <f>"14120-6563"</f>
        <v>14120-6563</v>
      </c>
      <c r="AB1811" t="s">
        <v>118</v>
      </c>
      <c r="AC1811" t="s">
        <v>119</v>
      </c>
      <c r="AD1811" t="s">
        <v>113</v>
      </c>
      <c r="AE1811" t="s">
        <v>120</v>
      </c>
      <c r="AG1811" t="s">
        <v>121</v>
      </c>
    </row>
    <row r="1812" spans="1:33" x14ac:dyDescent="0.25">
      <c r="A1812" t="str">
        <f>"1154393015"</f>
        <v>1154393015</v>
      </c>
      <c r="B1812" t="str">
        <f>"00658686"</f>
        <v>00658686</v>
      </c>
      <c r="C1812" t="s">
        <v>10544</v>
      </c>
      <c r="D1812" t="s">
        <v>10545</v>
      </c>
      <c r="E1812" t="s">
        <v>10546</v>
      </c>
      <c r="G1812" t="s">
        <v>10544</v>
      </c>
      <c r="H1812" t="s">
        <v>1909</v>
      </c>
      <c r="J1812" t="s">
        <v>10547</v>
      </c>
      <c r="L1812" t="s">
        <v>150</v>
      </c>
      <c r="M1812" t="s">
        <v>113</v>
      </c>
      <c r="R1812" t="s">
        <v>10548</v>
      </c>
      <c r="W1812" t="s">
        <v>10546</v>
      </c>
      <c r="X1812" t="s">
        <v>784</v>
      </c>
      <c r="Y1812" t="s">
        <v>116</v>
      </c>
      <c r="Z1812" t="s">
        <v>117</v>
      </c>
      <c r="AA1812" t="str">
        <f>"14209-1194"</f>
        <v>14209-1194</v>
      </c>
      <c r="AB1812" t="s">
        <v>118</v>
      </c>
      <c r="AC1812" t="s">
        <v>119</v>
      </c>
      <c r="AD1812" t="s">
        <v>113</v>
      </c>
      <c r="AE1812" t="s">
        <v>120</v>
      </c>
      <c r="AG1812" t="s">
        <v>121</v>
      </c>
    </row>
    <row r="1813" spans="1:33" x14ac:dyDescent="0.25">
      <c r="A1813" t="str">
        <f>"1154395648"</f>
        <v>1154395648</v>
      </c>
      <c r="B1813" t="str">
        <f>"01419974"</f>
        <v>01419974</v>
      </c>
      <c r="C1813" t="s">
        <v>10549</v>
      </c>
      <c r="D1813" t="s">
        <v>10550</v>
      </c>
      <c r="E1813" t="s">
        <v>10551</v>
      </c>
      <c r="G1813" t="s">
        <v>10549</v>
      </c>
      <c r="H1813" t="s">
        <v>2591</v>
      </c>
      <c r="J1813" t="s">
        <v>10552</v>
      </c>
      <c r="L1813" t="s">
        <v>112</v>
      </c>
      <c r="M1813" t="s">
        <v>113</v>
      </c>
      <c r="R1813" t="s">
        <v>10553</v>
      </c>
      <c r="W1813" t="s">
        <v>10551</v>
      </c>
      <c r="X1813" t="s">
        <v>511</v>
      </c>
      <c r="Y1813" t="s">
        <v>512</v>
      </c>
      <c r="Z1813" t="s">
        <v>117</v>
      </c>
      <c r="AA1813" t="str">
        <f>"14092-1903"</f>
        <v>14092-1903</v>
      </c>
      <c r="AB1813" t="s">
        <v>118</v>
      </c>
      <c r="AC1813" t="s">
        <v>119</v>
      </c>
      <c r="AD1813" t="s">
        <v>113</v>
      </c>
      <c r="AE1813" t="s">
        <v>120</v>
      </c>
      <c r="AG1813" t="s">
        <v>121</v>
      </c>
    </row>
    <row r="1814" spans="1:33" x14ac:dyDescent="0.25">
      <c r="A1814" t="str">
        <f>"1154398055"</f>
        <v>1154398055</v>
      </c>
      <c r="B1814" t="str">
        <f>"00685534"</f>
        <v>00685534</v>
      </c>
      <c r="C1814" t="s">
        <v>10554</v>
      </c>
      <c r="D1814" t="s">
        <v>10555</v>
      </c>
      <c r="E1814" t="s">
        <v>10556</v>
      </c>
      <c r="G1814" t="s">
        <v>10557</v>
      </c>
      <c r="H1814" t="s">
        <v>10558</v>
      </c>
      <c r="J1814" t="s">
        <v>10559</v>
      </c>
      <c r="L1814" t="s">
        <v>1033</v>
      </c>
      <c r="M1814" t="s">
        <v>113</v>
      </c>
      <c r="R1814" t="s">
        <v>10557</v>
      </c>
      <c r="W1814" t="s">
        <v>10556</v>
      </c>
      <c r="X1814" t="s">
        <v>152</v>
      </c>
      <c r="Y1814" t="s">
        <v>153</v>
      </c>
      <c r="Z1814" t="s">
        <v>117</v>
      </c>
      <c r="AA1814" t="str">
        <f>"14301-1813"</f>
        <v>14301-1813</v>
      </c>
      <c r="AB1814" t="s">
        <v>118</v>
      </c>
      <c r="AC1814" t="s">
        <v>119</v>
      </c>
      <c r="AD1814" t="s">
        <v>113</v>
      </c>
      <c r="AE1814" t="s">
        <v>120</v>
      </c>
      <c r="AG1814" t="s">
        <v>121</v>
      </c>
    </row>
    <row r="1815" spans="1:33" x14ac:dyDescent="0.25">
      <c r="A1815" t="str">
        <f>"1154398550"</f>
        <v>1154398550</v>
      </c>
      <c r="B1815" t="str">
        <f>"02022746"</f>
        <v>02022746</v>
      </c>
      <c r="C1815" t="s">
        <v>10560</v>
      </c>
      <c r="D1815" t="s">
        <v>10561</v>
      </c>
      <c r="E1815" t="s">
        <v>10562</v>
      </c>
      <c r="G1815" t="s">
        <v>10563</v>
      </c>
      <c r="H1815" t="s">
        <v>579</v>
      </c>
      <c r="J1815" t="s">
        <v>10564</v>
      </c>
      <c r="L1815" t="s">
        <v>142</v>
      </c>
      <c r="M1815" t="s">
        <v>113</v>
      </c>
      <c r="R1815" t="s">
        <v>10565</v>
      </c>
      <c r="W1815" t="s">
        <v>10562</v>
      </c>
      <c r="X1815" t="s">
        <v>838</v>
      </c>
      <c r="Y1815" t="s">
        <v>240</v>
      </c>
      <c r="Z1815" t="s">
        <v>117</v>
      </c>
      <c r="AA1815" t="str">
        <f>"14221-3647"</f>
        <v>14221-3647</v>
      </c>
      <c r="AB1815" t="s">
        <v>118</v>
      </c>
      <c r="AC1815" t="s">
        <v>119</v>
      </c>
      <c r="AD1815" t="s">
        <v>113</v>
      </c>
      <c r="AE1815" t="s">
        <v>120</v>
      </c>
      <c r="AG1815" t="s">
        <v>121</v>
      </c>
    </row>
    <row r="1816" spans="1:33" x14ac:dyDescent="0.25">
      <c r="A1816" t="str">
        <f>"1154404457"</f>
        <v>1154404457</v>
      </c>
      <c r="C1816" t="s">
        <v>10566</v>
      </c>
      <c r="G1816" t="s">
        <v>10566</v>
      </c>
      <c r="H1816" t="s">
        <v>3712</v>
      </c>
      <c r="J1816" t="s">
        <v>10567</v>
      </c>
      <c r="K1816" t="s">
        <v>303</v>
      </c>
      <c r="L1816" t="s">
        <v>112</v>
      </c>
      <c r="M1816" t="s">
        <v>113</v>
      </c>
      <c r="R1816" t="s">
        <v>10568</v>
      </c>
      <c r="S1816" t="s">
        <v>3396</v>
      </c>
      <c r="T1816" t="s">
        <v>318</v>
      </c>
      <c r="U1816" t="s">
        <v>117</v>
      </c>
      <c r="V1816" t="str">
        <f>"142254751"</f>
        <v>142254751</v>
      </c>
      <c r="AC1816" t="s">
        <v>119</v>
      </c>
      <c r="AD1816" t="s">
        <v>113</v>
      </c>
      <c r="AE1816" t="s">
        <v>306</v>
      </c>
      <c r="AG1816" t="s">
        <v>121</v>
      </c>
    </row>
    <row r="1817" spans="1:33" x14ac:dyDescent="0.25">
      <c r="A1817" t="str">
        <f>"1154421246"</f>
        <v>1154421246</v>
      </c>
      <c r="B1817" t="str">
        <f>"02959286"</f>
        <v>02959286</v>
      </c>
      <c r="C1817" t="s">
        <v>10569</v>
      </c>
      <c r="D1817" t="s">
        <v>10570</v>
      </c>
      <c r="E1817" t="s">
        <v>10571</v>
      </c>
      <c r="G1817" t="s">
        <v>10572</v>
      </c>
      <c r="H1817" t="s">
        <v>10573</v>
      </c>
      <c r="J1817" t="s">
        <v>10574</v>
      </c>
      <c r="L1817" t="s">
        <v>69</v>
      </c>
      <c r="M1817" t="s">
        <v>113</v>
      </c>
      <c r="R1817" t="s">
        <v>10575</v>
      </c>
      <c r="W1817" t="s">
        <v>10571</v>
      </c>
      <c r="X1817" t="s">
        <v>10576</v>
      </c>
      <c r="Y1817" t="s">
        <v>958</v>
      </c>
      <c r="Z1817" t="s">
        <v>117</v>
      </c>
      <c r="AA1817" t="str">
        <f>"14226-2547"</f>
        <v>14226-2547</v>
      </c>
      <c r="AB1817" t="s">
        <v>872</v>
      </c>
      <c r="AC1817" t="s">
        <v>119</v>
      </c>
      <c r="AD1817" t="s">
        <v>113</v>
      </c>
      <c r="AE1817" t="s">
        <v>120</v>
      </c>
      <c r="AG1817" t="s">
        <v>121</v>
      </c>
    </row>
    <row r="1818" spans="1:33" x14ac:dyDescent="0.25">
      <c r="A1818" t="str">
        <f>"1154482859"</f>
        <v>1154482859</v>
      </c>
      <c r="B1818" t="str">
        <f>"02505920"</f>
        <v>02505920</v>
      </c>
      <c r="C1818" t="s">
        <v>10577</v>
      </c>
      <c r="D1818" t="s">
        <v>10578</v>
      </c>
      <c r="E1818" t="s">
        <v>10579</v>
      </c>
      <c r="G1818" t="s">
        <v>10577</v>
      </c>
      <c r="H1818" t="s">
        <v>1227</v>
      </c>
      <c r="J1818" t="s">
        <v>10580</v>
      </c>
      <c r="L1818" t="s">
        <v>142</v>
      </c>
      <c r="M1818" t="s">
        <v>113</v>
      </c>
      <c r="R1818" t="s">
        <v>10581</v>
      </c>
      <c r="W1818" t="s">
        <v>10579</v>
      </c>
      <c r="X1818" t="s">
        <v>10582</v>
      </c>
      <c r="Y1818" t="s">
        <v>958</v>
      </c>
      <c r="Z1818" t="s">
        <v>117</v>
      </c>
      <c r="AA1818" t="str">
        <f>"14226"</f>
        <v>14226</v>
      </c>
      <c r="AB1818" t="s">
        <v>118</v>
      </c>
      <c r="AC1818" t="s">
        <v>119</v>
      </c>
      <c r="AD1818" t="s">
        <v>113</v>
      </c>
      <c r="AE1818" t="s">
        <v>120</v>
      </c>
      <c r="AG1818" t="s">
        <v>121</v>
      </c>
    </row>
    <row r="1819" spans="1:33" x14ac:dyDescent="0.25">
      <c r="A1819" t="str">
        <f>"1154488351"</f>
        <v>1154488351</v>
      </c>
      <c r="B1819" t="str">
        <f>"01352592"</f>
        <v>01352592</v>
      </c>
      <c r="C1819" t="s">
        <v>10583</v>
      </c>
      <c r="D1819" t="s">
        <v>10584</v>
      </c>
      <c r="E1819" t="s">
        <v>10585</v>
      </c>
      <c r="G1819" t="s">
        <v>10586</v>
      </c>
      <c r="H1819" t="s">
        <v>10587</v>
      </c>
      <c r="J1819" t="s">
        <v>10588</v>
      </c>
      <c r="L1819" t="s">
        <v>150</v>
      </c>
      <c r="M1819" t="s">
        <v>113</v>
      </c>
      <c r="R1819" t="s">
        <v>10589</v>
      </c>
      <c r="W1819" t="s">
        <v>10590</v>
      </c>
      <c r="X1819" t="s">
        <v>10591</v>
      </c>
      <c r="Y1819" t="s">
        <v>377</v>
      </c>
      <c r="Z1819" t="s">
        <v>117</v>
      </c>
      <c r="AA1819" t="str">
        <f>"14217-1094"</f>
        <v>14217-1094</v>
      </c>
      <c r="AB1819" t="s">
        <v>118</v>
      </c>
      <c r="AC1819" t="s">
        <v>119</v>
      </c>
      <c r="AD1819" t="s">
        <v>113</v>
      </c>
      <c r="AE1819" t="s">
        <v>120</v>
      </c>
      <c r="AG1819" t="s">
        <v>121</v>
      </c>
    </row>
    <row r="1820" spans="1:33" x14ac:dyDescent="0.25">
      <c r="A1820" t="str">
        <f>"1154558799"</f>
        <v>1154558799</v>
      </c>
      <c r="B1820" t="str">
        <f>"03126405"</f>
        <v>03126405</v>
      </c>
      <c r="C1820" t="s">
        <v>10592</v>
      </c>
      <c r="D1820" t="s">
        <v>10593</v>
      </c>
      <c r="E1820" t="s">
        <v>10594</v>
      </c>
      <c r="G1820" t="s">
        <v>10595</v>
      </c>
      <c r="H1820" t="s">
        <v>937</v>
      </c>
      <c r="J1820" t="s">
        <v>10596</v>
      </c>
      <c r="L1820" t="s">
        <v>142</v>
      </c>
      <c r="M1820" t="s">
        <v>113</v>
      </c>
      <c r="R1820" t="s">
        <v>10597</v>
      </c>
      <c r="W1820" t="s">
        <v>10594</v>
      </c>
      <c r="X1820" t="s">
        <v>136</v>
      </c>
      <c r="Y1820" t="s">
        <v>116</v>
      </c>
      <c r="Z1820" t="s">
        <v>117</v>
      </c>
      <c r="AA1820" t="str">
        <f>"14209-1120"</f>
        <v>14209-1120</v>
      </c>
      <c r="AB1820" t="s">
        <v>118</v>
      </c>
      <c r="AC1820" t="s">
        <v>119</v>
      </c>
      <c r="AD1820" t="s">
        <v>113</v>
      </c>
      <c r="AE1820" t="s">
        <v>120</v>
      </c>
      <c r="AG1820" t="s">
        <v>121</v>
      </c>
    </row>
    <row r="1821" spans="1:33" x14ac:dyDescent="0.25">
      <c r="A1821" t="str">
        <f>"1154632966"</f>
        <v>1154632966</v>
      </c>
      <c r="B1821" t="str">
        <f>"03921299"</f>
        <v>03921299</v>
      </c>
      <c r="C1821" t="s">
        <v>10598</v>
      </c>
      <c r="D1821" t="s">
        <v>10599</v>
      </c>
      <c r="E1821" t="s">
        <v>10600</v>
      </c>
      <c r="G1821" t="s">
        <v>10598</v>
      </c>
      <c r="H1821" t="s">
        <v>10601</v>
      </c>
      <c r="J1821" t="s">
        <v>10602</v>
      </c>
      <c r="L1821" t="s">
        <v>142</v>
      </c>
      <c r="M1821" t="s">
        <v>113</v>
      </c>
      <c r="R1821" t="s">
        <v>10603</v>
      </c>
      <c r="W1821" t="s">
        <v>10600</v>
      </c>
      <c r="X1821" t="s">
        <v>176</v>
      </c>
      <c r="Y1821" t="s">
        <v>116</v>
      </c>
      <c r="Z1821" t="s">
        <v>117</v>
      </c>
      <c r="AA1821" t="str">
        <f>"14203-1126"</f>
        <v>14203-1126</v>
      </c>
      <c r="AB1821" t="s">
        <v>118</v>
      </c>
      <c r="AC1821" t="s">
        <v>119</v>
      </c>
      <c r="AD1821" t="s">
        <v>113</v>
      </c>
      <c r="AE1821" t="s">
        <v>120</v>
      </c>
      <c r="AG1821" t="s">
        <v>121</v>
      </c>
    </row>
    <row r="1822" spans="1:33" x14ac:dyDescent="0.25">
      <c r="A1822" t="str">
        <f>"1154650935"</f>
        <v>1154650935</v>
      </c>
      <c r="B1822" t="str">
        <f>"01705962"</f>
        <v>01705962</v>
      </c>
      <c r="C1822" t="s">
        <v>10604</v>
      </c>
      <c r="D1822" t="s">
        <v>10605</v>
      </c>
      <c r="E1822" t="s">
        <v>10606</v>
      </c>
      <c r="G1822" t="s">
        <v>10604</v>
      </c>
      <c r="H1822" t="s">
        <v>579</v>
      </c>
      <c r="J1822" t="s">
        <v>10607</v>
      </c>
      <c r="L1822" t="s">
        <v>112</v>
      </c>
      <c r="M1822" t="s">
        <v>113</v>
      </c>
      <c r="R1822" t="s">
        <v>10608</v>
      </c>
      <c r="W1822" t="s">
        <v>10606</v>
      </c>
      <c r="X1822" t="s">
        <v>176</v>
      </c>
      <c r="Y1822" t="s">
        <v>116</v>
      </c>
      <c r="Z1822" t="s">
        <v>117</v>
      </c>
      <c r="AA1822" t="str">
        <f>"14203-1126"</f>
        <v>14203-1126</v>
      </c>
      <c r="AB1822" t="s">
        <v>118</v>
      </c>
      <c r="AC1822" t="s">
        <v>119</v>
      </c>
      <c r="AD1822" t="s">
        <v>113</v>
      </c>
      <c r="AE1822" t="s">
        <v>120</v>
      </c>
      <c r="AG1822" t="s">
        <v>121</v>
      </c>
    </row>
    <row r="1823" spans="1:33" x14ac:dyDescent="0.25">
      <c r="A1823" t="str">
        <f>"1154651255"</f>
        <v>1154651255</v>
      </c>
      <c r="B1823" t="str">
        <f>"03585206"</f>
        <v>03585206</v>
      </c>
      <c r="C1823" t="s">
        <v>10609</v>
      </c>
      <c r="D1823" t="s">
        <v>10610</v>
      </c>
      <c r="E1823" t="s">
        <v>10611</v>
      </c>
      <c r="G1823" t="s">
        <v>10612</v>
      </c>
      <c r="H1823" t="s">
        <v>4132</v>
      </c>
      <c r="J1823" t="s">
        <v>10613</v>
      </c>
      <c r="L1823" t="s">
        <v>142</v>
      </c>
      <c r="M1823" t="s">
        <v>113</v>
      </c>
      <c r="R1823" t="s">
        <v>10611</v>
      </c>
      <c r="W1823" t="s">
        <v>10611</v>
      </c>
      <c r="X1823" t="s">
        <v>216</v>
      </c>
      <c r="Y1823" t="s">
        <v>116</v>
      </c>
      <c r="Z1823" t="s">
        <v>117</v>
      </c>
      <c r="AA1823" t="str">
        <f>"14222-2006"</f>
        <v>14222-2006</v>
      </c>
      <c r="AB1823" t="s">
        <v>118</v>
      </c>
      <c r="AC1823" t="s">
        <v>119</v>
      </c>
      <c r="AD1823" t="s">
        <v>113</v>
      </c>
      <c r="AE1823" t="s">
        <v>120</v>
      </c>
      <c r="AG1823" t="s">
        <v>121</v>
      </c>
    </row>
    <row r="1824" spans="1:33" x14ac:dyDescent="0.25">
      <c r="A1824" t="str">
        <f>"1154694651"</f>
        <v>1154694651</v>
      </c>
      <c r="B1824" t="str">
        <f>"03472451"</f>
        <v>03472451</v>
      </c>
      <c r="C1824" t="s">
        <v>10614</v>
      </c>
      <c r="D1824" t="s">
        <v>10615</v>
      </c>
      <c r="E1824" t="s">
        <v>10616</v>
      </c>
      <c r="G1824" t="s">
        <v>10617</v>
      </c>
      <c r="H1824" t="s">
        <v>10618</v>
      </c>
      <c r="J1824" t="s">
        <v>10619</v>
      </c>
      <c r="L1824" t="s">
        <v>112</v>
      </c>
      <c r="M1824" t="s">
        <v>113</v>
      </c>
      <c r="R1824" t="s">
        <v>10620</v>
      </c>
      <c r="W1824" t="s">
        <v>10616</v>
      </c>
      <c r="X1824" t="s">
        <v>1845</v>
      </c>
      <c r="Y1824" t="s">
        <v>816</v>
      </c>
      <c r="Z1824" t="s">
        <v>117</v>
      </c>
      <c r="AA1824" t="str">
        <f>"14120-6150"</f>
        <v>14120-6150</v>
      </c>
      <c r="AB1824" t="s">
        <v>118</v>
      </c>
      <c r="AC1824" t="s">
        <v>119</v>
      </c>
      <c r="AD1824" t="s">
        <v>113</v>
      </c>
      <c r="AE1824" t="s">
        <v>120</v>
      </c>
      <c r="AG1824" t="s">
        <v>121</v>
      </c>
    </row>
    <row r="1825" spans="1:33" x14ac:dyDescent="0.25">
      <c r="A1825" t="str">
        <f>"1154751543"</f>
        <v>1154751543</v>
      </c>
      <c r="C1825" t="s">
        <v>10621</v>
      </c>
      <c r="G1825" t="s">
        <v>10621</v>
      </c>
      <c r="H1825" t="s">
        <v>937</v>
      </c>
      <c r="J1825" t="s">
        <v>10622</v>
      </c>
      <c r="K1825" t="s">
        <v>303</v>
      </c>
      <c r="L1825" t="s">
        <v>229</v>
      </c>
      <c r="M1825" t="s">
        <v>113</v>
      </c>
      <c r="R1825" t="s">
        <v>10623</v>
      </c>
      <c r="S1825" t="s">
        <v>3739</v>
      </c>
      <c r="T1825" t="s">
        <v>240</v>
      </c>
      <c r="U1825" t="s">
        <v>117</v>
      </c>
      <c r="V1825" t="str">
        <f>"142216728"</f>
        <v>142216728</v>
      </c>
      <c r="AC1825" t="s">
        <v>119</v>
      </c>
      <c r="AD1825" t="s">
        <v>113</v>
      </c>
      <c r="AE1825" t="s">
        <v>306</v>
      </c>
      <c r="AG1825" t="s">
        <v>121</v>
      </c>
    </row>
    <row r="1826" spans="1:33" x14ac:dyDescent="0.25">
      <c r="A1826" t="str">
        <f>"1164403770"</f>
        <v>1164403770</v>
      </c>
      <c r="B1826" t="str">
        <f>"01991299"</f>
        <v>01991299</v>
      </c>
      <c r="C1826" t="s">
        <v>10624</v>
      </c>
      <c r="D1826" t="s">
        <v>10625</v>
      </c>
      <c r="E1826" t="s">
        <v>10626</v>
      </c>
      <c r="G1826" t="s">
        <v>10624</v>
      </c>
      <c r="H1826" t="s">
        <v>707</v>
      </c>
      <c r="J1826" t="s">
        <v>10627</v>
      </c>
      <c r="L1826" t="s">
        <v>142</v>
      </c>
      <c r="M1826" t="s">
        <v>113</v>
      </c>
      <c r="R1826" t="s">
        <v>10626</v>
      </c>
      <c r="W1826" t="s">
        <v>10626</v>
      </c>
      <c r="X1826" t="s">
        <v>10628</v>
      </c>
      <c r="Y1826" t="s">
        <v>116</v>
      </c>
      <c r="Z1826" t="s">
        <v>117</v>
      </c>
      <c r="AA1826" t="str">
        <f>"14263-0001"</f>
        <v>14263-0001</v>
      </c>
      <c r="AB1826" t="s">
        <v>118</v>
      </c>
      <c r="AC1826" t="s">
        <v>119</v>
      </c>
      <c r="AD1826" t="s">
        <v>113</v>
      </c>
      <c r="AE1826" t="s">
        <v>120</v>
      </c>
      <c r="AG1826" t="s">
        <v>121</v>
      </c>
    </row>
    <row r="1827" spans="1:33" x14ac:dyDescent="0.25">
      <c r="A1827" t="str">
        <f>"1164420378"</f>
        <v>1164420378</v>
      </c>
      <c r="B1827" t="str">
        <f>"01529473"</f>
        <v>01529473</v>
      </c>
      <c r="C1827" t="s">
        <v>10629</v>
      </c>
      <c r="D1827" t="s">
        <v>10630</v>
      </c>
      <c r="E1827" t="s">
        <v>10631</v>
      </c>
      <c r="G1827" t="s">
        <v>1203</v>
      </c>
      <c r="H1827" t="s">
        <v>1204</v>
      </c>
      <c r="J1827" t="s">
        <v>1205</v>
      </c>
      <c r="L1827" t="s">
        <v>150</v>
      </c>
      <c r="M1827" t="s">
        <v>113</v>
      </c>
      <c r="R1827" t="s">
        <v>10632</v>
      </c>
      <c r="W1827" t="s">
        <v>10631</v>
      </c>
      <c r="X1827" t="s">
        <v>10633</v>
      </c>
      <c r="Y1827" t="s">
        <v>153</v>
      </c>
      <c r="Z1827" t="s">
        <v>117</v>
      </c>
      <c r="AA1827" t="str">
        <f>"14304-5705"</f>
        <v>14304-5705</v>
      </c>
      <c r="AB1827" t="s">
        <v>118</v>
      </c>
      <c r="AC1827" t="s">
        <v>119</v>
      </c>
      <c r="AD1827" t="s">
        <v>113</v>
      </c>
      <c r="AE1827" t="s">
        <v>120</v>
      </c>
      <c r="AG1827" t="s">
        <v>121</v>
      </c>
    </row>
    <row r="1828" spans="1:33" x14ac:dyDescent="0.25">
      <c r="A1828" t="str">
        <f>"1164424552"</f>
        <v>1164424552</v>
      </c>
      <c r="B1828" t="str">
        <f>"02080835"</f>
        <v>02080835</v>
      </c>
      <c r="C1828" t="s">
        <v>10634</v>
      </c>
      <c r="D1828" t="s">
        <v>10635</v>
      </c>
      <c r="E1828" t="s">
        <v>10636</v>
      </c>
      <c r="G1828" t="s">
        <v>330</v>
      </c>
      <c r="H1828" t="s">
        <v>10637</v>
      </c>
      <c r="J1828" t="s">
        <v>332</v>
      </c>
      <c r="L1828" t="s">
        <v>150</v>
      </c>
      <c r="M1828" t="s">
        <v>113</v>
      </c>
      <c r="R1828" t="s">
        <v>10638</v>
      </c>
      <c r="W1828" t="s">
        <v>10636</v>
      </c>
      <c r="X1828" t="s">
        <v>10639</v>
      </c>
      <c r="Y1828" t="s">
        <v>240</v>
      </c>
      <c r="Z1828" t="s">
        <v>117</v>
      </c>
      <c r="AA1828" t="str">
        <f>"14221-5776"</f>
        <v>14221-5776</v>
      </c>
      <c r="AB1828" t="s">
        <v>118</v>
      </c>
      <c r="AC1828" t="s">
        <v>119</v>
      </c>
      <c r="AD1828" t="s">
        <v>113</v>
      </c>
      <c r="AE1828" t="s">
        <v>120</v>
      </c>
      <c r="AG1828" t="s">
        <v>121</v>
      </c>
    </row>
    <row r="1829" spans="1:33" x14ac:dyDescent="0.25">
      <c r="A1829" t="str">
        <f>"1164436978"</f>
        <v>1164436978</v>
      </c>
      <c r="B1829" t="str">
        <f>"02664491"</f>
        <v>02664491</v>
      </c>
      <c r="C1829" t="s">
        <v>10640</v>
      </c>
      <c r="D1829" t="s">
        <v>10641</v>
      </c>
      <c r="E1829" t="s">
        <v>10642</v>
      </c>
      <c r="G1829" t="s">
        <v>10643</v>
      </c>
      <c r="H1829" t="s">
        <v>10644</v>
      </c>
      <c r="J1829" t="s">
        <v>10645</v>
      </c>
      <c r="L1829" t="s">
        <v>112</v>
      </c>
      <c r="M1829" t="s">
        <v>113</v>
      </c>
      <c r="R1829" t="s">
        <v>10646</v>
      </c>
      <c r="W1829" t="s">
        <v>10642</v>
      </c>
      <c r="X1829" t="s">
        <v>511</v>
      </c>
      <c r="Y1829" t="s">
        <v>512</v>
      </c>
      <c r="Z1829" t="s">
        <v>117</v>
      </c>
      <c r="AA1829" t="str">
        <f>"14092-1903"</f>
        <v>14092-1903</v>
      </c>
      <c r="AB1829" t="s">
        <v>118</v>
      </c>
      <c r="AC1829" t="s">
        <v>119</v>
      </c>
      <c r="AD1829" t="s">
        <v>113</v>
      </c>
      <c r="AE1829" t="s">
        <v>120</v>
      </c>
      <c r="AG1829" t="s">
        <v>121</v>
      </c>
    </row>
    <row r="1830" spans="1:33" x14ac:dyDescent="0.25">
      <c r="A1830" t="str">
        <f>"1134203722"</f>
        <v>1134203722</v>
      </c>
      <c r="B1830" t="str">
        <f>"03413605"</f>
        <v>03413605</v>
      </c>
      <c r="C1830" t="s">
        <v>10647</v>
      </c>
      <c r="D1830" t="s">
        <v>10648</v>
      </c>
      <c r="E1830" t="s">
        <v>10649</v>
      </c>
      <c r="G1830" t="s">
        <v>10650</v>
      </c>
      <c r="H1830" t="s">
        <v>227</v>
      </c>
      <c r="J1830" t="s">
        <v>10651</v>
      </c>
      <c r="L1830" t="s">
        <v>142</v>
      </c>
      <c r="M1830" t="s">
        <v>113</v>
      </c>
      <c r="R1830" t="s">
        <v>10652</v>
      </c>
      <c r="W1830" t="s">
        <v>10649</v>
      </c>
      <c r="X1830" t="s">
        <v>10653</v>
      </c>
      <c r="Y1830" t="s">
        <v>8192</v>
      </c>
      <c r="Z1830" t="s">
        <v>117</v>
      </c>
      <c r="AA1830" t="str">
        <f>"10701-4006"</f>
        <v>10701-4006</v>
      </c>
      <c r="AB1830" t="s">
        <v>118</v>
      </c>
      <c r="AC1830" t="s">
        <v>119</v>
      </c>
      <c r="AD1830" t="s">
        <v>113</v>
      </c>
      <c r="AE1830" t="s">
        <v>120</v>
      </c>
      <c r="AG1830" t="s">
        <v>121</v>
      </c>
    </row>
    <row r="1831" spans="1:33" x14ac:dyDescent="0.25">
      <c r="A1831" t="str">
        <f>"1134204050"</f>
        <v>1134204050</v>
      </c>
      <c r="B1831" t="str">
        <f>"03182625"</f>
        <v>03182625</v>
      </c>
      <c r="C1831" t="s">
        <v>10654</v>
      </c>
      <c r="D1831" t="s">
        <v>10655</v>
      </c>
      <c r="E1831" t="s">
        <v>10656</v>
      </c>
      <c r="G1831" t="s">
        <v>10654</v>
      </c>
      <c r="H1831" t="s">
        <v>10657</v>
      </c>
      <c r="J1831" t="s">
        <v>10658</v>
      </c>
      <c r="L1831" t="s">
        <v>142</v>
      </c>
      <c r="M1831" t="s">
        <v>113</v>
      </c>
      <c r="R1831" t="s">
        <v>10656</v>
      </c>
      <c r="W1831" t="s">
        <v>10656</v>
      </c>
      <c r="X1831" t="s">
        <v>136</v>
      </c>
      <c r="Y1831" t="s">
        <v>116</v>
      </c>
      <c r="Z1831" t="s">
        <v>117</v>
      </c>
      <c r="AA1831" t="str">
        <f>"14209-1120"</f>
        <v>14209-1120</v>
      </c>
      <c r="AB1831" t="s">
        <v>118</v>
      </c>
      <c r="AC1831" t="s">
        <v>119</v>
      </c>
      <c r="AD1831" t="s">
        <v>113</v>
      </c>
      <c r="AE1831" t="s">
        <v>120</v>
      </c>
      <c r="AG1831" t="s">
        <v>121</v>
      </c>
    </row>
    <row r="1832" spans="1:33" x14ac:dyDescent="0.25">
      <c r="A1832" t="str">
        <f>"1134207582"</f>
        <v>1134207582</v>
      </c>
      <c r="B1832" t="str">
        <f>"01078317"</f>
        <v>01078317</v>
      </c>
      <c r="C1832" t="s">
        <v>10659</v>
      </c>
      <c r="D1832" t="s">
        <v>10660</v>
      </c>
      <c r="E1832" t="s">
        <v>10661</v>
      </c>
      <c r="G1832" t="s">
        <v>10662</v>
      </c>
      <c r="H1832" t="s">
        <v>213</v>
      </c>
      <c r="J1832" t="s">
        <v>10663</v>
      </c>
      <c r="L1832" t="s">
        <v>142</v>
      </c>
      <c r="M1832" t="s">
        <v>113</v>
      </c>
      <c r="R1832" t="s">
        <v>10664</v>
      </c>
      <c r="W1832" t="s">
        <v>10661</v>
      </c>
      <c r="X1832" t="s">
        <v>216</v>
      </c>
      <c r="Y1832" t="s">
        <v>116</v>
      </c>
      <c r="Z1832" t="s">
        <v>117</v>
      </c>
      <c r="AA1832" t="str">
        <f>"14222-2006"</f>
        <v>14222-2006</v>
      </c>
      <c r="AB1832" t="s">
        <v>118</v>
      </c>
      <c r="AC1832" t="s">
        <v>119</v>
      </c>
      <c r="AD1832" t="s">
        <v>113</v>
      </c>
      <c r="AE1832" t="s">
        <v>120</v>
      </c>
      <c r="AG1832" t="s">
        <v>121</v>
      </c>
    </row>
    <row r="1833" spans="1:33" x14ac:dyDescent="0.25">
      <c r="A1833" t="str">
        <f>"1134210313"</f>
        <v>1134210313</v>
      </c>
      <c r="B1833" t="str">
        <f>"00474846"</f>
        <v>00474846</v>
      </c>
      <c r="C1833" t="s">
        <v>10665</v>
      </c>
      <c r="D1833" t="s">
        <v>10666</v>
      </c>
      <c r="E1833" t="s">
        <v>10667</v>
      </c>
      <c r="H1833" t="s">
        <v>10668</v>
      </c>
      <c r="L1833" t="s">
        <v>1143</v>
      </c>
      <c r="M1833" t="s">
        <v>199</v>
      </c>
      <c r="R1833" t="s">
        <v>10669</v>
      </c>
      <c r="W1833" t="s">
        <v>10667</v>
      </c>
      <c r="X1833" t="s">
        <v>10670</v>
      </c>
      <c r="Y1833" t="s">
        <v>116</v>
      </c>
      <c r="Z1833" t="s">
        <v>117</v>
      </c>
      <c r="AA1833" t="str">
        <f>"14202-3925"</f>
        <v>14202-3925</v>
      </c>
      <c r="AB1833" t="s">
        <v>1146</v>
      </c>
      <c r="AC1833" t="s">
        <v>119</v>
      </c>
      <c r="AD1833" t="s">
        <v>113</v>
      </c>
      <c r="AE1833" t="s">
        <v>120</v>
      </c>
      <c r="AG1833" t="s">
        <v>121</v>
      </c>
    </row>
    <row r="1834" spans="1:33" x14ac:dyDescent="0.25">
      <c r="A1834" t="str">
        <f>"1134237464"</f>
        <v>1134237464</v>
      </c>
      <c r="B1834" t="str">
        <f>"00687334"</f>
        <v>00687334</v>
      </c>
      <c r="C1834" t="s">
        <v>10671</v>
      </c>
      <c r="D1834" t="s">
        <v>10672</v>
      </c>
      <c r="E1834" t="s">
        <v>10673</v>
      </c>
      <c r="G1834" t="s">
        <v>10671</v>
      </c>
      <c r="H1834" t="s">
        <v>250</v>
      </c>
      <c r="J1834" t="s">
        <v>10674</v>
      </c>
      <c r="L1834" t="s">
        <v>142</v>
      </c>
      <c r="M1834" t="s">
        <v>113</v>
      </c>
      <c r="R1834" t="s">
        <v>10675</v>
      </c>
      <c r="W1834" t="s">
        <v>10673</v>
      </c>
      <c r="X1834" t="s">
        <v>4607</v>
      </c>
      <c r="Y1834" t="s">
        <v>116</v>
      </c>
      <c r="Z1834" t="s">
        <v>117</v>
      </c>
      <c r="AA1834" t="str">
        <f>"14215-1145"</f>
        <v>14215-1145</v>
      </c>
      <c r="AB1834" t="s">
        <v>118</v>
      </c>
      <c r="AC1834" t="s">
        <v>119</v>
      </c>
      <c r="AD1834" t="s">
        <v>113</v>
      </c>
      <c r="AE1834" t="s">
        <v>120</v>
      </c>
      <c r="AG1834" t="s">
        <v>121</v>
      </c>
    </row>
    <row r="1835" spans="1:33" x14ac:dyDescent="0.25">
      <c r="A1835" t="str">
        <f>"1134265978"</f>
        <v>1134265978</v>
      </c>
      <c r="B1835" t="str">
        <f>"00854797"</f>
        <v>00854797</v>
      </c>
      <c r="C1835" t="s">
        <v>10676</v>
      </c>
      <c r="D1835" t="s">
        <v>10677</v>
      </c>
      <c r="E1835" t="s">
        <v>10678</v>
      </c>
      <c r="G1835" t="s">
        <v>10676</v>
      </c>
      <c r="H1835" t="s">
        <v>10679</v>
      </c>
      <c r="J1835" t="s">
        <v>10680</v>
      </c>
      <c r="L1835" t="s">
        <v>142</v>
      </c>
      <c r="M1835" t="s">
        <v>113</v>
      </c>
      <c r="R1835" t="s">
        <v>10681</v>
      </c>
      <c r="W1835" t="s">
        <v>10678</v>
      </c>
      <c r="X1835" t="s">
        <v>10682</v>
      </c>
      <c r="Y1835" t="s">
        <v>1168</v>
      </c>
      <c r="Z1835" t="s">
        <v>117</v>
      </c>
      <c r="AA1835" t="str">
        <f>"14004-1233"</f>
        <v>14004-1233</v>
      </c>
      <c r="AB1835" t="s">
        <v>1755</v>
      </c>
      <c r="AC1835" t="s">
        <v>119</v>
      </c>
      <c r="AD1835" t="s">
        <v>113</v>
      </c>
      <c r="AE1835" t="s">
        <v>120</v>
      </c>
      <c r="AG1835" t="s">
        <v>121</v>
      </c>
    </row>
    <row r="1836" spans="1:33" x14ac:dyDescent="0.25">
      <c r="A1836" t="str">
        <f>"1134279854"</f>
        <v>1134279854</v>
      </c>
      <c r="B1836" t="str">
        <f>"01965282"</f>
        <v>01965282</v>
      </c>
      <c r="C1836" t="s">
        <v>10683</v>
      </c>
      <c r="D1836" t="s">
        <v>10684</v>
      </c>
      <c r="E1836" t="s">
        <v>10685</v>
      </c>
      <c r="G1836" t="s">
        <v>10686</v>
      </c>
      <c r="H1836" t="s">
        <v>6106</v>
      </c>
      <c r="J1836" t="s">
        <v>10687</v>
      </c>
      <c r="L1836" t="s">
        <v>1033</v>
      </c>
      <c r="M1836" t="s">
        <v>113</v>
      </c>
      <c r="R1836" t="s">
        <v>10688</v>
      </c>
      <c r="W1836" t="s">
        <v>10689</v>
      </c>
      <c r="X1836" t="s">
        <v>8065</v>
      </c>
      <c r="Y1836" t="s">
        <v>663</v>
      </c>
      <c r="Z1836" t="s">
        <v>117</v>
      </c>
      <c r="AA1836" t="str">
        <f>"14094-1854"</f>
        <v>14094-1854</v>
      </c>
      <c r="AB1836" t="s">
        <v>621</v>
      </c>
      <c r="AC1836" t="s">
        <v>119</v>
      </c>
      <c r="AD1836" t="s">
        <v>113</v>
      </c>
      <c r="AE1836" t="s">
        <v>120</v>
      </c>
      <c r="AG1836" t="s">
        <v>121</v>
      </c>
    </row>
    <row r="1837" spans="1:33" x14ac:dyDescent="0.25">
      <c r="A1837" t="str">
        <f>"1134288640"</f>
        <v>1134288640</v>
      </c>
      <c r="B1837" t="str">
        <f>"00594078"</f>
        <v>00594078</v>
      </c>
      <c r="C1837" t="s">
        <v>10690</v>
      </c>
      <c r="D1837" t="s">
        <v>10691</v>
      </c>
      <c r="E1837" t="s">
        <v>10692</v>
      </c>
      <c r="L1837" t="s">
        <v>20</v>
      </c>
      <c r="M1837" t="s">
        <v>113</v>
      </c>
      <c r="R1837" t="s">
        <v>10690</v>
      </c>
      <c r="W1837" t="s">
        <v>10692</v>
      </c>
      <c r="X1837" t="s">
        <v>10693</v>
      </c>
      <c r="Y1837" t="s">
        <v>153</v>
      </c>
      <c r="Z1837" t="s">
        <v>117</v>
      </c>
      <c r="AA1837" t="str">
        <f>"14305-2608"</f>
        <v>14305-2608</v>
      </c>
      <c r="AB1837" t="s">
        <v>5777</v>
      </c>
      <c r="AC1837" t="s">
        <v>119</v>
      </c>
      <c r="AD1837" t="s">
        <v>113</v>
      </c>
      <c r="AE1837" t="s">
        <v>120</v>
      </c>
      <c r="AG1837" t="s">
        <v>121</v>
      </c>
    </row>
    <row r="1838" spans="1:33" x14ac:dyDescent="0.25">
      <c r="A1838" t="str">
        <f>"1114343746"</f>
        <v>1114343746</v>
      </c>
      <c r="B1838" t="str">
        <f>"03809345"</f>
        <v>03809345</v>
      </c>
      <c r="C1838" t="s">
        <v>10694</v>
      </c>
      <c r="D1838" t="s">
        <v>10695</v>
      </c>
      <c r="E1838" t="s">
        <v>10696</v>
      </c>
      <c r="G1838" t="s">
        <v>10697</v>
      </c>
      <c r="H1838" t="s">
        <v>2347</v>
      </c>
      <c r="J1838" t="s">
        <v>10698</v>
      </c>
      <c r="L1838" t="s">
        <v>142</v>
      </c>
      <c r="M1838" t="s">
        <v>113</v>
      </c>
      <c r="R1838" t="s">
        <v>10699</v>
      </c>
      <c r="W1838" t="s">
        <v>10696</v>
      </c>
      <c r="X1838" t="s">
        <v>10700</v>
      </c>
      <c r="Y1838" t="s">
        <v>240</v>
      </c>
      <c r="Z1838" t="s">
        <v>117</v>
      </c>
      <c r="AA1838" t="str">
        <f>"14221-3647"</f>
        <v>14221-3647</v>
      </c>
      <c r="AB1838" t="s">
        <v>118</v>
      </c>
      <c r="AC1838" t="s">
        <v>119</v>
      </c>
      <c r="AD1838" t="s">
        <v>113</v>
      </c>
      <c r="AE1838" t="s">
        <v>120</v>
      </c>
      <c r="AG1838" t="s">
        <v>121</v>
      </c>
    </row>
    <row r="1839" spans="1:33" x14ac:dyDescent="0.25">
      <c r="A1839" t="str">
        <f>"1114346152"</f>
        <v>1114346152</v>
      </c>
      <c r="C1839" t="s">
        <v>10701</v>
      </c>
      <c r="G1839" t="s">
        <v>10702</v>
      </c>
      <c r="H1839" t="s">
        <v>351</v>
      </c>
      <c r="J1839" t="s">
        <v>352</v>
      </c>
      <c r="K1839" t="s">
        <v>303</v>
      </c>
      <c r="L1839" t="s">
        <v>229</v>
      </c>
      <c r="M1839" t="s">
        <v>113</v>
      </c>
      <c r="R1839" t="s">
        <v>10703</v>
      </c>
      <c r="S1839" t="s">
        <v>354</v>
      </c>
      <c r="T1839" t="s">
        <v>116</v>
      </c>
      <c r="U1839" t="s">
        <v>117</v>
      </c>
      <c r="V1839" t="str">
        <f>"142152814"</f>
        <v>142152814</v>
      </c>
      <c r="AC1839" t="s">
        <v>119</v>
      </c>
      <c r="AD1839" t="s">
        <v>113</v>
      </c>
      <c r="AE1839" t="s">
        <v>306</v>
      </c>
      <c r="AG1839" t="s">
        <v>121</v>
      </c>
    </row>
    <row r="1840" spans="1:33" x14ac:dyDescent="0.25">
      <c r="A1840" t="str">
        <f>"1114364882"</f>
        <v>1114364882</v>
      </c>
      <c r="C1840" t="s">
        <v>10704</v>
      </c>
      <c r="G1840" t="s">
        <v>10705</v>
      </c>
      <c r="H1840" t="s">
        <v>351</v>
      </c>
      <c r="J1840" t="s">
        <v>352</v>
      </c>
      <c r="K1840" t="s">
        <v>303</v>
      </c>
      <c r="L1840" t="s">
        <v>229</v>
      </c>
      <c r="M1840" t="s">
        <v>113</v>
      </c>
      <c r="R1840" t="s">
        <v>10706</v>
      </c>
      <c r="S1840" t="s">
        <v>354</v>
      </c>
      <c r="T1840" t="s">
        <v>116</v>
      </c>
      <c r="U1840" t="s">
        <v>117</v>
      </c>
      <c r="V1840" t="str">
        <f>"142152814"</f>
        <v>142152814</v>
      </c>
      <c r="AC1840" t="s">
        <v>119</v>
      </c>
      <c r="AD1840" t="s">
        <v>113</v>
      </c>
      <c r="AE1840" t="s">
        <v>306</v>
      </c>
      <c r="AG1840" t="s">
        <v>121</v>
      </c>
    </row>
    <row r="1841" spans="1:33" x14ac:dyDescent="0.25">
      <c r="A1841" t="str">
        <f>"1669568937"</f>
        <v>1669568937</v>
      </c>
      <c r="B1841" t="str">
        <f>"00382403"</f>
        <v>00382403</v>
      </c>
      <c r="C1841" t="s">
        <v>10707</v>
      </c>
      <c r="D1841" t="s">
        <v>10708</v>
      </c>
      <c r="E1841" t="s">
        <v>10709</v>
      </c>
      <c r="H1841" t="s">
        <v>10710</v>
      </c>
      <c r="L1841" t="s">
        <v>1143</v>
      </c>
      <c r="M1841" t="s">
        <v>199</v>
      </c>
      <c r="R1841" t="s">
        <v>10707</v>
      </c>
      <c r="W1841" t="s">
        <v>10709</v>
      </c>
      <c r="X1841" t="s">
        <v>10711</v>
      </c>
      <c r="Y1841" t="s">
        <v>2762</v>
      </c>
      <c r="Z1841" t="s">
        <v>117</v>
      </c>
      <c r="AA1841" t="str">
        <f>"14605-2929"</f>
        <v>14605-2929</v>
      </c>
      <c r="AB1841" t="s">
        <v>1146</v>
      </c>
      <c r="AC1841" t="s">
        <v>119</v>
      </c>
      <c r="AD1841" t="s">
        <v>113</v>
      </c>
      <c r="AE1841" t="s">
        <v>120</v>
      </c>
      <c r="AG1841" t="s">
        <v>121</v>
      </c>
    </row>
    <row r="1842" spans="1:33" x14ac:dyDescent="0.25">
      <c r="A1842" t="str">
        <f>"1669579249"</f>
        <v>1669579249</v>
      </c>
      <c r="B1842" t="str">
        <f>"02798612"</f>
        <v>02798612</v>
      </c>
      <c r="C1842" t="s">
        <v>10712</v>
      </c>
      <c r="D1842" t="s">
        <v>10713</v>
      </c>
      <c r="E1842" t="s">
        <v>10714</v>
      </c>
      <c r="G1842" t="s">
        <v>10712</v>
      </c>
      <c r="H1842" t="s">
        <v>10715</v>
      </c>
      <c r="J1842" t="s">
        <v>10716</v>
      </c>
      <c r="L1842" t="s">
        <v>142</v>
      </c>
      <c r="M1842" t="s">
        <v>113</v>
      </c>
      <c r="R1842" t="s">
        <v>10717</v>
      </c>
      <c r="W1842" t="s">
        <v>10714</v>
      </c>
      <c r="X1842" t="s">
        <v>10718</v>
      </c>
      <c r="Y1842" t="s">
        <v>10719</v>
      </c>
      <c r="Z1842" t="s">
        <v>117</v>
      </c>
      <c r="AA1842" t="str">
        <f>"11542-2254"</f>
        <v>11542-2254</v>
      </c>
      <c r="AB1842" t="s">
        <v>118</v>
      </c>
      <c r="AC1842" t="s">
        <v>119</v>
      </c>
      <c r="AD1842" t="s">
        <v>113</v>
      </c>
      <c r="AE1842" t="s">
        <v>120</v>
      </c>
      <c r="AG1842" t="s">
        <v>121</v>
      </c>
    </row>
    <row r="1843" spans="1:33" x14ac:dyDescent="0.25">
      <c r="A1843" t="str">
        <f>"1669632634"</f>
        <v>1669632634</v>
      </c>
      <c r="B1843" t="str">
        <f>"03645663"</f>
        <v>03645663</v>
      </c>
      <c r="C1843" t="s">
        <v>10720</v>
      </c>
      <c r="D1843" t="s">
        <v>10721</v>
      </c>
      <c r="E1843" t="s">
        <v>10722</v>
      </c>
      <c r="G1843" t="s">
        <v>10720</v>
      </c>
      <c r="J1843" t="s">
        <v>10723</v>
      </c>
      <c r="L1843" t="s">
        <v>142</v>
      </c>
      <c r="M1843" t="s">
        <v>113</v>
      </c>
      <c r="R1843" t="s">
        <v>10724</v>
      </c>
      <c r="W1843" t="s">
        <v>10722</v>
      </c>
      <c r="X1843" t="s">
        <v>838</v>
      </c>
      <c r="Y1843" t="s">
        <v>240</v>
      </c>
      <c r="Z1843" t="s">
        <v>117</v>
      </c>
      <c r="AA1843" t="str">
        <f>"14221-3647"</f>
        <v>14221-3647</v>
      </c>
      <c r="AB1843" t="s">
        <v>118</v>
      </c>
      <c r="AC1843" t="s">
        <v>119</v>
      </c>
      <c r="AD1843" t="s">
        <v>113</v>
      </c>
      <c r="AE1843" t="s">
        <v>120</v>
      </c>
      <c r="AG1843" t="s">
        <v>121</v>
      </c>
    </row>
    <row r="1844" spans="1:33" x14ac:dyDescent="0.25">
      <c r="A1844" t="str">
        <f>"1669636460"</f>
        <v>1669636460</v>
      </c>
      <c r="B1844" t="str">
        <f>"03095383"</f>
        <v>03095383</v>
      </c>
      <c r="C1844" t="s">
        <v>10725</v>
      </c>
      <c r="D1844" t="s">
        <v>10726</v>
      </c>
      <c r="E1844" t="s">
        <v>10727</v>
      </c>
      <c r="G1844" t="s">
        <v>10725</v>
      </c>
      <c r="H1844" t="s">
        <v>2347</v>
      </c>
      <c r="J1844" t="s">
        <v>10728</v>
      </c>
      <c r="L1844" t="s">
        <v>142</v>
      </c>
      <c r="M1844" t="s">
        <v>113</v>
      </c>
      <c r="R1844" t="s">
        <v>10729</v>
      </c>
      <c r="W1844" t="s">
        <v>10730</v>
      </c>
      <c r="X1844" t="s">
        <v>152</v>
      </c>
      <c r="Y1844" t="s">
        <v>153</v>
      </c>
      <c r="Z1844" t="s">
        <v>117</v>
      </c>
      <c r="AA1844" t="str">
        <f>"14301-1813"</f>
        <v>14301-1813</v>
      </c>
      <c r="AB1844" t="s">
        <v>118</v>
      </c>
      <c r="AC1844" t="s">
        <v>119</v>
      </c>
      <c r="AD1844" t="s">
        <v>113</v>
      </c>
      <c r="AE1844" t="s">
        <v>120</v>
      </c>
      <c r="AG1844" t="s">
        <v>121</v>
      </c>
    </row>
    <row r="1845" spans="1:33" x14ac:dyDescent="0.25">
      <c r="A1845" t="str">
        <f>"1669653952"</f>
        <v>1669653952</v>
      </c>
      <c r="B1845" t="str">
        <f>"03295470"</f>
        <v>03295470</v>
      </c>
      <c r="C1845" t="s">
        <v>10731</v>
      </c>
      <c r="D1845" t="s">
        <v>10732</v>
      </c>
      <c r="E1845" t="s">
        <v>10733</v>
      </c>
      <c r="G1845" t="s">
        <v>10734</v>
      </c>
      <c r="H1845" t="s">
        <v>7148</v>
      </c>
      <c r="L1845" t="s">
        <v>1033</v>
      </c>
      <c r="M1845" t="s">
        <v>113</v>
      </c>
      <c r="R1845" t="s">
        <v>10734</v>
      </c>
      <c r="W1845" t="s">
        <v>10733</v>
      </c>
      <c r="X1845" t="s">
        <v>7149</v>
      </c>
      <c r="Y1845" t="s">
        <v>986</v>
      </c>
      <c r="Z1845" t="s">
        <v>117</v>
      </c>
      <c r="AA1845" t="str">
        <f>"14701-6413"</f>
        <v>14701-6413</v>
      </c>
      <c r="AB1845" t="s">
        <v>118</v>
      </c>
      <c r="AC1845" t="s">
        <v>119</v>
      </c>
      <c r="AD1845" t="s">
        <v>113</v>
      </c>
      <c r="AE1845" t="s">
        <v>120</v>
      </c>
      <c r="AG1845" t="s">
        <v>121</v>
      </c>
    </row>
    <row r="1846" spans="1:33" x14ac:dyDescent="0.25">
      <c r="A1846" t="str">
        <f>"1669659322"</f>
        <v>1669659322</v>
      </c>
      <c r="B1846" t="str">
        <f>"03110336"</f>
        <v>03110336</v>
      </c>
      <c r="C1846" t="s">
        <v>10735</v>
      </c>
      <c r="D1846" t="s">
        <v>10736</v>
      </c>
      <c r="E1846" t="s">
        <v>10737</v>
      </c>
      <c r="G1846" t="s">
        <v>10735</v>
      </c>
      <c r="H1846" t="s">
        <v>205</v>
      </c>
      <c r="J1846" t="s">
        <v>10738</v>
      </c>
      <c r="L1846" t="s">
        <v>142</v>
      </c>
      <c r="M1846" t="s">
        <v>113</v>
      </c>
      <c r="R1846" t="s">
        <v>10739</v>
      </c>
      <c r="W1846" t="s">
        <v>10737</v>
      </c>
      <c r="X1846" t="s">
        <v>253</v>
      </c>
      <c r="Y1846" t="s">
        <v>116</v>
      </c>
      <c r="Z1846" t="s">
        <v>117</v>
      </c>
      <c r="AA1846" t="str">
        <f>"14215-3021"</f>
        <v>14215-3021</v>
      </c>
      <c r="AB1846" t="s">
        <v>118</v>
      </c>
      <c r="AC1846" t="s">
        <v>119</v>
      </c>
      <c r="AD1846" t="s">
        <v>113</v>
      </c>
      <c r="AE1846" t="s">
        <v>120</v>
      </c>
      <c r="AG1846" t="s">
        <v>121</v>
      </c>
    </row>
    <row r="1847" spans="1:33" x14ac:dyDescent="0.25">
      <c r="A1847" t="str">
        <f>"1669674651"</f>
        <v>1669674651</v>
      </c>
      <c r="B1847" t="str">
        <f>"03302105"</f>
        <v>03302105</v>
      </c>
      <c r="C1847" t="s">
        <v>10740</v>
      </c>
      <c r="D1847" t="s">
        <v>10741</v>
      </c>
      <c r="E1847" t="s">
        <v>10742</v>
      </c>
      <c r="G1847" t="s">
        <v>10740</v>
      </c>
      <c r="H1847" t="s">
        <v>227</v>
      </c>
      <c r="J1847" t="s">
        <v>10743</v>
      </c>
      <c r="L1847" t="s">
        <v>142</v>
      </c>
      <c r="M1847" t="s">
        <v>113</v>
      </c>
      <c r="R1847" t="s">
        <v>10742</v>
      </c>
      <c r="W1847" t="s">
        <v>10742</v>
      </c>
      <c r="X1847" t="s">
        <v>2317</v>
      </c>
      <c r="Y1847" t="s">
        <v>2318</v>
      </c>
      <c r="Z1847" t="s">
        <v>117</v>
      </c>
      <c r="AA1847" t="str">
        <f>"11706-8408"</f>
        <v>11706-8408</v>
      </c>
      <c r="AB1847" t="s">
        <v>118</v>
      </c>
      <c r="AC1847" t="s">
        <v>119</v>
      </c>
      <c r="AD1847" t="s">
        <v>113</v>
      </c>
      <c r="AE1847" t="s">
        <v>120</v>
      </c>
      <c r="AG1847" t="s">
        <v>121</v>
      </c>
    </row>
    <row r="1848" spans="1:33" x14ac:dyDescent="0.25">
      <c r="A1848" t="str">
        <f>"1669680039"</f>
        <v>1669680039</v>
      </c>
      <c r="B1848" t="str">
        <f>"02892657"</f>
        <v>02892657</v>
      </c>
      <c r="C1848" t="s">
        <v>10744</v>
      </c>
      <c r="D1848" t="s">
        <v>10745</v>
      </c>
      <c r="E1848" t="s">
        <v>10746</v>
      </c>
      <c r="G1848" t="s">
        <v>10747</v>
      </c>
      <c r="H1848" t="s">
        <v>10748</v>
      </c>
      <c r="J1848" t="s">
        <v>10749</v>
      </c>
      <c r="L1848" t="s">
        <v>112</v>
      </c>
      <c r="M1848" t="s">
        <v>113</v>
      </c>
      <c r="R1848" t="s">
        <v>10750</v>
      </c>
      <c r="W1848" t="s">
        <v>10746</v>
      </c>
      <c r="X1848" t="s">
        <v>176</v>
      </c>
      <c r="Y1848" t="s">
        <v>116</v>
      </c>
      <c r="Z1848" t="s">
        <v>117</v>
      </c>
      <c r="AA1848" t="str">
        <f>"14203-1126"</f>
        <v>14203-1126</v>
      </c>
      <c r="AB1848" t="s">
        <v>118</v>
      </c>
      <c r="AC1848" t="s">
        <v>119</v>
      </c>
      <c r="AD1848" t="s">
        <v>113</v>
      </c>
      <c r="AE1848" t="s">
        <v>120</v>
      </c>
      <c r="AG1848" t="s">
        <v>121</v>
      </c>
    </row>
    <row r="1849" spans="1:33" x14ac:dyDescent="0.25">
      <c r="A1849" t="str">
        <f>"1669695391"</f>
        <v>1669695391</v>
      </c>
      <c r="B1849" t="str">
        <f>"03007009"</f>
        <v>03007009</v>
      </c>
      <c r="C1849" t="s">
        <v>1453</v>
      </c>
      <c r="D1849" t="s">
        <v>9566</v>
      </c>
      <c r="E1849" t="s">
        <v>9567</v>
      </c>
      <c r="G1849" t="s">
        <v>10751</v>
      </c>
      <c r="H1849" t="s">
        <v>1456</v>
      </c>
      <c r="J1849" t="s">
        <v>10752</v>
      </c>
      <c r="L1849" t="s">
        <v>1714</v>
      </c>
      <c r="M1849" t="s">
        <v>113</v>
      </c>
      <c r="R1849" t="s">
        <v>1453</v>
      </c>
      <c r="W1849" t="s">
        <v>9567</v>
      </c>
      <c r="X1849" t="s">
        <v>10753</v>
      </c>
      <c r="Y1849" t="s">
        <v>1545</v>
      </c>
      <c r="Z1849" t="s">
        <v>117</v>
      </c>
      <c r="AA1849" t="str">
        <f>"14218-1435"</f>
        <v>14218-1435</v>
      </c>
      <c r="AB1849" t="s">
        <v>1146</v>
      </c>
      <c r="AC1849" t="s">
        <v>119</v>
      </c>
      <c r="AD1849" t="s">
        <v>113</v>
      </c>
      <c r="AE1849" t="s">
        <v>120</v>
      </c>
      <c r="AG1849" t="s">
        <v>121</v>
      </c>
    </row>
    <row r="1850" spans="1:33" x14ac:dyDescent="0.25">
      <c r="A1850" t="str">
        <f>"1669700209"</f>
        <v>1669700209</v>
      </c>
      <c r="B1850" t="str">
        <f>"03180623"</f>
        <v>03180623</v>
      </c>
      <c r="C1850" t="s">
        <v>10754</v>
      </c>
      <c r="D1850" t="s">
        <v>10755</v>
      </c>
      <c r="E1850" t="s">
        <v>10756</v>
      </c>
      <c r="G1850" t="s">
        <v>10754</v>
      </c>
      <c r="H1850" t="s">
        <v>1525</v>
      </c>
      <c r="J1850" t="s">
        <v>10757</v>
      </c>
      <c r="L1850" t="s">
        <v>142</v>
      </c>
      <c r="M1850" t="s">
        <v>113</v>
      </c>
      <c r="R1850" t="s">
        <v>10758</v>
      </c>
      <c r="W1850" t="s">
        <v>10759</v>
      </c>
      <c r="X1850" t="s">
        <v>966</v>
      </c>
      <c r="Y1850" t="s">
        <v>116</v>
      </c>
      <c r="Z1850" t="s">
        <v>117</v>
      </c>
      <c r="AA1850" t="str">
        <f>"14207-1816"</f>
        <v>14207-1816</v>
      </c>
      <c r="AB1850" t="s">
        <v>118</v>
      </c>
      <c r="AC1850" t="s">
        <v>119</v>
      </c>
      <c r="AD1850" t="s">
        <v>113</v>
      </c>
      <c r="AE1850" t="s">
        <v>120</v>
      </c>
      <c r="AG1850" t="s">
        <v>121</v>
      </c>
    </row>
    <row r="1851" spans="1:33" x14ac:dyDescent="0.25">
      <c r="A1851" t="str">
        <f>"1669752473"</f>
        <v>1669752473</v>
      </c>
      <c r="C1851" t="s">
        <v>10760</v>
      </c>
      <c r="G1851" t="s">
        <v>10761</v>
      </c>
      <c r="H1851" t="s">
        <v>351</v>
      </c>
      <c r="J1851" t="s">
        <v>352</v>
      </c>
      <c r="K1851" t="s">
        <v>303</v>
      </c>
      <c r="L1851" t="s">
        <v>229</v>
      </c>
      <c r="M1851" t="s">
        <v>113</v>
      </c>
      <c r="R1851" t="s">
        <v>10762</v>
      </c>
      <c r="S1851" t="s">
        <v>8308</v>
      </c>
      <c r="T1851" t="s">
        <v>116</v>
      </c>
      <c r="U1851" t="s">
        <v>117</v>
      </c>
      <c r="V1851" t="str">
        <f>"142132116"</f>
        <v>142132116</v>
      </c>
      <c r="AC1851" t="s">
        <v>119</v>
      </c>
      <c r="AD1851" t="s">
        <v>113</v>
      </c>
      <c r="AE1851" t="s">
        <v>306</v>
      </c>
      <c r="AG1851" t="s">
        <v>121</v>
      </c>
    </row>
    <row r="1852" spans="1:33" x14ac:dyDescent="0.25">
      <c r="A1852" t="str">
        <f>"1669766846"</f>
        <v>1669766846</v>
      </c>
      <c r="B1852" t="str">
        <f>"03476639"</f>
        <v>03476639</v>
      </c>
      <c r="C1852" t="s">
        <v>10763</v>
      </c>
      <c r="D1852" t="s">
        <v>10764</v>
      </c>
      <c r="E1852" t="s">
        <v>10765</v>
      </c>
      <c r="G1852" t="s">
        <v>10763</v>
      </c>
      <c r="H1852" t="s">
        <v>707</v>
      </c>
      <c r="J1852" t="s">
        <v>10766</v>
      </c>
      <c r="L1852" t="s">
        <v>142</v>
      </c>
      <c r="M1852" t="s">
        <v>113</v>
      </c>
      <c r="R1852" t="s">
        <v>10767</v>
      </c>
      <c r="W1852" t="s">
        <v>10768</v>
      </c>
      <c r="X1852" t="s">
        <v>709</v>
      </c>
      <c r="Y1852" t="s">
        <v>116</v>
      </c>
      <c r="Z1852" t="s">
        <v>117</v>
      </c>
      <c r="AA1852" t="str">
        <f>"14263-0001"</f>
        <v>14263-0001</v>
      </c>
      <c r="AB1852" t="s">
        <v>634</v>
      </c>
      <c r="AC1852" t="s">
        <v>119</v>
      </c>
      <c r="AD1852" t="s">
        <v>113</v>
      </c>
      <c r="AE1852" t="s">
        <v>120</v>
      </c>
      <c r="AG1852" t="s">
        <v>121</v>
      </c>
    </row>
    <row r="1853" spans="1:33" x14ac:dyDescent="0.25">
      <c r="A1853" t="str">
        <f>"1669817235"</f>
        <v>1669817235</v>
      </c>
      <c r="C1853" t="s">
        <v>10769</v>
      </c>
      <c r="G1853" t="s">
        <v>10770</v>
      </c>
      <c r="H1853" t="s">
        <v>351</v>
      </c>
      <c r="J1853" t="s">
        <v>352</v>
      </c>
      <c r="K1853" t="s">
        <v>303</v>
      </c>
      <c r="L1853" t="s">
        <v>229</v>
      </c>
      <c r="M1853" t="s">
        <v>113</v>
      </c>
      <c r="R1853" t="s">
        <v>10771</v>
      </c>
      <c r="S1853" t="s">
        <v>2800</v>
      </c>
      <c r="T1853" t="s">
        <v>318</v>
      </c>
      <c r="U1853" t="s">
        <v>117</v>
      </c>
      <c r="V1853" t="str">
        <f>"142254985"</f>
        <v>142254985</v>
      </c>
      <c r="AC1853" t="s">
        <v>119</v>
      </c>
      <c r="AD1853" t="s">
        <v>113</v>
      </c>
      <c r="AE1853" t="s">
        <v>306</v>
      </c>
      <c r="AG1853" t="s">
        <v>121</v>
      </c>
    </row>
    <row r="1854" spans="1:33" x14ac:dyDescent="0.25">
      <c r="A1854" t="str">
        <f>"1043517303"</f>
        <v>1043517303</v>
      </c>
      <c r="C1854" t="s">
        <v>10772</v>
      </c>
      <c r="G1854" t="s">
        <v>10773</v>
      </c>
      <c r="H1854" t="s">
        <v>471</v>
      </c>
      <c r="J1854" t="s">
        <v>10774</v>
      </c>
      <c r="K1854" t="s">
        <v>303</v>
      </c>
      <c r="L1854" t="s">
        <v>112</v>
      </c>
      <c r="M1854" t="s">
        <v>113</v>
      </c>
      <c r="R1854" t="s">
        <v>10775</v>
      </c>
      <c r="S1854" t="s">
        <v>317</v>
      </c>
      <c r="T1854" t="s">
        <v>318</v>
      </c>
      <c r="U1854" t="s">
        <v>117</v>
      </c>
      <c r="V1854" t="str">
        <f>"142251950"</f>
        <v>142251950</v>
      </c>
      <c r="AC1854" t="s">
        <v>119</v>
      </c>
      <c r="AD1854" t="s">
        <v>113</v>
      </c>
      <c r="AE1854" t="s">
        <v>306</v>
      </c>
      <c r="AG1854" t="s">
        <v>121</v>
      </c>
    </row>
    <row r="1855" spans="1:33" x14ac:dyDescent="0.25">
      <c r="A1855" t="str">
        <f>"1043521586"</f>
        <v>1043521586</v>
      </c>
      <c r="C1855" t="s">
        <v>10776</v>
      </c>
      <c r="G1855" t="s">
        <v>10777</v>
      </c>
      <c r="H1855" t="s">
        <v>351</v>
      </c>
      <c r="J1855" t="s">
        <v>352</v>
      </c>
      <c r="K1855" t="s">
        <v>303</v>
      </c>
      <c r="L1855" t="s">
        <v>229</v>
      </c>
      <c r="M1855" t="s">
        <v>113</v>
      </c>
      <c r="R1855" t="s">
        <v>10778</v>
      </c>
      <c r="S1855" t="s">
        <v>1922</v>
      </c>
      <c r="T1855" t="s">
        <v>268</v>
      </c>
      <c r="U1855" t="s">
        <v>117</v>
      </c>
      <c r="V1855" t="str">
        <f>"141508441"</f>
        <v>141508441</v>
      </c>
      <c r="AC1855" t="s">
        <v>119</v>
      </c>
      <c r="AD1855" t="s">
        <v>113</v>
      </c>
      <c r="AE1855" t="s">
        <v>306</v>
      </c>
      <c r="AG1855" t="s">
        <v>121</v>
      </c>
    </row>
    <row r="1856" spans="1:33" x14ac:dyDescent="0.25">
      <c r="A1856" t="str">
        <f>"1043525124"</f>
        <v>1043525124</v>
      </c>
      <c r="C1856" t="s">
        <v>10779</v>
      </c>
      <c r="G1856" t="s">
        <v>10780</v>
      </c>
      <c r="H1856" t="s">
        <v>471</v>
      </c>
      <c r="J1856" t="s">
        <v>10781</v>
      </c>
      <c r="K1856" t="s">
        <v>303</v>
      </c>
      <c r="L1856" t="s">
        <v>112</v>
      </c>
      <c r="M1856" t="s">
        <v>113</v>
      </c>
      <c r="R1856" t="s">
        <v>10782</v>
      </c>
      <c r="S1856" t="s">
        <v>474</v>
      </c>
      <c r="T1856" t="s">
        <v>116</v>
      </c>
      <c r="U1856" t="s">
        <v>117</v>
      </c>
      <c r="V1856" t="str">
        <f>"142141316"</f>
        <v>142141316</v>
      </c>
      <c r="AC1856" t="s">
        <v>119</v>
      </c>
      <c r="AD1856" t="s">
        <v>113</v>
      </c>
      <c r="AE1856" t="s">
        <v>306</v>
      </c>
      <c r="AG1856" t="s">
        <v>121</v>
      </c>
    </row>
    <row r="1857" spans="1:33" x14ac:dyDescent="0.25">
      <c r="A1857" t="str">
        <f>"1043526437"</f>
        <v>1043526437</v>
      </c>
      <c r="B1857" t="str">
        <f>"04219889"</f>
        <v>04219889</v>
      </c>
      <c r="C1857" t="s">
        <v>10783</v>
      </c>
      <c r="D1857" t="s">
        <v>10784</v>
      </c>
      <c r="E1857" t="s">
        <v>10785</v>
      </c>
      <c r="G1857" t="s">
        <v>10786</v>
      </c>
      <c r="H1857" t="s">
        <v>10787</v>
      </c>
      <c r="J1857" t="s">
        <v>10788</v>
      </c>
      <c r="L1857" t="s">
        <v>112</v>
      </c>
      <c r="M1857" t="s">
        <v>113</v>
      </c>
      <c r="R1857" t="s">
        <v>10789</v>
      </c>
      <c r="W1857" t="s">
        <v>10785</v>
      </c>
      <c r="X1857" t="s">
        <v>253</v>
      </c>
      <c r="Y1857" t="s">
        <v>116</v>
      </c>
      <c r="Z1857" t="s">
        <v>117</v>
      </c>
      <c r="AA1857" t="str">
        <f>"14215-3021"</f>
        <v>14215-3021</v>
      </c>
      <c r="AB1857" t="s">
        <v>634</v>
      </c>
      <c r="AC1857" t="s">
        <v>119</v>
      </c>
      <c r="AD1857" t="s">
        <v>113</v>
      </c>
      <c r="AE1857" t="s">
        <v>120</v>
      </c>
      <c r="AG1857" t="s">
        <v>121</v>
      </c>
    </row>
    <row r="1858" spans="1:33" x14ac:dyDescent="0.25">
      <c r="A1858" t="str">
        <f>"1043532377"</f>
        <v>1043532377</v>
      </c>
      <c r="B1858" t="str">
        <f>"03534681"</f>
        <v>03534681</v>
      </c>
      <c r="C1858" t="s">
        <v>10790</v>
      </c>
      <c r="D1858" t="s">
        <v>10791</v>
      </c>
      <c r="E1858" t="s">
        <v>10792</v>
      </c>
      <c r="G1858" t="s">
        <v>10790</v>
      </c>
      <c r="H1858" t="s">
        <v>10793</v>
      </c>
      <c r="J1858" t="s">
        <v>10794</v>
      </c>
      <c r="L1858" t="s">
        <v>142</v>
      </c>
      <c r="M1858" t="s">
        <v>113</v>
      </c>
      <c r="R1858" t="s">
        <v>10795</v>
      </c>
      <c r="W1858" t="s">
        <v>10792</v>
      </c>
      <c r="X1858" t="s">
        <v>10796</v>
      </c>
      <c r="Y1858" t="s">
        <v>958</v>
      </c>
      <c r="Z1858" t="s">
        <v>117</v>
      </c>
      <c r="AA1858" t="str">
        <f>"14226-1718"</f>
        <v>14226-1718</v>
      </c>
      <c r="AB1858" t="s">
        <v>118</v>
      </c>
      <c r="AC1858" t="s">
        <v>119</v>
      </c>
      <c r="AD1858" t="s">
        <v>113</v>
      </c>
      <c r="AE1858" t="s">
        <v>120</v>
      </c>
      <c r="AG1858" t="s">
        <v>121</v>
      </c>
    </row>
    <row r="1859" spans="1:33" x14ac:dyDescent="0.25">
      <c r="A1859" t="str">
        <f>"1043537681"</f>
        <v>1043537681</v>
      </c>
      <c r="C1859" t="s">
        <v>10797</v>
      </c>
      <c r="G1859" t="s">
        <v>10798</v>
      </c>
      <c r="H1859" t="s">
        <v>351</v>
      </c>
      <c r="J1859" t="s">
        <v>352</v>
      </c>
      <c r="K1859" t="s">
        <v>303</v>
      </c>
      <c r="L1859" t="s">
        <v>112</v>
      </c>
      <c r="M1859" t="s">
        <v>113</v>
      </c>
      <c r="R1859" t="s">
        <v>10799</v>
      </c>
      <c r="S1859" t="s">
        <v>1922</v>
      </c>
      <c r="T1859" t="s">
        <v>268</v>
      </c>
      <c r="U1859" t="s">
        <v>117</v>
      </c>
      <c r="V1859" t="str">
        <f>"141508441"</f>
        <v>141508441</v>
      </c>
      <c r="AC1859" t="s">
        <v>119</v>
      </c>
      <c r="AD1859" t="s">
        <v>113</v>
      </c>
      <c r="AE1859" t="s">
        <v>306</v>
      </c>
      <c r="AG1859" t="s">
        <v>121</v>
      </c>
    </row>
    <row r="1860" spans="1:33" x14ac:dyDescent="0.25">
      <c r="A1860" t="str">
        <f>"1043543903"</f>
        <v>1043543903</v>
      </c>
      <c r="B1860" t="str">
        <f>"03166516"</f>
        <v>03166516</v>
      </c>
      <c r="C1860" t="s">
        <v>10800</v>
      </c>
      <c r="D1860" t="s">
        <v>10801</v>
      </c>
      <c r="E1860" t="s">
        <v>10802</v>
      </c>
      <c r="G1860" t="s">
        <v>10803</v>
      </c>
      <c r="H1860" t="s">
        <v>2125</v>
      </c>
      <c r="J1860" t="s">
        <v>10804</v>
      </c>
      <c r="L1860" t="s">
        <v>1033</v>
      </c>
      <c r="M1860" t="s">
        <v>113</v>
      </c>
      <c r="R1860" t="s">
        <v>10805</v>
      </c>
      <c r="W1860" t="s">
        <v>10802</v>
      </c>
      <c r="X1860" t="s">
        <v>2128</v>
      </c>
      <c r="Y1860" t="s">
        <v>986</v>
      </c>
      <c r="Z1860" t="s">
        <v>117</v>
      </c>
      <c r="AA1860" t="str">
        <f>"14701-5502"</f>
        <v>14701-5502</v>
      </c>
      <c r="AB1860" t="s">
        <v>621</v>
      </c>
      <c r="AC1860" t="s">
        <v>119</v>
      </c>
      <c r="AD1860" t="s">
        <v>113</v>
      </c>
      <c r="AE1860" t="s">
        <v>120</v>
      </c>
      <c r="AG1860" t="s">
        <v>121</v>
      </c>
    </row>
    <row r="1861" spans="1:33" x14ac:dyDescent="0.25">
      <c r="A1861" t="str">
        <f>"1043598030"</f>
        <v>1043598030</v>
      </c>
      <c r="B1861" t="str">
        <f>"03580669"</f>
        <v>03580669</v>
      </c>
      <c r="C1861" t="s">
        <v>10806</v>
      </c>
      <c r="D1861" t="s">
        <v>10807</v>
      </c>
      <c r="E1861" t="s">
        <v>10808</v>
      </c>
      <c r="G1861" t="s">
        <v>10809</v>
      </c>
      <c r="H1861" t="s">
        <v>10810</v>
      </c>
      <c r="J1861" t="s">
        <v>10811</v>
      </c>
      <c r="L1861" t="s">
        <v>112</v>
      </c>
      <c r="M1861" t="s">
        <v>113</v>
      </c>
      <c r="R1861" t="s">
        <v>10812</v>
      </c>
      <c r="W1861" t="s">
        <v>10813</v>
      </c>
      <c r="X1861" t="s">
        <v>176</v>
      </c>
      <c r="Y1861" t="s">
        <v>116</v>
      </c>
      <c r="Z1861" t="s">
        <v>117</v>
      </c>
      <c r="AA1861" t="str">
        <f>"14203-1126"</f>
        <v>14203-1126</v>
      </c>
      <c r="AB1861" t="s">
        <v>118</v>
      </c>
      <c r="AC1861" t="s">
        <v>119</v>
      </c>
      <c r="AD1861" t="s">
        <v>113</v>
      </c>
      <c r="AE1861" t="s">
        <v>120</v>
      </c>
      <c r="AG1861" t="s">
        <v>121</v>
      </c>
    </row>
    <row r="1862" spans="1:33" x14ac:dyDescent="0.25">
      <c r="A1862" t="str">
        <f>"1164466298"</f>
        <v>1164466298</v>
      </c>
      <c r="B1862" t="str">
        <f>"01057423"</f>
        <v>01057423</v>
      </c>
      <c r="C1862" t="s">
        <v>10814</v>
      </c>
      <c r="D1862" t="s">
        <v>10815</v>
      </c>
      <c r="E1862" t="s">
        <v>10816</v>
      </c>
      <c r="G1862" t="s">
        <v>10814</v>
      </c>
      <c r="H1862" t="s">
        <v>10817</v>
      </c>
      <c r="J1862" t="s">
        <v>10818</v>
      </c>
      <c r="L1862" t="s">
        <v>142</v>
      </c>
      <c r="M1862" t="s">
        <v>113</v>
      </c>
      <c r="R1862" t="s">
        <v>10819</v>
      </c>
      <c r="W1862" t="s">
        <v>10820</v>
      </c>
      <c r="X1862" t="s">
        <v>10821</v>
      </c>
      <c r="Y1862" t="s">
        <v>958</v>
      </c>
      <c r="Z1862" t="s">
        <v>117</v>
      </c>
      <c r="AA1862" t="str">
        <f>"14226-1056"</f>
        <v>14226-1056</v>
      </c>
      <c r="AB1862" t="s">
        <v>118</v>
      </c>
      <c r="AC1862" t="s">
        <v>119</v>
      </c>
      <c r="AD1862" t="s">
        <v>113</v>
      </c>
      <c r="AE1862" t="s">
        <v>120</v>
      </c>
      <c r="AG1862" t="s">
        <v>121</v>
      </c>
    </row>
    <row r="1863" spans="1:33" x14ac:dyDescent="0.25">
      <c r="A1863" t="str">
        <f>"1164471959"</f>
        <v>1164471959</v>
      </c>
      <c r="B1863" t="str">
        <f>"02760676"</f>
        <v>02760676</v>
      </c>
      <c r="C1863" t="s">
        <v>10822</v>
      </c>
      <c r="D1863" t="s">
        <v>10823</v>
      </c>
      <c r="E1863" t="s">
        <v>10824</v>
      </c>
      <c r="G1863" t="s">
        <v>6204</v>
      </c>
      <c r="H1863" t="s">
        <v>10825</v>
      </c>
      <c r="J1863" t="s">
        <v>6205</v>
      </c>
      <c r="L1863" t="s">
        <v>142</v>
      </c>
      <c r="M1863" t="s">
        <v>113</v>
      </c>
      <c r="R1863" t="s">
        <v>10826</v>
      </c>
      <c r="W1863" t="s">
        <v>10827</v>
      </c>
      <c r="X1863" t="s">
        <v>253</v>
      </c>
      <c r="Y1863" t="s">
        <v>116</v>
      </c>
      <c r="Z1863" t="s">
        <v>117</v>
      </c>
      <c r="AA1863" t="str">
        <f>"14215-3021"</f>
        <v>14215-3021</v>
      </c>
      <c r="AB1863" t="s">
        <v>118</v>
      </c>
      <c r="AC1863" t="s">
        <v>119</v>
      </c>
      <c r="AD1863" t="s">
        <v>113</v>
      </c>
      <c r="AE1863" t="s">
        <v>120</v>
      </c>
      <c r="AG1863" t="s">
        <v>121</v>
      </c>
    </row>
    <row r="1864" spans="1:33" x14ac:dyDescent="0.25">
      <c r="A1864" t="str">
        <f>"1164481446"</f>
        <v>1164481446</v>
      </c>
      <c r="B1864" t="str">
        <f>"01183426"</f>
        <v>01183426</v>
      </c>
      <c r="C1864" t="s">
        <v>10828</v>
      </c>
      <c r="D1864" t="s">
        <v>10829</v>
      </c>
      <c r="E1864" t="s">
        <v>10830</v>
      </c>
      <c r="G1864" t="s">
        <v>10828</v>
      </c>
      <c r="H1864" t="s">
        <v>3305</v>
      </c>
      <c r="J1864" t="s">
        <v>10831</v>
      </c>
      <c r="L1864" t="s">
        <v>142</v>
      </c>
      <c r="M1864" t="s">
        <v>113</v>
      </c>
      <c r="R1864" t="s">
        <v>10832</v>
      </c>
      <c r="W1864" t="s">
        <v>10833</v>
      </c>
      <c r="X1864" t="s">
        <v>4449</v>
      </c>
      <c r="Y1864" t="s">
        <v>958</v>
      </c>
      <c r="Z1864" t="s">
        <v>117</v>
      </c>
      <c r="AA1864" t="str">
        <f>"14226-1738"</f>
        <v>14226-1738</v>
      </c>
      <c r="AB1864" t="s">
        <v>1755</v>
      </c>
      <c r="AC1864" t="s">
        <v>119</v>
      </c>
      <c r="AD1864" t="s">
        <v>113</v>
      </c>
      <c r="AE1864" t="s">
        <v>120</v>
      </c>
      <c r="AG1864" t="s">
        <v>121</v>
      </c>
    </row>
    <row r="1865" spans="1:33" x14ac:dyDescent="0.25">
      <c r="A1865" t="str">
        <f>"1205082393"</f>
        <v>1205082393</v>
      </c>
      <c r="B1865" t="str">
        <f>"03769555"</f>
        <v>03769555</v>
      </c>
      <c r="C1865" t="s">
        <v>10834</v>
      </c>
      <c r="D1865" t="s">
        <v>10835</v>
      </c>
      <c r="E1865" t="s">
        <v>10836</v>
      </c>
      <c r="G1865" t="s">
        <v>10837</v>
      </c>
      <c r="J1865" t="s">
        <v>10838</v>
      </c>
      <c r="L1865" t="s">
        <v>142</v>
      </c>
      <c r="M1865" t="s">
        <v>113</v>
      </c>
      <c r="R1865" t="s">
        <v>10839</v>
      </c>
      <c r="W1865" t="s">
        <v>10836</v>
      </c>
      <c r="X1865" t="s">
        <v>216</v>
      </c>
      <c r="Y1865" t="s">
        <v>116</v>
      </c>
      <c r="Z1865" t="s">
        <v>117</v>
      </c>
      <c r="AA1865" t="str">
        <f>"14222-2006"</f>
        <v>14222-2006</v>
      </c>
      <c r="AB1865" t="s">
        <v>118</v>
      </c>
      <c r="AC1865" t="s">
        <v>119</v>
      </c>
      <c r="AD1865" t="s">
        <v>113</v>
      </c>
      <c r="AE1865" t="s">
        <v>120</v>
      </c>
      <c r="AG1865" t="s">
        <v>121</v>
      </c>
    </row>
    <row r="1866" spans="1:33" x14ac:dyDescent="0.25">
      <c r="A1866" t="str">
        <f>"1205085230"</f>
        <v>1205085230</v>
      </c>
      <c r="C1866" t="s">
        <v>10840</v>
      </c>
      <c r="G1866" t="s">
        <v>10841</v>
      </c>
      <c r="H1866" t="s">
        <v>10842</v>
      </c>
      <c r="J1866" t="s">
        <v>10843</v>
      </c>
      <c r="K1866" t="s">
        <v>303</v>
      </c>
      <c r="L1866" t="s">
        <v>112</v>
      </c>
      <c r="M1866" t="s">
        <v>113</v>
      </c>
      <c r="R1866" t="s">
        <v>10844</v>
      </c>
      <c r="S1866" t="s">
        <v>474</v>
      </c>
      <c r="T1866" t="s">
        <v>116</v>
      </c>
      <c r="U1866" t="s">
        <v>117</v>
      </c>
      <c r="V1866" t="str">
        <f>"142141316"</f>
        <v>142141316</v>
      </c>
      <c r="AC1866" t="s">
        <v>119</v>
      </c>
      <c r="AD1866" t="s">
        <v>113</v>
      </c>
      <c r="AE1866" t="s">
        <v>306</v>
      </c>
      <c r="AG1866" t="s">
        <v>121</v>
      </c>
    </row>
    <row r="1867" spans="1:33" x14ac:dyDescent="0.25">
      <c r="A1867" t="str">
        <f>"1053309039"</f>
        <v>1053309039</v>
      </c>
      <c r="B1867" t="str">
        <f>"01617436"</f>
        <v>01617436</v>
      </c>
      <c r="C1867" t="s">
        <v>10845</v>
      </c>
      <c r="D1867" t="s">
        <v>10846</v>
      </c>
      <c r="E1867" t="s">
        <v>10847</v>
      </c>
      <c r="G1867" t="s">
        <v>859</v>
      </c>
      <c r="H1867" t="s">
        <v>10848</v>
      </c>
      <c r="J1867" t="s">
        <v>861</v>
      </c>
      <c r="L1867" t="s">
        <v>728</v>
      </c>
      <c r="M1867" t="s">
        <v>113</v>
      </c>
      <c r="R1867" t="s">
        <v>10849</v>
      </c>
      <c r="W1867" t="s">
        <v>10847</v>
      </c>
      <c r="X1867" t="s">
        <v>10850</v>
      </c>
      <c r="Y1867" t="s">
        <v>116</v>
      </c>
      <c r="Z1867" t="s">
        <v>117</v>
      </c>
      <c r="AA1867" t="str">
        <f>"14214-2804"</f>
        <v>14214-2804</v>
      </c>
      <c r="AB1867" t="s">
        <v>118</v>
      </c>
      <c r="AC1867" t="s">
        <v>119</v>
      </c>
      <c r="AD1867" t="s">
        <v>113</v>
      </c>
      <c r="AE1867" t="s">
        <v>120</v>
      </c>
      <c r="AG1867" t="s">
        <v>121</v>
      </c>
    </row>
    <row r="1868" spans="1:33" x14ac:dyDescent="0.25">
      <c r="A1868" t="str">
        <f>"1053318832"</f>
        <v>1053318832</v>
      </c>
      <c r="B1868" t="str">
        <f>"02325377"</f>
        <v>02325377</v>
      </c>
      <c r="C1868" t="s">
        <v>10851</v>
      </c>
      <c r="D1868" t="s">
        <v>10852</v>
      </c>
      <c r="E1868" t="s">
        <v>10853</v>
      </c>
      <c r="G1868" t="s">
        <v>10851</v>
      </c>
      <c r="H1868" t="s">
        <v>707</v>
      </c>
      <c r="J1868" t="s">
        <v>10854</v>
      </c>
      <c r="L1868" t="s">
        <v>142</v>
      </c>
      <c r="M1868" t="s">
        <v>113</v>
      </c>
      <c r="R1868" t="s">
        <v>10855</v>
      </c>
      <c r="W1868" t="s">
        <v>10853</v>
      </c>
      <c r="X1868" t="s">
        <v>709</v>
      </c>
      <c r="Y1868" t="s">
        <v>116</v>
      </c>
      <c r="Z1868" t="s">
        <v>117</v>
      </c>
      <c r="AA1868" t="str">
        <f>"14263-0001"</f>
        <v>14263-0001</v>
      </c>
      <c r="AB1868" t="s">
        <v>118</v>
      </c>
      <c r="AC1868" t="s">
        <v>119</v>
      </c>
      <c r="AD1868" t="s">
        <v>113</v>
      </c>
      <c r="AE1868" t="s">
        <v>120</v>
      </c>
      <c r="AG1868" t="s">
        <v>121</v>
      </c>
    </row>
    <row r="1869" spans="1:33" x14ac:dyDescent="0.25">
      <c r="A1869" t="str">
        <f>"1053319681"</f>
        <v>1053319681</v>
      </c>
      <c r="B1869" t="str">
        <f>"01124818"</f>
        <v>01124818</v>
      </c>
      <c r="C1869" t="s">
        <v>10856</v>
      </c>
      <c r="D1869" t="s">
        <v>10857</v>
      </c>
      <c r="E1869" t="s">
        <v>10858</v>
      </c>
      <c r="G1869" t="s">
        <v>10856</v>
      </c>
      <c r="H1869" t="s">
        <v>707</v>
      </c>
      <c r="J1869" t="s">
        <v>10859</v>
      </c>
      <c r="L1869" t="s">
        <v>142</v>
      </c>
      <c r="M1869" t="s">
        <v>113</v>
      </c>
      <c r="R1869" t="s">
        <v>10860</v>
      </c>
      <c r="W1869" t="s">
        <v>10858</v>
      </c>
      <c r="X1869" t="s">
        <v>176</v>
      </c>
      <c r="Y1869" t="s">
        <v>116</v>
      </c>
      <c r="Z1869" t="s">
        <v>117</v>
      </c>
      <c r="AA1869" t="str">
        <f>"14203-1126"</f>
        <v>14203-1126</v>
      </c>
      <c r="AB1869" t="s">
        <v>118</v>
      </c>
      <c r="AC1869" t="s">
        <v>119</v>
      </c>
      <c r="AD1869" t="s">
        <v>113</v>
      </c>
      <c r="AE1869" t="s">
        <v>120</v>
      </c>
      <c r="AG1869" t="s">
        <v>121</v>
      </c>
    </row>
    <row r="1870" spans="1:33" x14ac:dyDescent="0.25">
      <c r="A1870" t="str">
        <f>"1053324913"</f>
        <v>1053324913</v>
      </c>
      <c r="B1870" t="str">
        <f>"02806462"</f>
        <v>02806462</v>
      </c>
      <c r="C1870" t="s">
        <v>10861</v>
      </c>
      <c r="D1870" t="s">
        <v>10862</v>
      </c>
      <c r="E1870" t="s">
        <v>10863</v>
      </c>
      <c r="G1870" t="s">
        <v>10861</v>
      </c>
      <c r="H1870" t="s">
        <v>213</v>
      </c>
      <c r="J1870" t="s">
        <v>10864</v>
      </c>
      <c r="L1870" t="s">
        <v>112</v>
      </c>
      <c r="M1870" t="s">
        <v>113</v>
      </c>
      <c r="R1870" t="s">
        <v>10865</v>
      </c>
      <c r="W1870" t="s">
        <v>10863</v>
      </c>
      <c r="X1870" t="s">
        <v>216</v>
      </c>
      <c r="Y1870" t="s">
        <v>116</v>
      </c>
      <c r="Z1870" t="s">
        <v>117</v>
      </c>
      <c r="AA1870" t="str">
        <f>"14222-2006"</f>
        <v>14222-2006</v>
      </c>
      <c r="AB1870" t="s">
        <v>118</v>
      </c>
      <c r="AC1870" t="s">
        <v>119</v>
      </c>
      <c r="AD1870" t="s">
        <v>113</v>
      </c>
      <c r="AE1870" t="s">
        <v>120</v>
      </c>
      <c r="AG1870" t="s">
        <v>121</v>
      </c>
    </row>
    <row r="1871" spans="1:33" x14ac:dyDescent="0.25">
      <c r="A1871" t="str">
        <f>"1053337865"</f>
        <v>1053337865</v>
      </c>
      <c r="B1871" t="str">
        <f>"01047974"</f>
        <v>01047974</v>
      </c>
      <c r="C1871" t="s">
        <v>10866</v>
      </c>
      <c r="D1871" t="s">
        <v>10867</v>
      </c>
      <c r="E1871" t="s">
        <v>10868</v>
      </c>
      <c r="H1871" t="s">
        <v>10869</v>
      </c>
      <c r="L1871" t="s">
        <v>69</v>
      </c>
      <c r="M1871" t="s">
        <v>199</v>
      </c>
      <c r="R1871" t="s">
        <v>10870</v>
      </c>
      <c r="W1871" t="s">
        <v>10868</v>
      </c>
      <c r="X1871" t="s">
        <v>10871</v>
      </c>
      <c r="Y1871" t="s">
        <v>1593</v>
      </c>
      <c r="Z1871" t="s">
        <v>117</v>
      </c>
      <c r="AA1871" t="str">
        <f>"14068-1527"</f>
        <v>14068-1527</v>
      </c>
      <c r="AB1871" t="s">
        <v>282</v>
      </c>
      <c r="AC1871" t="s">
        <v>119</v>
      </c>
      <c r="AD1871" t="s">
        <v>113</v>
      </c>
      <c r="AE1871" t="s">
        <v>120</v>
      </c>
      <c r="AG1871" t="s">
        <v>121</v>
      </c>
    </row>
    <row r="1872" spans="1:33" x14ac:dyDescent="0.25">
      <c r="A1872" t="str">
        <f>"1093095978"</f>
        <v>1093095978</v>
      </c>
      <c r="C1872" t="s">
        <v>10872</v>
      </c>
      <c r="G1872" t="s">
        <v>10873</v>
      </c>
      <c r="H1872" t="s">
        <v>351</v>
      </c>
      <c r="J1872" t="s">
        <v>352</v>
      </c>
      <c r="K1872" t="s">
        <v>303</v>
      </c>
      <c r="L1872" t="s">
        <v>112</v>
      </c>
      <c r="M1872" t="s">
        <v>113</v>
      </c>
      <c r="R1872" t="s">
        <v>10874</v>
      </c>
      <c r="S1872" t="s">
        <v>354</v>
      </c>
      <c r="T1872" t="s">
        <v>116</v>
      </c>
      <c r="U1872" t="s">
        <v>117</v>
      </c>
      <c r="V1872" t="str">
        <f>"142152814"</f>
        <v>142152814</v>
      </c>
      <c r="AC1872" t="s">
        <v>119</v>
      </c>
      <c r="AD1872" t="s">
        <v>113</v>
      </c>
      <c r="AE1872" t="s">
        <v>306</v>
      </c>
      <c r="AG1872" t="s">
        <v>121</v>
      </c>
    </row>
    <row r="1873" spans="1:33" x14ac:dyDescent="0.25">
      <c r="A1873" t="str">
        <f>"1255580148"</f>
        <v>1255580148</v>
      </c>
      <c r="C1873" t="s">
        <v>10875</v>
      </c>
      <c r="G1873" t="s">
        <v>10876</v>
      </c>
      <c r="J1873" t="s">
        <v>352</v>
      </c>
      <c r="K1873" t="s">
        <v>303</v>
      </c>
      <c r="L1873" t="s">
        <v>112</v>
      </c>
      <c r="M1873" t="s">
        <v>113</v>
      </c>
      <c r="R1873" t="s">
        <v>10877</v>
      </c>
      <c r="S1873" t="s">
        <v>8308</v>
      </c>
      <c r="T1873" t="s">
        <v>116</v>
      </c>
      <c r="U1873" t="s">
        <v>117</v>
      </c>
      <c r="V1873" t="str">
        <f>"142132116"</f>
        <v>142132116</v>
      </c>
      <c r="AC1873" t="s">
        <v>119</v>
      </c>
      <c r="AD1873" t="s">
        <v>113</v>
      </c>
      <c r="AE1873" t="s">
        <v>306</v>
      </c>
      <c r="AG1873" t="s">
        <v>121</v>
      </c>
    </row>
    <row r="1874" spans="1:33" x14ac:dyDescent="0.25">
      <c r="A1874" t="str">
        <f>"1255588521"</f>
        <v>1255588521</v>
      </c>
      <c r="B1874" t="str">
        <f>"03353871"</f>
        <v>03353871</v>
      </c>
      <c r="C1874" t="s">
        <v>10878</v>
      </c>
      <c r="D1874" t="s">
        <v>10879</v>
      </c>
      <c r="E1874" t="s">
        <v>10880</v>
      </c>
      <c r="G1874" t="s">
        <v>10878</v>
      </c>
      <c r="H1874" t="s">
        <v>10881</v>
      </c>
      <c r="J1874" t="s">
        <v>10882</v>
      </c>
      <c r="L1874" t="s">
        <v>142</v>
      </c>
      <c r="M1874" t="s">
        <v>113</v>
      </c>
      <c r="R1874" t="s">
        <v>10883</v>
      </c>
      <c r="W1874" t="s">
        <v>10884</v>
      </c>
      <c r="X1874" t="s">
        <v>10885</v>
      </c>
      <c r="Y1874" t="s">
        <v>958</v>
      </c>
      <c r="Z1874" t="s">
        <v>117</v>
      </c>
      <c r="AA1874" t="str">
        <f>"14226-1039"</f>
        <v>14226-1039</v>
      </c>
      <c r="AB1874" t="s">
        <v>118</v>
      </c>
      <c r="AC1874" t="s">
        <v>119</v>
      </c>
      <c r="AD1874" t="s">
        <v>113</v>
      </c>
      <c r="AE1874" t="s">
        <v>120</v>
      </c>
      <c r="AG1874" t="s">
        <v>121</v>
      </c>
    </row>
    <row r="1875" spans="1:33" x14ac:dyDescent="0.25">
      <c r="A1875" t="str">
        <f>"1255590915"</f>
        <v>1255590915</v>
      </c>
      <c r="B1875" t="str">
        <f>"03383617"</f>
        <v>03383617</v>
      </c>
      <c r="C1875" t="s">
        <v>10886</v>
      </c>
      <c r="D1875" t="s">
        <v>10887</v>
      </c>
      <c r="E1875" t="s">
        <v>10888</v>
      </c>
      <c r="G1875" t="s">
        <v>10889</v>
      </c>
      <c r="J1875" t="s">
        <v>1387</v>
      </c>
      <c r="L1875" t="s">
        <v>112</v>
      </c>
      <c r="M1875" t="s">
        <v>113</v>
      </c>
      <c r="R1875" t="s">
        <v>10890</v>
      </c>
      <c r="W1875" t="s">
        <v>10888</v>
      </c>
      <c r="X1875" t="s">
        <v>1098</v>
      </c>
      <c r="Y1875" t="s">
        <v>305</v>
      </c>
      <c r="Z1875" t="s">
        <v>117</v>
      </c>
      <c r="AA1875" t="str">
        <f>"14760-1513"</f>
        <v>14760-1513</v>
      </c>
      <c r="AB1875" t="s">
        <v>118</v>
      </c>
      <c r="AC1875" t="s">
        <v>119</v>
      </c>
      <c r="AD1875" t="s">
        <v>113</v>
      </c>
      <c r="AE1875" t="s">
        <v>120</v>
      </c>
      <c r="AG1875" t="s">
        <v>121</v>
      </c>
    </row>
    <row r="1876" spans="1:33" x14ac:dyDescent="0.25">
      <c r="A1876" t="str">
        <f>"1255621140"</f>
        <v>1255621140</v>
      </c>
      <c r="C1876" t="s">
        <v>10891</v>
      </c>
      <c r="G1876" t="s">
        <v>10891</v>
      </c>
      <c r="H1876" t="s">
        <v>590</v>
      </c>
      <c r="J1876" t="s">
        <v>10892</v>
      </c>
      <c r="K1876" t="s">
        <v>303</v>
      </c>
      <c r="L1876" t="s">
        <v>229</v>
      </c>
      <c r="M1876" t="s">
        <v>113</v>
      </c>
      <c r="R1876" t="s">
        <v>5835</v>
      </c>
      <c r="S1876" t="s">
        <v>605</v>
      </c>
      <c r="T1876" t="s">
        <v>326</v>
      </c>
      <c r="U1876" t="s">
        <v>117</v>
      </c>
      <c r="V1876" t="str">
        <f>"141272600"</f>
        <v>141272600</v>
      </c>
      <c r="AC1876" t="s">
        <v>119</v>
      </c>
      <c r="AD1876" t="s">
        <v>113</v>
      </c>
      <c r="AE1876" t="s">
        <v>306</v>
      </c>
      <c r="AG1876" t="s">
        <v>121</v>
      </c>
    </row>
    <row r="1877" spans="1:33" x14ac:dyDescent="0.25">
      <c r="A1877" t="str">
        <f>"1255628830"</f>
        <v>1255628830</v>
      </c>
      <c r="B1877" t="str">
        <f>"03791348"</f>
        <v>03791348</v>
      </c>
      <c r="C1877" t="s">
        <v>10893</v>
      </c>
      <c r="D1877" t="s">
        <v>10894</v>
      </c>
      <c r="E1877" t="s">
        <v>10895</v>
      </c>
      <c r="G1877" t="s">
        <v>10896</v>
      </c>
      <c r="H1877" t="s">
        <v>6352</v>
      </c>
      <c r="J1877" t="s">
        <v>10897</v>
      </c>
      <c r="L1877" t="s">
        <v>7480</v>
      </c>
      <c r="M1877" t="s">
        <v>113</v>
      </c>
      <c r="R1877" t="s">
        <v>10898</v>
      </c>
      <c r="W1877" t="s">
        <v>10895</v>
      </c>
      <c r="X1877" t="s">
        <v>6851</v>
      </c>
      <c r="Y1877" t="s">
        <v>541</v>
      </c>
      <c r="Z1877" t="s">
        <v>117</v>
      </c>
      <c r="AA1877" t="str">
        <f>"14048-2538"</f>
        <v>14048-2538</v>
      </c>
      <c r="AB1877" t="s">
        <v>118</v>
      </c>
      <c r="AC1877" t="s">
        <v>119</v>
      </c>
      <c r="AD1877" t="s">
        <v>113</v>
      </c>
      <c r="AE1877" t="s">
        <v>120</v>
      </c>
      <c r="AG1877" t="s">
        <v>121</v>
      </c>
    </row>
    <row r="1878" spans="1:33" x14ac:dyDescent="0.25">
      <c r="A1878" t="str">
        <f>"1255743688"</f>
        <v>1255743688</v>
      </c>
      <c r="C1878" t="s">
        <v>10899</v>
      </c>
      <c r="G1878" t="s">
        <v>10900</v>
      </c>
      <c r="H1878" t="s">
        <v>590</v>
      </c>
      <c r="J1878" t="s">
        <v>10901</v>
      </c>
      <c r="K1878" t="s">
        <v>303</v>
      </c>
      <c r="L1878" t="s">
        <v>229</v>
      </c>
      <c r="M1878" t="s">
        <v>113</v>
      </c>
      <c r="R1878" t="s">
        <v>10902</v>
      </c>
      <c r="S1878" t="s">
        <v>626</v>
      </c>
      <c r="T1878" t="s">
        <v>116</v>
      </c>
      <c r="U1878" t="s">
        <v>117</v>
      </c>
      <c r="V1878" t="str">
        <f>"142102324"</f>
        <v>142102324</v>
      </c>
      <c r="AC1878" t="s">
        <v>119</v>
      </c>
      <c r="AD1878" t="s">
        <v>113</v>
      </c>
      <c r="AE1878" t="s">
        <v>306</v>
      </c>
      <c r="AG1878" t="s">
        <v>121</v>
      </c>
    </row>
    <row r="1879" spans="1:33" x14ac:dyDescent="0.25">
      <c r="A1879" t="str">
        <f>"1255746798"</f>
        <v>1255746798</v>
      </c>
      <c r="C1879" t="s">
        <v>10903</v>
      </c>
      <c r="G1879" t="s">
        <v>10904</v>
      </c>
      <c r="H1879" t="s">
        <v>443</v>
      </c>
      <c r="J1879" t="s">
        <v>352</v>
      </c>
      <c r="K1879" t="s">
        <v>303</v>
      </c>
      <c r="L1879" t="s">
        <v>229</v>
      </c>
      <c r="M1879" t="s">
        <v>113</v>
      </c>
      <c r="R1879" t="s">
        <v>10905</v>
      </c>
      <c r="S1879" t="s">
        <v>409</v>
      </c>
      <c r="T1879" t="s">
        <v>116</v>
      </c>
      <c r="U1879" t="s">
        <v>117</v>
      </c>
      <c r="V1879" t="str">
        <f>"142152814"</f>
        <v>142152814</v>
      </c>
      <c r="AC1879" t="s">
        <v>119</v>
      </c>
      <c r="AD1879" t="s">
        <v>113</v>
      </c>
      <c r="AE1879" t="s">
        <v>306</v>
      </c>
      <c r="AG1879" t="s">
        <v>121</v>
      </c>
    </row>
    <row r="1880" spans="1:33" x14ac:dyDescent="0.25">
      <c r="A1880" t="str">
        <f>"1255766630"</f>
        <v>1255766630</v>
      </c>
      <c r="B1880" t="str">
        <f>"04038708"</f>
        <v>04038708</v>
      </c>
      <c r="C1880" t="s">
        <v>10906</v>
      </c>
      <c r="D1880" t="s">
        <v>10907</v>
      </c>
      <c r="E1880" t="s">
        <v>10908</v>
      </c>
      <c r="G1880" t="s">
        <v>10906</v>
      </c>
      <c r="H1880" t="s">
        <v>10909</v>
      </c>
      <c r="J1880" t="s">
        <v>10910</v>
      </c>
      <c r="L1880" t="s">
        <v>112</v>
      </c>
      <c r="M1880" t="s">
        <v>113</v>
      </c>
      <c r="R1880" t="s">
        <v>10908</v>
      </c>
      <c r="W1880" t="s">
        <v>10908</v>
      </c>
      <c r="X1880" t="s">
        <v>176</v>
      </c>
      <c r="Y1880" t="s">
        <v>116</v>
      </c>
      <c r="Z1880" t="s">
        <v>117</v>
      </c>
      <c r="AA1880" t="str">
        <f>"14203-1126"</f>
        <v>14203-1126</v>
      </c>
      <c r="AB1880" t="s">
        <v>118</v>
      </c>
      <c r="AC1880" t="s">
        <v>119</v>
      </c>
      <c r="AD1880" t="s">
        <v>113</v>
      </c>
      <c r="AE1880" t="s">
        <v>120</v>
      </c>
      <c r="AG1880" t="s">
        <v>121</v>
      </c>
    </row>
    <row r="1881" spans="1:33" x14ac:dyDescent="0.25">
      <c r="A1881" t="str">
        <f>"1255779807"</f>
        <v>1255779807</v>
      </c>
      <c r="C1881" t="s">
        <v>10911</v>
      </c>
      <c r="G1881" t="s">
        <v>10912</v>
      </c>
      <c r="H1881" t="s">
        <v>351</v>
      </c>
      <c r="J1881" t="s">
        <v>352</v>
      </c>
      <c r="K1881" t="s">
        <v>303</v>
      </c>
      <c r="L1881" t="s">
        <v>229</v>
      </c>
      <c r="M1881" t="s">
        <v>113</v>
      </c>
      <c r="R1881" t="s">
        <v>10913</v>
      </c>
      <c r="S1881" t="s">
        <v>354</v>
      </c>
      <c r="T1881" t="s">
        <v>116</v>
      </c>
      <c r="U1881" t="s">
        <v>117</v>
      </c>
      <c r="V1881" t="str">
        <f>"142152814"</f>
        <v>142152814</v>
      </c>
      <c r="AC1881" t="s">
        <v>119</v>
      </c>
      <c r="AD1881" t="s">
        <v>113</v>
      </c>
      <c r="AE1881" t="s">
        <v>306</v>
      </c>
      <c r="AG1881" t="s">
        <v>121</v>
      </c>
    </row>
    <row r="1882" spans="1:33" x14ac:dyDescent="0.25">
      <c r="A1882" t="str">
        <f>"1265404982"</f>
        <v>1265404982</v>
      </c>
      <c r="B1882" t="str">
        <f>"02172145"</f>
        <v>02172145</v>
      </c>
      <c r="C1882" t="s">
        <v>10914</v>
      </c>
      <c r="D1882" t="s">
        <v>10915</v>
      </c>
      <c r="E1882" t="s">
        <v>10916</v>
      </c>
      <c r="G1882" t="s">
        <v>10914</v>
      </c>
      <c r="H1882" t="s">
        <v>1909</v>
      </c>
      <c r="J1882" t="s">
        <v>10917</v>
      </c>
      <c r="L1882" t="s">
        <v>150</v>
      </c>
      <c r="M1882" t="s">
        <v>113</v>
      </c>
      <c r="R1882" t="s">
        <v>10918</v>
      </c>
      <c r="W1882" t="s">
        <v>10919</v>
      </c>
      <c r="X1882" t="s">
        <v>7527</v>
      </c>
      <c r="Y1882" t="s">
        <v>116</v>
      </c>
      <c r="Z1882" t="s">
        <v>117</v>
      </c>
      <c r="AA1882" t="str">
        <f>"14209-1120"</f>
        <v>14209-1120</v>
      </c>
      <c r="AB1882" t="s">
        <v>118</v>
      </c>
      <c r="AC1882" t="s">
        <v>119</v>
      </c>
      <c r="AD1882" t="s">
        <v>113</v>
      </c>
      <c r="AE1882" t="s">
        <v>120</v>
      </c>
      <c r="AG1882" t="s">
        <v>121</v>
      </c>
    </row>
    <row r="1883" spans="1:33" x14ac:dyDescent="0.25">
      <c r="A1883" t="str">
        <f>"1265417059"</f>
        <v>1265417059</v>
      </c>
      <c r="B1883" t="str">
        <f>"02202477"</f>
        <v>02202477</v>
      </c>
      <c r="C1883" t="s">
        <v>10920</v>
      </c>
      <c r="D1883" t="s">
        <v>10921</v>
      </c>
      <c r="E1883" t="s">
        <v>10922</v>
      </c>
      <c r="G1883" t="s">
        <v>10920</v>
      </c>
      <c r="H1883" t="s">
        <v>449</v>
      </c>
      <c r="J1883" t="s">
        <v>10923</v>
      </c>
      <c r="L1883" t="s">
        <v>112</v>
      </c>
      <c r="M1883" t="s">
        <v>113</v>
      </c>
      <c r="R1883" t="s">
        <v>10924</v>
      </c>
      <c r="W1883" t="s">
        <v>10922</v>
      </c>
      <c r="X1883" t="s">
        <v>10925</v>
      </c>
      <c r="Y1883" t="s">
        <v>129</v>
      </c>
      <c r="Z1883" t="s">
        <v>117</v>
      </c>
      <c r="AA1883" t="str">
        <f>"14224-2655"</f>
        <v>14224-2655</v>
      </c>
      <c r="AB1883" t="s">
        <v>118</v>
      </c>
      <c r="AC1883" t="s">
        <v>119</v>
      </c>
      <c r="AD1883" t="s">
        <v>113</v>
      </c>
      <c r="AE1883" t="s">
        <v>120</v>
      </c>
      <c r="AG1883" t="s">
        <v>121</v>
      </c>
    </row>
    <row r="1884" spans="1:33" x14ac:dyDescent="0.25">
      <c r="A1884" t="str">
        <f>"1265421200"</f>
        <v>1265421200</v>
      </c>
      <c r="B1884" t="str">
        <f>"00996694"</f>
        <v>00996694</v>
      </c>
      <c r="C1884" t="s">
        <v>10926</v>
      </c>
      <c r="D1884" t="s">
        <v>10927</v>
      </c>
      <c r="E1884" t="s">
        <v>10928</v>
      </c>
      <c r="G1884" t="s">
        <v>10926</v>
      </c>
      <c r="H1884" t="s">
        <v>10929</v>
      </c>
      <c r="J1884" t="s">
        <v>10930</v>
      </c>
      <c r="L1884" t="s">
        <v>112</v>
      </c>
      <c r="M1884" t="s">
        <v>113</v>
      </c>
      <c r="R1884" t="s">
        <v>10931</v>
      </c>
      <c r="W1884" t="s">
        <v>10928</v>
      </c>
      <c r="X1884" t="s">
        <v>10932</v>
      </c>
      <c r="Y1884" t="s">
        <v>116</v>
      </c>
      <c r="Z1884" t="s">
        <v>117</v>
      </c>
      <c r="AA1884" t="str">
        <f>"14220-2552"</f>
        <v>14220-2552</v>
      </c>
      <c r="AB1884" t="s">
        <v>634</v>
      </c>
      <c r="AC1884" t="s">
        <v>119</v>
      </c>
      <c r="AD1884" t="s">
        <v>113</v>
      </c>
      <c r="AE1884" t="s">
        <v>120</v>
      </c>
      <c r="AG1884" t="s">
        <v>121</v>
      </c>
    </row>
    <row r="1885" spans="1:33" x14ac:dyDescent="0.25">
      <c r="A1885" t="str">
        <f>"1265421564"</f>
        <v>1265421564</v>
      </c>
      <c r="B1885" t="str">
        <f>"00595208"</f>
        <v>00595208</v>
      </c>
      <c r="C1885" t="s">
        <v>10933</v>
      </c>
      <c r="D1885" t="s">
        <v>10934</v>
      </c>
      <c r="E1885" t="s">
        <v>10935</v>
      </c>
      <c r="G1885" t="s">
        <v>10933</v>
      </c>
      <c r="H1885" t="s">
        <v>10936</v>
      </c>
      <c r="J1885" t="s">
        <v>10937</v>
      </c>
      <c r="L1885" t="s">
        <v>150</v>
      </c>
      <c r="M1885" t="s">
        <v>113</v>
      </c>
      <c r="R1885" t="s">
        <v>10938</v>
      </c>
      <c r="W1885" t="s">
        <v>10935</v>
      </c>
      <c r="X1885" t="s">
        <v>10939</v>
      </c>
      <c r="Y1885" t="s">
        <v>116</v>
      </c>
      <c r="Z1885" t="s">
        <v>117</v>
      </c>
      <c r="AA1885" t="str">
        <f>"14222-2090"</f>
        <v>14222-2090</v>
      </c>
      <c r="AB1885" t="s">
        <v>118</v>
      </c>
      <c r="AC1885" t="s">
        <v>119</v>
      </c>
      <c r="AD1885" t="s">
        <v>113</v>
      </c>
      <c r="AE1885" t="s">
        <v>120</v>
      </c>
      <c r="AG1885" t="s">
        <v>121</v>
      </c>
    </row>
    <row r="1886" spans="1:33" x14ac:dyDescent="0.25">
      <c r="A1886" t="str">
        <f>"1033133509"</f>
        <v>1033133509</v>
      </c>
      <c r="B1886" t="str">
        <f>"02087630"</f>
        <v>02087630</v>
      </c>
      <c r="C1886" t="s">
        <v>10940</v>
      </c>
      <c r="D1886" t="s">
        <v>10941</v>
      </c>
      <c r="E1886" t="s">
        <v>10942</v>
      </c>
      <c r="G1886" t="s">
        <v>10943</v>
      </c>
      <c r="H1886" t="s">
        <v>10944</v>
      </c>
      <c r="J1886" t="s">
        <v>10945</v>
      </c>
      <c r="L1886" t="s">
        <v>112</v>
      </c>
      <c r="M1886" t="s">
        <v>113</v>
      </c>
      <c r="R1886" t="s">
        <v>10946</v>
      </c>
      <c r="W1886" t="s">
        <v>10942</v>
      </c>
      <c r="X1886" t="s">
        <v>10947</v>
      </c>
      <c r="Y1886" t="s">
        <v>816</v>
      </c>
      <c r="Z1886" t="s">
        <v>117</v>
      </c>
      <c r="AA1886" t="str">
        <f>"14120-2835"</f>
        <v>14120-2835</v>
      </c>
      <c r="AB1886" t="s">
        <v>118</v>
      </c>
      <c r="AC1886" t="s">
        <v>119</v>
      </c>
      <c r="AD1886" t="s">
        <v>113</v>
      </c>
      <c r="AE1886" t="s">
        <v>120</v>
      </c>
      <c r="AG1886" t="s">
        <v>121</v>
      </c>
    </row>
    <row r="1887" spans="1:33" x14ac:dyDescent="0.25">
      <c r="A1887" t="str">
        <f>"1316986656"</f>
        <v>1316986656</v>
      </c>
      <c r="B1887" t="str">
        <f>"01462880"</f>
        <v>01462880</v>
      </c>
      <c r="C1887" t="s">
        <v>10948</v>
      </c>
      <c r="D1887" t="s">
        <v>10949</v>
      </c>
      <c r="E1887" t="s">
        <v>10950</v>
      </c>
      <c r="G1887" t="s">
        <v>10948</v>
      </c>
      <c r="H1887" t="s">
        <v>7536</v>
      </c>
      <c r="J1887" t="s">
        <v>10951</v>
      </c>
      <c r="L1887" t="s">
        <v>142</v>
      </c>
      <c r="M1887" t="s">
        <v>113</v>
      </c>
      <c r="R1887" t="s">
        <v>10952</v>
      </c>
      <c r="W1887" t="s">
        <v>10950</v>
      </c>
      <c r="X1887" t="s">
        <v>10953</v>
      </c>
      <c r="Y1887" t="s">
        <v>10954</v>
      </c>
      <c r="Z1887" t="s">
        <v>117</v>
      </c>
      <c r="AA1887" t="str">
        <f>"10225-1319"</f>
        <v>10225-1319</v>
      </c>
      <c r="AB1887" t="s">
        <v>528</v>
      </c>
      <c r="AC1887" t="s">
        <v>119</v>
      </c>
      <c r="AD1887" t="s">
        <v>113</v>
      </c>
      <c r="AE1887" t="s">
        <v>120</v>
      </c>
      <c r="AG1887" t="s">
        <v>121</v>
      </c>
    </row>
    <row r="1888" spans="1:33" x14ac:dyDescent="0.25">
      <c r="A1888" t="str">
        <f>"1326003047"</f>
        <v>1326003047</v>
      </c>
      <c r="B1888" t="str">
        <f>"02651889"</f>
        <v>02651889</v>
      </c>
      <c r="C1888" t="s">
        <v>10955</v>
      </c>
      <c r="D1888" t="s">
        <v>10956</v>
      </c>
      <c r="E1888" t="s">
        <v>10957</v>
      </c>
      <c r="G1888" t="s">
        <v>10958</v>
      </c>
      <c r="H1888" t="s">
        <v>10959</v>
      </c>
      <c r="J1888" t="s">
        <v>10960</v>
      </c>
      <c r="L1888" t="s">
        <v>112</v>
      </c>
      <c r="M1888" t="s">
        <v>113</v>
      </c>
      <c r="R1888" t="s">
        <v>10961</v>
      </c>
      <c r="W1888" t="s">
        <v>10957</v>
      </c>
      <c r="X1888" t="s">
        <v>511</v>
      </c>
      <c r="Y1888" t="s">
        <v>512</v>
      </c>
      <c r="Z1888" t="s">
        <v>117</v>
      </c>
      <c r="AA1888" t="str">
        <f>"14092-1903"</f>
        <v>14092-1903</v>
      </c>
      <c r="AB1888" t="s">
        <v>118</v>
      </c>
      <c r="AC1888" t="s">
        <v>119</v>
      </c>
      <c r="AD1888" t="s">
        <v>113</v>
      </c>
      <c r="AE1888" t="s">
        <v>120</v>
      </c>
      <c r="AG1888" t="s">
        <v>121</v>
      </c>
    </row>
    <row r="1889" spans="1:33" x14ac:dyDescent="0.25">
      <c r="A1889" t="str">
        <f>"1326007030"</f>
        <v>1326007030</v>
      </c>
      <c r="B1889" t="str">
        <f>"00709691"</f>
        <v>00709691</v>
      </c>
      <c r="C1889" t="s">
        <v>10962</v>
      </c>
      <c r="D1889" t="s">
        <v>10963</v>
      </c>
      <c r="E1889" t="s">
        <v>10964</v>
      </c>
      <c r="H1889" t="s">
        <v>366</v>
      </c>
      <c r="L1889" t="s">
        <v>142</v>
      </c>
      <c r="M1889" t="s">
        <v>113</v>
      </c>
      <c r="R1889" t="s">
        <v>10965</v>
      </c>
      <c r="W1889" t="s">
        <v>10966</v>
      </c>
      <c r="X1889" t="s">
        <v>10967</v>
      </c>
      <c r="Y1889" t="s">
        <v>153</v>
      </c>
      <c r="Z1889" t="s">
        <v>117</v>
      </c>
      <c r="AA1889" t="str">
        <f>"14301-1813"</f>
        <v>14301-1813</v>
      </c>
      <c r="AB1889" t="s">
        <v>118</v>
      </c>
      <c r="AC1889" t="s">
        <v>119</v>
      </c>
      <c r="AD1889" t="s">
        <v>113</v>
      </c>
      <c r="AE1889" t="s">
        <v>120</v>
      </c>
      <c r="AG1889" t="s">
        <v>121</v>
      </c>
    </row>
    <row r="1890" spans="1:33" x14ac:dyDescent="0.25">
      <c r="A1890" t="str">
        <f>"1326023953"</f>
        <v>1326023953</v>
      </c>
      <c r="B1890" t="str">
        <f>"01183146"</f>
        <v>01183146</v>
      </c>
      <c r="C1890" t="s">
        <v>10968</v>
      </c>
      <c r="D1890" t="s">
        <v>10969</v>
      </c>
      <c r="E1890" t="s">
        <v>10970</v>
      </c>
      <c r="G1890" t="s">
        <v>10968</v>
      </c>
      <c r="H1890" t="s">
        <v>10971</v>
      </c>
      <c r="J1890" t="s">
        <v>10972</v>
      </c>
      <c r="L1890" t="s">
        <v>150</v>
      </c>
      <c r="M1890" t="s">
        <v>199</v>
      </c>
      <c r="R1890" t="s">
        <v>10973</v>
      </c>
      <c r="W1890" t="s">
        <v>10970</v>
      </c>
      <c r="X1890" t="s">
        <v>1024</v>
      </c>
      <c r="Y1890" t="s">
        <v>116</v>
      </c>
      <c r="Z1890" t="s">
        <v>117</v>
      </c>
      <c r="AA1890" t="str">
        <f>"14209-2406"</f>
        <v>14209-2406</v>
      </c>
      <c r="AB1890" t="s">
        <v>118</v>
      </c>
      <c r="AC1890" t="s">
        <v>119</v>
      </c>
      <c r="AD1890" t="s">
        <v>113</v>
      </c>
      <c r="AE1890" t="s">
        <v>120</v>
      </c>
      <c r="AG1890" t="s">
        <v>121</v>
      </c>
    </row>
    <row r="1891" spans="1:33" x14ac:dyDescent="0.25">
      <c r="A1891" t="str">
        <f>"1326024662"</f>
        <v>1326024662</v>
      </c>
      <c r="B1891" t="str">
        <f>"01702556"</f>
        <v>01702556</v>
      </c>
      <c r="C1891" t="s">
        <v>10974</v>
      </c>
      <c r="D1891" t="s">
        <v>10975</v>
      </c>
      <c r="E1891" t="s">
        <v>10976</v>
      </c>
      <c r="G1891" t="s">
        <v>10977</v>
      </c>
      <c r="H1891" t="s">
        <v>7429</v>
      </c>
      <c r="J1891" t="s">
        <v>10978</v>
      </c>
      <c r="L1891" t="s">
        <v>728</v>
      </c>
      <c r="M1891" t="s">
        <v>113</v>
      </c>
      <c r="R1891" t="s">
        <v>10979</v>
      </c>
      <c r="W1891" t="s">
        <v>10976</v>
      </c>
      <c r="X1891" t="s">
        <v>253</v>
      </c>
      <c r="Y1891" t="s">
        <v>116</v>
      </c>
      <c r="Z1891" t="s">
        <v>117</v>
      </c>
      <c r="AA1891" t="str">
        <f>"14215-3021"</f>
        <v>14215-3021</v>
      </c>
      <c r="AB1891" t="s">
        <v>118</v>
      </c>
      <c r="AC1891" t="s">
        <v>119</v>
      </c>
      <c r="AD1891" t="s">
        <v>113</v>
      </c>
      <c r="AE1891" t="s">
        <v>120</v>
      </c>
      <c r="AG1891" t="s">
        <v>121</v>
      </c>
    </row>
    <row r="1892" spans="1:33" x14ac:dyDescent="0.25">
      <c r="A1892" t="str">
        <f>"1326030495"</f>
        <v>1326030495</v>
      </c>
      <c r="B1892" t="str">
        <f>"03232620"</f>
        <v>03232620</v>
      </c>
      <c r="C1892" t="s">
        <v>10980</v>
      </c>
      <c r="D1892" t="s">
        <v>10981</v>
      </c>
      <c r="E1892" t="s">
        <v>10982</v>
      </c>
      <c r="G1892" t="s">
        <v>10983</v>
      </c>
      <c r="H1892" t="s">
        <v>10984</v>
      </c>
      <c r="L1892" t="s">
        <v>1033</v>
      </c>
      <c r="M1892" t="s">
        <v>199</v>
      </c>
      <c r="R1892" t="s">
        <v>10983</v>
      </c>
      <c r="W1892" t="s">
        <v>10985</v>
      </c>
      <c r="X1892" t="s">
        <v>10986</v>
      </c>
      <c r="Y1892" t="s">
        <v>10987</v>
      </c>
      <c r="Z1892" t="s">
        <v>117</v>
      </c>
      <c r="AA1892" t="str">
        <f>"14750-2000"</f>
        <v>14750-2000</v>
      </c>
      <c r="AB1892" t="s">
        <v>118</v>
      </c>
      <c r="AC1892" t="s">
        <v>119</v>
      </c>
      <c r="AD1892" t="s">
        <v>113</v>
      </c>
      <c r="AE1892" t="s">
        <v>120</v>
      </c>
      <c r="AG1892" t="s">
        <v>121</v>
      </c>
    </row>
    <row r="1893" spans="1:33" x14ac:dyDescent="0.25">
      <c r="A1893" t="str">
        <f>"1326041799"</f>
        <v>1326041799</v>
      </c>
      <c r="B1893" t="str">
        <f>"01032379"</f>
        <v>01032379</v>
      </c>
      <c r="C1893" t="s">
        <v>10988</v>
      </c>
      <c r="D1893" t="s">
        <v>10989</v>
      </c>
      <c r="E1893" t="s">
        <v>10990</v>
      </c>
      <c r="G1893" t="s">
        <v>330</v>
      </c>
      <c r="H1893" t="s">
        <v>419</v>
      </c>
      <c r="J1893" t="s">
        <v>332</v>
      </c>
      <c r="L1893" t="s">
        <v>142</v>
      </c>
      <c r="M1893" t="s">
        <v>113</v>
      </c>
      <c r="R1893" t="s">
        <v>10991</v>
      </c>
      <c r="W1893" t="s">
        <v>10990</v>
      </c>
      <c r="X1893" t="s">
        <v>10992</v>
      </c>
      <c r="Y1893" t="s">
        <v>2690</v>
      </c>
      <c r="Z1893" t="s">
        <v>117</v>
      </c>
      <c r="AA1893" t="str">
        <f>"10467-2702"</f>
        <v>10467-2702</v>
      </c>
      <c r="AB1893" t="s">
        <v>118</v>
      </c>
      <c r="AC1893" t="s">
        <v>119</v>
      </c>
      <c r="AD1893" t="s">
        <v>113</v>
      </c>
      <c r="AE1893" t="s">
        <v>120</v>
      </c>
      <c r="AG1893" t="s">
        <v>121</v>
      </c>
    </row>
    <row r="1894" spans="1:33" x14ac:dyDescent="0.25">
      <c r="A1894" t="str">
        <f>"1326046343"</f>
        <v>1326046343</v>
      </c>
      <c r="B1894" t="str">
        <f>"02071016"</f>
        <v>02071016</v>
      </c>
      <c r="C1894" t="s">
        <v>10993</v>
      </c>
      <c r="D1894" t="s">
        <v>10994</v>
      </c>
      <c r="E1894" t="s">
        <v>10995</v>
      </c>
      <c r="G1894" t="s">
        <v>10996</v>
      </c>
      <c r="H1894" t="s">
        <v>1204</v>
      </c>
      <c r="L1894" t="s">
        <v>150</v>
      </c>
      <c r="M1894" t="s">
        <v>113</v>
      </c>
      <c r="R1894" t="s">
        <v>10996</v>
      </c>
      <c r="W1894" t="s">
        <v>10995</v>
      </c>
      <c r="X1894" t="s">
        <v>1207</v>
      </c>
      <c r="Y1894" t="s">
        <v>153</v>
      </c>
      <c r="Z1894" t="s">
        <v>117</v>
      </c>
      <c r="AA1894" t="str">
        <f>"14304-5705"</f>
        <v>14304-5705</v>
      </c>
      <c r="AB1894" t="s">
        <v>118</v>
      </c>
      <c r="AC1894" t="s">
        <v>119</v>
      </c>
      <c r="AD1894" t="s">
        <v>113</v>
      </c>
      <c r="AE1894" t="s">
        <v>120</v>
      </c>
      <c r="AG1894" t="s">
        <v>121</v>
      </c>
    </row>
    <row r="1895" spans="1:33" x14ac:dyDescent="0.25">
      <c r="A1895" t="str">
        <f>"1326078106"</f>
        <v>1326078106</v>
      </c>
      <c r="B1895" t="str">
        <f>"00653076"</f>
        <v>00653076</v>
      </c>
      <c r="C1895" t="s">
        <v>10997</v>
      </c>
      <c r="D1895" t="s">
        <v>10998</v>
      </c>
      <c r="E1895" t="s">
        <v>10999</v>
      </c>
      <c r="G1895" t="s">
        <v>10997</v>
      </c>
      <c r="H1895" t="s">
        <v>2347</v>
      </c>
      <c r="J1895" t="s">
        <v>11000</v>
      </c>
      <c r="L1895" t="s">
        <v>142</v>
      </c>
      <c r="M1895" t="s">
        <v>113</v>
      </c>
      <c r="R1895" t="s">
        <v>11001</v>
      </c>
      <c r="W1895" t="s">
        <v>10999</v>
      </c>
      <c r="X1895" t="s">
        <v>11002</v>
      </c>
      <c r="Y1895" t="s">
        <v>116</v>
      </c>
      <c r="Z1895" t="s">
        <v>117</v>
      </c>
      <c r="AA1895" t="str">
        <f>"14201-1413"</f>
        <v>14201-1413</v>
      </c>
      <c r="AB1895" t="s">
        <v>118</v>
      </c>
      <c r="AC1895" t="s">
        <v>119</v>
      </c>
      <c r="AD1895" t="s">
        <v>113</v>
      </c>
      <c r="AE1895" t="s">
        <v>120</v>
      </c>
      <c r="AG1895" t="s">
        <v>121</v>
      </c>
    </row>
    <row r="1896" spans="1:33" x14ac:dyDescent="0.25">
      <c r="A1896" t="str">
        <f>"1447461876"</f>
        <v>1447461876</v>
      </c>
      <c r="B1896" t="str">
        <f>"03003541"</f>
        <v>03003541</v>
      </c>
      <c r="C1896" t="s">
        <v>1542</v>
      </c>
      <c r="D1896" t="s">
        <v>10147</v>
      </c>
      <c r="E1896" t="s">
        <v>10148</v>
      </c>
      <c r="H1896" t="s">
        <v>1456</v>
      </c>
      <c r="J1896" t="s">
        <v>1457</v>
      </c>
      <c r="L1896" t="s">
        <v>229</v>
      </c>
      <c r="M1896" t="s">
        <v>199</v>
      </c>
      <c r="R1896" t="s">
        <v>1542</v>
      </c>
      <c r="W1896" t="s">
        <v>10148</v>
      </c>
      <c r="X1896" t="s">
        <v>5515</v>
      </c>
      <c r="Y1896" t="s">
        <v>1545</v>
      </c>
      <c r="Z1896" t="s">
        <v>117</v>
      </c>
      <c r="AA1896" t="str">
        <f>"14218-2708"</f>
        <v>14218-2708</v>
      </c>
      <c r="AB1896" t="s">
        <v>5427</v>
      </c>
      <c r="AC1896" t="s">
        <v>119</v>
      </c>
      <c r="AD1896" t="s">
        <v>113</v>
      </c>
      <c r="AE1896" t="s">
        <v>120</v>
      </c>
      <c r="AG1896" t="s">
        <v>121</v>
      </c>
    </row>
    <row r="1897" spans="1:33" x14ac:dyDescent="0.25">
      <c r="A1897" t="str">
        <f>"1447464433"</f>
        <v>1447464433</v>
      </c>
      <c r="B1897" t="str">
        <f>"00908163"</f>
        <v>00908163</v>
      </c>
      <c r="C1897" t="s">
        <v>11003</v>
      </c>
      <c r="D1897" t="s">
        <v>11004</v>
      </c>
      <c r="E1897" t="s">
        <v>11005</v>
      </c>
      <c r="G1897" t="s">
        <v>11003</v>
      </c>
      <c r="H1897" t="s">
        <v>11006</v>
      </c>
      <c r="J1897" t="s">
        <v>11007</v>
      </c>
      <c r="L1897" t="s">
        <v>142</v>
      </c>
      <c r="M1897" t="s">
        <v>113</v>
      </c>
      <c r="R1897" t="s">
        <v>11008</v>
      </c>
      <c r="W1897" t="s">
        <v>11005</v>
      </c>
      <c r="X1897" t="s">
        <v>11009</v>
      </c>
      <c r="Y1897" t="s">
        <v>129</v>
      </c>
      <c r="Z1897" t="s">
        <v>117</v>
      </c>
      <c r="AA1897" t="str">
        <f>"14224-3051"</f>
        <v>14224-3051</v>
      </c>
      <c r="AB1897" t="s">
        <v>1755</v>
      </c>
      <c r="AC1897" t="s">
        <v>119</v>
      </c>
      <c r="AD1897" t="s">
        <v>113</v>
      </c>
      <c r="AE1897" t="s">
        <v>120</v>
      </c>
      <c r="AG1897" t="s">
        <v>121</v>
      </c>
    </row>
    <row r="1898" spans="1:33" x14ac:dyDescent="0.25">
      <c r="B1898" t="str">
        <f>"02591702"</f>
        <v>02591702</v>
      </c>
      <c r="C1898" t="s">
        <v>18005</v>
      </c>
      <c r="D1898" t="s">
        <v>18006</v>
      </c>
      <c r="E1898" t="s">
        <v>18005</v>
      </c>
      <c r="F1898">
        <v>160818293</v>
      </c>
      <c r="H1898" t="s">
        <v>713</v>
      </c>
      <c r="L1898" t="s">
        <v>69</v>
      </c>
      <c r="M1898" t="s">
        <v>199</v>
      </c>
      <c r="W1898" t="s">
        <v>18005</v>
      </c>
      <c r="X1898" t="s">
        <v>714</v>
      </c>
      <c r="Y1898" t="s">
        <v>305</v>
      </c>
      <c r="Z1898" t="s">
        <v>117</v>
      </c>
      <c r="AA1898" t="str">
        <f>"14760-1140"</f>
        <v>14760-1140</v>
      </c>
      <c r="AB1898" t="s">
        <v>291</v>
      </c>
      <c r="AC1898" t="s">
        <v>119</v>
      </c>
      <c r="AD1898" t="s">
        <v>113</v>
      </c>
      <c r="AE1898" t="s">
        <v>120</v>
      </c>
      <c r="AG1898" t="s">
        <v>121</v>
      </c>
    </row>
    <row r="1899" spans="1:33" x14ac:dyDescent="0.25">
      <c r="A1899" t="str">
        <f>"1447665773"</f>
        <v>1447665773</v>
      </c>
      <c r="C1899" t="s">
        <v>11013</v>
      </c>
      <c r="G1899" t="s">
        <v>11013</v>
      </c>
      <c r="H1899" t="s">
        <v>11014</v>
      </c>
      <c r="J1899" t="s">
        <v>11015</v>
      </c>
      <c r="K1899" t="s">
        <v>303</v>
      </c>
      <c r="L1899" t="s">
        <v>229</v>
      </c>
      <c r="M1899" t="s">
        <v>113</v>
      </c>
      <c r="R1899" t="s">
        <v>11016</v>
      </c>
      <c r="S1899" t="s">
        <v>11017</v>
      </c>
      <c r="T1899" t="s">
        <v>116</v>
      </c>
      <c r="U1899" t="s">
        <v>117</v>
      </c>
      <c r="V1899" t="str">
        <f>"142131207"</f>
        <v>142131207</v>
      </c>
      <c r="AC1899" t="s">
        <v>119</v>
      </c>
      <c r="AD1899" t="s">
        <v>113</v>
      </c>
      <c r="AE1899" t="s">
        <v>306</v>
      </c>
      <c r="AG1899" t="s">
        <v>121</v>
      </c>
    </row>
    <row r="1900" spans="1:33" x14ac:dyDescent="0.25">
      <c r="A1900" t="str">
        <f>"1447695242"</f>
        <v>1447695242</v>
      </c>
      <c r="C1900" t="s">
        <v>11018</v>
      </c>
      <c r="G1900" t="s">
        <v>11019</v>
      </c>
      <c r="H1900" t="s">
        <v>351</v>
      </c>
      <c r="J1900" t="s">
        <v>352</v>
      </c>
      <c r="K1900" t="s">
        <v>303</v>
      </c>
      <c r="L1900" t="s">
        <v>229</v>
      </c>
      <c r="M1900" t="s">
        <v>113</v>
      </c>
      <c r="R1900" t="s">
        <v>11020</v>
      </c>
      <c r="S1900" t="s">
        <v>354</v>
      </c>
      <c r="T1900" t="s">
        <v>116</v>
      </c>
      <c r="U1900" t="s">
        <v>117</v>
      </c>
      <c r="V1900" t="str">
        <f>"142152814"</f>
        <v>142152814</v>
      </c>
      <c r="AC1900" t="s">
        <v>119</v>
      </c>
      <c r="AD1900" t="s">
        <v>113</v>
      </c>
      <c r="AE1900" t="s">
        <v>306</v>
      </c>
      <c r="AG1900" t="s">
        <v>121</v>
      </c>
    </row>
    <row r="1901" spans="1:33" x14ac:dyDescent="0.25">
      <c r="A1901" t="str">
        <f>"1457302366"</f>
        <v>1457302366</v>
      </c>
      <c r="B1901" t="str">
        <f>"01166178"</f>
        <v>01166178</v>
      </c>
      <c r="C1901" t="s">
        <v>11021</v>
      </c>
      <c r="D1901" t="s">
        <v>11022</v>
      </c>
      <c r="E1901" t="s">
        <v>11023</v>
      </c>
      <c r="G1901" t="s">
        <v>11021</v>
      </c>
      <c r="H1901" t="s">
        <v>4924</v>
      </c>
      <c r="J1901" t="s">
        <v>11024</v>
      </c>
      <c r="L1901" t="s">
        <v>142</v>
      </c>
      <c r="M1901" t="s">
        <v>113</v>
      </c>
      <c r="R1901" t="s">
        <v>11025</v>
      </c>
      <c r="W1901" t="s">
        <v>11026</v>
      </c>
      <c r="X1901" t="s">
        <v>6228</v>
      </c>
      <c r="Y1901" t="s">
        <v>116</v>
      </c>
      <c r="Z1901" t="s">
        <v>117</v>
      </c>
      <c r="AA1901" t="str">
        <f>"14203-1154"</f>
        <v>14203-1154</v>
      </c>
      <c r="AB1901" t="s">
        <v>118</v>
      </c>
      <c r="AC1901" t="s">
        <v>119</v>
      </c>
      <c r="AD1901" t="s">
        <v>113</v>
      </c>
      <c r="AE1901" t="s">
        <v>120</v>
      </c>
      <c r="AG1901" t="s">
        <v>121</v>
      </c>
    </row>
    <row r="1902" spans="1:33" x14ac:dyDescent="0.25">
      <c r="A1902" t="str">
        <f>"1457314197"</f>
        <v>1457314197</v>
      </c>
      <c r="B1902" t="str">
        <f>"01023385"</f>
        <v>01023385</v>
      </c>
      <c r="C1902" t="s">
        <v>11027</v>
      </c>
      <c r="D1902" t="s">
        <v>11028</v>
      </c>
      <c r="E1902" t="s">
        <v>11029</v>
      </c>
      <c r="G1902" t="s">
        <v>11027</v>
      </c>
      <c r="H1902" t="s">
        <v>11030</v>
      </c>
      <c r="J1902" t="s">
        <v>11031</v>
      </c>
      <c r="L1902" t="s">
        <v>142</v>
      </c>
      <c r="M1902" t="s">
        <v>113</v>
      </c>
      <c r="R1902" t="s">
        <v>11032</v>
      </c>
      <c r="W1902" t="s">
        <v>11033</v>
      </c>
      <c r="X1902" t="s">
        <v>11034</v>
      </c>
      <c r="Y1902" t="s">
        <v>116</v>
      </c>
      <c r="Z1902" t="s">
        <v>117</v>
      </c>
      <c r="AA1902" t="str">
        <f>"14203-1154"</f>
        <v>14203-1154</v>
      </c>
      <c r="AB1902" t="s">
        <v>118</v>
      </c>
      <c r="AC1902" t="s">
        <v>119</v>
      </c>
      <c r="AD1902" t="s">
        <v>113</v>
      </c>
      <c r="AE1902" t="s">
        <v>120</v>
      </c>
      <c r="AG1902" t="s">
        <v>121</v>
      </c>
    </row>
    <row r="1903" spans="1:33" x14ac:dyDescent="0.25">
      <c r="A1903" t="str">
        <f>"1457317406"</f>
        <v>1457317406</v>
      </c>
      <c r="B1903" t="str">
        <f>"00942681"</f>
        <v>00942681</v>
      </c>
      <c r="C1903" t="s">
        <v>11035</v>
      </c>
      <c r="D1903" t="s">
        <v>11036</v>
      </c>
      <c r="E1903" t="s">
        <v>11037</v>
      </c>
      <c r="G1903" t="s">
        <v>11035</v>
      </c>
      <c r="H1903" t="s">
        <v>11038</v>
      </c>
      <c r="J1903" t="s">
        <v>11039</v>
      </c>
      <c r="L1903" t="s">
        <v>142</v>
      </c>
      <c r="M1903" t="s">
        <v>113</v>
      </c>
      <c r="R1903" t="s">
        <v>11040</v>
      </c>
      <c r="W1903" t="s">
        <v>11041</v>
      </c>
      <c r="X1903" t="s">
        <v>11042</v>
      </c>
      <c r="Y1903" t="s">
        <v>268</v>
      </c>
      <c r="Z1903" t="s">
        <v>117</v>
      </c>
      <c r="AA1903" t="str">
        <f>"14150-2934"</f>
        <v>14150-2934</v>
      </c>
      <c r="AB1903" t="s">
        <v>1755</v>
      </c>
      <c r="AC1903" t="s">
        <v>119</v>
      </c>
      <c r="AD1903" t="s">
        <v>113</v>
      </c>
      <c r="AE1903" t="s">
        <v>120</v>
      </c>
      <c r="AG1903" t="s">
        <v>121</v>
      </c>
    </row>
    <row r="1904" spans="1:33" x14ac:dyDescent="0.25">
      <c r="A1904" t="str">
        <f>"1366408775"</f>
        <v>1366408775</v>
      </c>
      <c r="B1904" t="str">
        <f>"02650746"</f>
        <v>02650746</v>
      </c>
      <c r="C1904" t="s">
        <v>11043</v>
      </c>
      <c r="D1904" t="s">
        <v>11044</v>
      </c>
      <c r="E1904" t="s">
        <v>11045</v>
      </c>
      <c r="G1904" t="s">
        <v>11046</v>
      </c>
      <c r="H1904" t="s">
        <v>10944</v>
      </c>
      <c r="J1904" t="s">
        <v>11047</v>
      </c>
      <c r="L1904" t="s">
        <v>142</v>
      </c>
      <c r="M1904" t="s">
        <v>113</v>
      </c>
      <c r="R1904" t="s">
        <v>11048</v>
      </c>
      <c r="W1904" t="s">
        <v>11045</v>
      </c>
      <c r="X1904" t="s">
        <v>176</v>
      </c>
      <c r="Y1904" t="s">
        <v>116</v>
      </c>
      <c r="Z1904" t="s">
        <v>117</v>
      </c>
      <c r="AA1904" t="str">
        <f>"14203-1126"</f>
        <v>14203-1126</v>
      </c>
      <c r="AB1904" t="s">
        <v>118</v>
      </c>
      <c r="AC1904" t="s">
        <v>119</v>
      </c>
      <c r="AD1904" t="s">
        <v>113</v>
      </c>
      <c r="AE1904" t="s">
        <v>120</v>
      </c>
      <c r="AG1904" t="s">
        <v>121</v>
      </c>
    </row>
    <row r="1905" spans="1:33" x14ac:dyDescent="0.25">
      <c r="A1905" t="str">
        <f>"1366412413"</f>
        <v>1366412413</v>
      </c>
      <c r="B1905" t="str">
        <f>"01739739"</f>
        <v>01739739</v>
      </c>
      <c r="C1905" t="s">
        <v>11049</v>
      </c>
      <c r="D1905" t="s">
        <v>11050</v>
      </c>
      <c r="E1905" t="s">
        <v>11051</v>
      </c>
      <c r="G1905" t="s">
        <v>11049</v>
      </c>
      <c r="H1905" t="s">
        <v>11052</v>
      </c>
      <c r="J1905" t="s">
        <v>11053</v>
      </c>
      <c r="L1905" t="s">
        <v>1033</v>
      </c>
      <c r="M1905" t="s">
        <v>113</v>
      </c>
      <c r="R1905" t="s">
        <v>11054</v>
      </c>
      <c r="W1905" t="s">
        <v>11051</v>
      </c>
      <c r="X1905" t="s">
        <v>253</v>
      </c>
      <c r="Y1905" t="s">
        <v>116</v>
      </c>
      <c r="Z1905" t="s">
        <v>117</v>
      </c>
      <c r="AA1905" t="str">
        <f>"14215-3021"</f>
        <v>14215-3021</v>
      </c>
      <c r="AB1905" t="s">
        <v>2359</v>
      </c>
      <c r="AC1905" t="s">
        <v>119</v>
      </c>
      <c r="AD1905" t="s">
        <v>113</v>
      </c>
      <c r="AE1905" t="s">
        <v>120</v>
      </c>
      <c r="AG1905" t="s">
        <v>121</v>
      </c>
    </row>
    <row r="1906" spans="1:33" x14ac:dyDescent="0.25">
      <c r="A1906" t="str">
        <f>"1366413734"</f>
        <v>1366413734</v>
      </c>
      <c r="B1906" t="str">
        <f>"00673776"</f>
        <v>00673776</v>
      </c>
      <c r="C1906" t="s">
        <v>11055</v>
      </c>
      <c r="D1906" t="s">
        <v>11056</v>
      </c>
      <c r="E1906" t="s">
        <v>11057</v>
      </c>
      <c r="L1906" t="s">
        <v>142</v>
      </c>
      <c r="M1906" t="s">
        <v>113</v>
      </c>
      <c r="R1906" t="s">
        <v>11058</v>
      </c>
      <c r="W1906" t="s">
        <v>11057</v>
      </c>
      <c r="X1906" t="s">
        <v>11059</v>
      </c>
      <c r="Y1906" t="s">
        <v>2946</v>
      </c>
      <c r="Z1906" t="s">
        <v>117</v>
      </c>
      <c r="AA1906" t="str">
        <f>"14075-3738"</f>
        <v>14075-3738</v>
      </c>
      <c r="AB1906" t="s">
        <v>118</v>
      </c>
      <c r="AC1906" t="s">
        <v>119</v>
      </c>
      <c r="AD1906" t="s">
        <v>113</v>
      </c>
      <c r="AE1906" t="s">
        <v>120</v>
      </c>
      <c r="AG1906" t="s">
        <v>121</v>
      </c>
    </row>
    <row r="1907" spans="1:33" x14ac:dyDescent="0.25">
      <c r="A1907" t="str">
        <f>"1366417032"</f>
        <v>1366417032</v>
      </c>
      <c r="B1907" t="str">
        <f>"02077329"</f>
        <v>02077329</v>
      </c>
      <c r="C1907" t="s">
        <v>11060</v>
      </c>
      <c r="D1907" t="s">
        <v>11061</v>
      </c>
      <c r="E1907" t="s">
        <v>11062</v>
      </c>
      <c r="G1907" t="s">
        <v>11060</v>
      </c>
      <c r="H1907" t="s">
        <v>4625</v>
      </c>
      <c r="J1907" t="s">
        <v>11063</v>
      </c>
      <c r="L1907" t="s">
        <v>142</v>
      </c>
      <c r="M1907" t="s">
        <v>199</v>
      </c>
      <c r="R1907" t="s">
        <v>11064</v>
      </c>
      <c r="W1907" t="s">
        <v>11062</v>
      </c>
      <c r="X1907" t="s">
        <v>11065</v>
      </c>
      <c r="Y1907" t="s">
        <v>2690</v>
      </c>
      <c r="Z1907" t="s">
        <v>117</v>
      </c>
      <c r="AA1907" t="str">
        <f>"10467-2404"</f>
        <v>10467-2404</v>
      </c>
      <c r="AB1907" t="s">
        <v>118</v>
      </c>
      <c r="AC1907" t="s">
        <v>119</v>
      </c>
      <c r="AD1907" t="s">
        <v>113</v>
      </c>
      <c r="AE1907" t="s">
        <v>120</v>
      </c>
      <c r="AG1907" t="s">
        <v>121</v>
      </c>
    </row>
    <row r="1908" spans="1:33" x14ac:dyDescent="0.25">
      <c r="A1908" t="str">
        <f>"1366417198"</f>
        <v>1366417198</v>
      </c>
      <c r="B1908" t="str">
        <f>"02429481"</f>
        <v>02429481</v>
      </c>
      <c r="C1908" t="s">
        <v>11066</v>
      </c>
      <c r="D1908" t="s">
        <v>11067</v>
      </c>
      <c r="E1908" t="s">
        <v>11068</v>
      </c>
      <c r="G1908" t="s">
        <v>11069</v>
      </c>
      <c r="H1908" t="s">
        <v>8616</v>
      </c>
      <c r="J1908" t="s">
        <v>11070</v>
      </c>
      <c r="L1908" t="s">
        <v>112</v>
      </c>
      <c r="M1908" t="s">
        <v>113</v>
      </c>
      <c r="R1908" t="s">
        <v>11071</v>
      </c>
      <c r="W1908" t="s">
        <v>11068</v>
      </c>
      <c r="X1908" t="s">
        <v>176</v>
      </c>
      <c r="Y1908" t="s">
        <v>116</v>
      </c>
      <c r="Z1908" t="s">
        <v>117</v>
      </c>
      <c r="AA1908" t="str">
        <f>"14203-1126"</f>
        <v>14203-1126</v>
      </c>
      <c r="AB1908" t="s">
        <v>118</v>
      </c>
      <c r="AC1908" t="s">
        <v>119</v>
      </c>
      <c r="AD1908" t="s">
        <v>113</v>
      </c>
      <c r="AE1908" t="s">
        <v>120</v>
      </c>
      <c r="AG1908" t="s">
        <v>121</v>
      </c>
    </row>
    <row r="1909" spans="1:33" x14ac:dyDescent="0.25">
      <c r="A1909" t="str">
        <f>"1366418204"</f>
        <v>1366418204</v>
      </c>
      <c r="B1909" t="str">
        <f>"01198250"</f>
        <v>01198250</v>
      </c>
      <c r="C1909" t="s">
        <v>11072</v>
      </c>
      <c r="D1909" t="s">
        <v>11073</v>
      </c>
      <c r="E1909" t="s">
        <v>11074</v>
      </c>
      <c r="G1909" t="s">
        <v>859</v>
      </c>
      <c r="H1909" t="s">
        <v>11075</v>
      </c>
      <c r="J1909" t="s">
        <v>861</v>
      </c>
      <c r="L1909" t="s">
        <v>150</v>
      </c>
      <c r="M1909" t="s">
        <v>113</v>
      </c>
      <c r="R1909" t="s">
        <v>11076</v>
      </c>
      <c r="W1909" t="s">
        <v>11074</v>
      </c>
      <c r="X1909" t="s">
        <v>11077</v>
      </c>
      <c r="Y1909" t="s">
        <v>116</v>
      </c>
      <c r="Z1909" t="s">
        <v>117</v>
      </c>
      <c r="AA1909" t="str">
        <f>"14201-2135"</f>
        <v>14201-2135</v>
      </c>
      <c r="AB1909" t="s">
        <v>118</v>
      </c>
      <c r="AC1909" t="s">
        <v>119</v>
      </c>
      <c r="AD1909" t="s">
        <v>113</v>
      </c>
      <c r="AE1909" t="s">
        <v>120</v>
      </c>
      <c r="AG1909" t="s">
        <v>121</v>
      </c>
    </row>
    <row r="1910" spans="1:33" x14ac:dyDescent="0.25">
      <c r="A1910" t="str">
        <f>"1366418345"</f>
        <v>1366418345</v>
      </c>
      <c r="B1910" t="str">
        <f>"01732521"</f>
        <v>01732521</v>
      </c>
      <c r="C1910" t="s">
        <v>11078</v>
      </c>
      <c r="D1910" t="s">
        <v>11079</v>
      </c>
      <c r="E1910" t="s">
        <v>11080</v>
      </c>
      <c r="G1910" t="s">
        <v>6204</v>
      </c>
      <c r="H1910" t="s">
        <v>1883</v>
      </c>
      <c r="J1910" t="s">
        <v>6205</v>
      </c>
      <c r="L1910" t="s">
        <v>150</v>
      </c>
      <c r="M1910" t="s">
        <v>113</v>
      </c>
      <c r="R1910" t="s">
        <v>11081</v>
      </c>
      <c r="W1910" t="s">
        <v>11080</v>
      </c>
      <c r="X1910" t="s">
        <v>11082</v>
      </c>
      <c r="Y1910" t="s">
        <v>116</v>
      </c>
      <c r="Z1910" t="s">
        <v>117</v>
      </c>
      <c r="AA1910" t="str">
        <f>"14212-1845"</f>
        <v>14212-1845</v>
      </c>
      <c r="AB1910" t="s">
        <v>118</v>
      </c>
      <c r="AC1910" t="s">
        <v>119</v>
      </c>
      <c r="AD1910" t="s">
        <v>113</v>
      </c>
      <c r="AE1910" t="s">
        <v>120</v>
      </c>
      <c r="AG1910" t="s">
        <v>121</v>
      </c>
    </row>
    <row r="1911" spans="1:33" x14ac:dyDescent="0.25">
      <c r="A1911" t="str">
        <f>"1366418683"</f>
        <v>1366418683</v>
      </c>
      <c r="B1911" t="str">
        <f>"01339871"</f>
        <v>01339871</v>
      </c>
      <c r="C1911" t="s">
        <v>11083</v>
      </c>
      <c r="D1911" t="s">
        <v>11084</v>
      </c>
      <c r="E1911" t="s">
        <v>11085</v>
      </c>
      <c r="G1911" t="s">
        <v>11083</v>
      </c>
      <c r="H1911" t="s">
        <v>1233</v>
      </c>
      <c r="J1911" t="s">
        <v>11086</v>
      </c>
      <c r="L1911" t="s">
        <v>142</v>
      </c>
      <c r="M1911" t="s">
        <v>113</v>
      </c>
      <c r="R1911" t="s">
        <v>11087</v>
      </c>
      <c r="W1911" t="s">
        <v>11088</v>
      </c>
      <c r="X1911" t="s">
        <v>333</v>
      </c>
      <c r="Y1911" t="s">
        <v>116</v>
      </c>
      <c r="Z1911" t="s">
        <v>117</v>
      </c>
      <c r="AA1911" t="str">
        <f>"14203-1109"</f>
        <v>14203-1109</v>
      </c>
      <c r="AB1911" t="s">
        <v>118</v>
      </c>
      <c r="AC1911" t="s">
        <v>119</v>
      </c>
      <c r="AD1911" t="s">
        <v>113</v>
      </c>
      <c r="AE1911" t="s">
        <v>120</v>
      </c>
      <c r="AG1911" t="s">
        <v>121</v>
      </c>
    </row>
    <row r="1912" spans="1:33" x14ac:dyDescent="0.25">
      <c r="A1912" t="str">
        <f>"1366422446"</f>
        <v>1366422446</v>
      </c>
      <c r="B1912" t="str">
        <f>"01675130"</f>
        <v>01675130</v>
      </c>
      <c r="C1912" t="s">
        <v>11089</v>
      </c>
      <c r="D1912" t="s">
        <v>11090</v>
      </c>
      <c r="E1912" t="s">
        <v>11091</v>
      </c>
      <c r="G1912" t="s">
        <v>11089</v>
      </c>
      <c r="H1912" t="s">
        <v>11092</v>
      </c>
      <c r="J1912" t="s">
        <v>11093</v>
      </c>
      <c r="L1912" t="s">
        <v>142</v>
      </c>
      <c r="M1912" t="s">
        <v>113</v>
      </c>
      <c r="R1912" t="s">
        <v>11094</v>
      </c>
      <c r="W1912" t="s">
        <v>11091</v>
      </c>
      <c r="X1912" t="s">
        <v>11095</v>
      </c>
      <c r="Y1912" t="s">
        <v>922</v>
      </c>
      <c r="Z1912" t="s">
        <v>117</v>
      </c>
      <c r="AA1912" t="str">
        <f>"14895-1150"</f>
        <v>14895-1150</v>
      </c>
      <c r="AB1912" t="s">
        <v>118</v>
      </c>
      <c r="AC1912" t="s">
        <v>119</v>
      </c>
      <c r="AD1912" t="s">
        <v>113</v>
      </c>
      <c r="AE1912" t="s">
        <v>120</v>
      </c>
      <c r="AG1912" t="s">
        <v>121</v>
      </c>
    </row>
    <row r="1913" spans="1:33" x14ac:dyDescent="0.25">
      <c r="A1913" t="str">
        <f>"1366436198"</f>
        <v>1366436198</v>
      </c>
      <c r="B1913" t="str">
        <f>"01129386"</f>
        <v>01129386</v>
      </c>
      <c r="C1913" t="s">
        <v>11096</v>
      </c>
      <c r="D1913" t="s">
        <v>11097</v>
      </c>
      <c r="E1913" t="s">
        <v>11098</v>
      </c>
      <c r="G1913" t="s">
        <v>11099</v>
      </c>
      <c r="H1913" t="s">
        <v>2702</v>
      </c>
      <c r="J1913" t="s">
        <v>11100</v>
      </c>
      <c r="L1913" t="s">
        <v>142</v>
      </c>
      <c r="M1913" t="s">
        <v>113</v>
      </c>
      <c r="R1913" t="s">
        <v>11101</v>
      </c>
      <c r="W1913" t="s">
        <v>11098</v>
      </c>
      <c r="X1913" t="s">
        <v>11102</v>
      </c>
      <c r="Y1913" t="s">
        <v>240</v>
      </c>
      <c r="Z1913" t="s">
        <v>117</v>
      </c>
      <c r="AA1913" t="str">
        <f>"14221"</f>
        <v>14221</v>
      </c>
      <c r="AB1913" t="s">
        <v>118</v>
      </c>
      <c r="AC1913" t="s">
        <v>119</v>
      </c>
      <c r="AD1913" t="s">
        <v>113</v>
      </c>
      <c r="AE1913" t="s">
        <v>120</v>
      </c>
      <c r="AG1913" t="s">
        <v>121</v>
      </c>
    </row>
    <row r="1914" spans="1:33" x14ac:dyDescent="0.25">
      <c r="A1914" t="str">
        <f>"1366440679"</f>
        <v>1366440679</v>
      </c>
      <c r="B1914" t="str">
        <f>"00486195"</f>
        <v>00486195</v>
      </c>
      <c r="C1914" t="s">
        <v>11103</v>
      </c>
      <c r="D1914" t="s">
        <v>11104</v>
      </c>
      <c r="E1914" t="s">
        <v>11105</v>
      </c>
      <c r="G1914" t="s">
        <v>11103</v>
      </c>
      <c r="H1914" t="s">
        <v>11106</v>
      </c>
      <c r="J1914" t="s">
        <v>11107</v>
      </c>
      <c r="L1914" t="s">
        <v>150</v>
      </c>
      <c r="M1914" t="s">
        <v>113</v>
      </c>
      <c r="R1914" t="s">
        <v>11108</v>
      </c>
      <c r="W1914" t="s">
        <v>11105</v>
      </c>
      <c r="X1914" t="s">
        <v>11109</v>
      </c>
      <c r="Y1914" t="s">
        <v>232</v>
      </c>
      <c r="Z1914" t="s">
        <v>117</v>
      </c>
      <c r="AA1914" t="str">
        <f>"10011-8305"</f>
        <v>10011-8305</v>
      </c>
      <c r="AB1914" t="s">
        <v>118</v>
      </c>
      <c r="AC1914" t="s">
        <v>119</v>
      </c>
      <c r="AD1914" t="s">
        <v>113</v>
      </c>
      <c r="AE1914" t="s">
        <v>120</v>
      </c>
      <c r="AG1914" t="s">
        <v>121</v>
      </c>
    </row>
    <row r="1915" spans="1:33" x14ac:dyDescent="0.25">
      <c r="A1915" t="str">
        <f>"1366440968"</f>
        <v>1366440968</v>
      </c>
      <c r="B1915" t="str">
        <f>"02995384"</f>
        <v>02995384</v>
      </c>
      <c r="C1915" t="s">
        <v>11110</v>
      </c>
      <c r="D1915" t="s">
        <v>11111</v>
      </c>
      <c r="E1915" t="s">
        <v>11112</v>
      </c>
      <c r="G1915" t="s">
        <v>11113</v>
      </c>
      <c r="H1915" t="s">
        <v>11114</v>
      </c>
      <c r="J1915" t="s">
        <v>11115</v>
      </c>
      <c r="L1915" t="s">
        <v>229</v>
      </c>
      <c r="M1915" t="s">
        <v>113</v>
      </c>
      <c r="R1915" t="s">
        <v>11110</v>
      </c>
      <c r="W1915" t="s">
        <v>11112</v>
      </c>
      <c r="X1915" t="s">
        <v>11116</v>
      </c>
      <c r="Y1915" t="s">
        <v>153</v>
      </c>
      <c r="Z1915" t="s">
        <v>117</v>
      </c>
      <c r="AA1915" t="str">
        <f>"14304-3041"</f>
        <v>14304-3041</v>
      </c>
      <c r="AB1915" t="s">
        <v>1460</v>
      </c>
      <c r="AC1915" t="s">
        <v>119</v>
      </c>
      <c r="AD1915" t="s">
        <v>113</v>
      </c>
      <c r="AE1915" t="s">
        <v>120</v>
      </c>
      <c r="AG1915" t="s">
        <v>121</v>
      </c>
    </row>
    <row r="1916" spans="1:33" x14ac:dyDescent="0.25">
      <c r="A1916" t="str">
        <f>"1366447567"</f>
        <v>1366447567</v>
      </c>
      <c r="B1916" t="str">
        <f>"01781442"</f>
        <v>01781442</v>
      </c>
      <c r="C1916" t="s">
        <v>11117</v>
      </c>
      <c r="D1916" t="s">
        <v>11118</v>
      </c>
      <c r="E1916" t="s">
        <v>11119</v>
      </c>
      <c r="G1916" t="s">
        <v>11117</v>
      </c>
      <c r="H1916" t="s">
        <v>707</v>
      </c>
      <c r="J1916" t="s">
        <v>11120</v>
      </c>
      <c r="L1916" t="s">
        <v>142</v>
      </c>
      <c r="M1916" t="s">
        <v>113</v>
      </c>
      <c r="R1916" t="s">
        <v>11121</v>
      </c>
      <c r="W1916" t="s">
        <v>11119</v>
      </c>
      <c r="X1916" t="s">
        <v>11122</v>
      </c>
      <c r="Y1916" t="s">
        <v>192</v>
      </c>
      <c r="Z1916" t="s">
        <v>117</v>
      </c>
      <c r="AA1916" t="str">
        <f>"14020-2260"</f>
        <v>14020-2260</v>
      </c>
      <c r="AB1916" t="s">
        <v>118</v>
      </c>
      <c r="AC1916" t="s">
        <v>119</v>
      </c>
      <c r="AD1916" t="s">
        <v>113</v>
      </c>
      <c r="AE1916" t="s">
        <v>120</v>
      </c>
      <c r="AG1916" t="s">
        <v>121</v>
      </c>
    </row>
    <row r="1917" spans="1:33" x14ac:dyDescent="0.25">
      <c r="A1917" t="str">
        <f>"1366447765"</f>
        <v>1366447765</v>
      </c>
      <c r="B1917" t="str">
        <f>"02345504"</f>
        <v>02345504</v>
      </c>
      <c r="C1917" t="s">
        <v>11123</v>
      </c>
      <c r="D1917" t="s">
        <v>11124</v>
      </c>
      <c r="E1917" t="s">
        <v>11125</v>
      </c>
      <c r="G1917" t="s">
        <v>11126</v>
      </c>
      <c r="H1917" t="s">
        <v>8070</v>
      </c>
      <c r="L1917" t="s">
        <v>142</v>
      </c>
      <c r="M1917" t="s">
        <v>113</v>
      </c>
      <c r="R1917" t="s">
        <v>11126</v>
      </c>
      <c r="W1917" t="s">
        <v>11127</v>
      </c>
      <c r="X1917" t="s">
        <v>11128</v>
      </c>
      <c r="Y1917" t="s">
        <v>348</v>
      </c>
      <c r="Z1917" t="s">
        <v>117</v>
      </c>
      <c r="AA1917" t="str">
        <f>"14043-4698"</f>
        <v>14043-4698</v>
      </c>
      <c r="AB1917" t="s">
        <v>118</v>
      </c>
      <c r="AC1917" t="s">
        <v>119</v>
      </c>
      <c r="AD1917" t="s">
        <v>113</v>
      </c>
      <c r="AE1917" t="s">
        <v>120</v>
      </c>
      <c r="AG1917" t="s">
        <v>121</v>
      </c>
    </row>
    <row r="1918" spans="1:33" x14ac:dyDescent="0.25">
      <c r="A1918" t="str">
        <f>"1477704609"</f>
        <v>1477704609</v>
      </c>
      <c r="B1918" t="str">
        <f>"03051443"</f>
        <v>03051443</v>
      </c>
      <c r="C1918" t="s">
        <v>11129</v>
      </c>
      <c r="D1918" t="s">
        <v>11130</v>
      </c>
      <c r="E1918" t="s">
        <v>11131</v>
      </c>
      <c r="G1918" t="s">
        <v>11132</v>
      </c>
      <c r="H1918" t="s">
        <v>11133</v>
      </c>
      <c r="J1918" t="s">
        <v>11134</v>
      </c>
      <c r="L1918" t="s">
        <v>112</v>
      </c>
      <c r="M1918" t="s">
        <v>113</v>
      </c>
      <c r="R1918" t="s">
        <v>11131</v>
      </c>
      <c r="W1918" t="s">
        <v>11135</v>
      </c>
      <c r="X1918" t="s">
        <v>216</v>
      </c>
      <c r="Y1918" t="s">
        <v>116</v>
      </c>
      <c r="Z1918" t="s">
        <v>117</v>
      </c>
      <c r="AA1918" t="str">
        <f>"14222-2006"</f>
        <v>14222-2006</v>
      </c>
      <c r="AB1918" t="s">
        <v>118</v>
      </c>
      <c r="AC1918" t="s">
        <v>119</v>
      </c>
      <c r="AD1918" t="s">
        <v>113</v>
      </c>
      <c r="AE1918" t="s">
        <v>120</v>
      </c>
      <c r="AG1918" t="s">
        <v>121</v>
      </c>
    </row>
    <row r="1919" spans="1:33" x14ac:dyDescent="0.25">
      <c r="A1919" t="str">
        <f>"1477714103"</f>
        <v>1477714103</v>
      </c>
      <c r="B1919" t="str">
        <f>"03344218"</f>
        <v>03344218</v>
      </c>
      <c r="C1919" t="s">
        <v>11136</v>
      </c>
      <c r="D1919" t="s">
        <v>11137</v>
      </c>
      <c r="E1919" t="s">
        <v>11138</v>
      </c>
      <c r="G1919" t="s">
        <v>11139</v>
      </c>
      <c r="H1919" t="s">
        <v>3807</v>
      </c>
      <c r="J1919" t="s">
        <v>11140</v>
      </c>
      <c r="L1919" t="s">
        <v>112</v>
      </c>
      <c r="M1919" t="s">
        <v>199</v>
      </c>
      <c r="R1919" t="s">
        <v>11141</v>
      </c>
      <c r="W1919" t="s">
        <v>11138</v>
      </c>
      <c r="X1919" t="s">
        <v>216</v>
      </c>
      <c r="Y1919" t="s">
        <v>116</v>
      </c>
      <c r="Z1919" t="s">
        <v>117</v>
      </c>
      <c r="AA1919" t="str">
        <f>"14222-2006"</f>
        <v>14222-2006</v>
      </c>
      <c r="AB1919" t="s">
        <v>118</v>
      </c>
      <c r="AC1919" t="s">
        <v>119</v>
      </c>
      <c r="AD1919" t="s">
        <v>113</v>
      </c>
      <c r="AE1919" t="s">
        <v>120</v>
      </c>
      <c r="AG1919" t="s">
        <v>121</v>
      </c>
    </row>
    <row r="1920" spans="1:33" x14ac:dyDescent="0.25">
      <c r="A1920" t="str">
        <f>"1477737500"</f>
        <v>1477737500</v>
      </c>
      <c r="C1920" t="s">
        <v>11142</v>
      </c>
      <c r="G1920" t="s">
        <v>11142</v>
      </c>
      <c r="H1920" t="s">
        <v>11143</v>
      </c>
      <c r="J1920" t="s">
        <v>11144</v>
      </c>
      <c r="K1920" t="s">
        <v>634</v>
      </c>
      <c r="L1920" t="s">
        <v>112</v>
      </c>
      <c r="M1920" t="s">
        <v>113</v>
      </c>
      <c r="R1920" t="s">
        <v>11145</v>
      </c>
      <c r="S1920" t="s">
        <v>11146</v>
      </c>
      <c r="T1920" t="s">
        <v>240</v>
      </c>
      <c r="U1920" t="s">
        <v>117</v>
      </c>
      <c r="V1920" t="str">
        <f>"142217348"</f>
        <v>142217348</v>
      </c>
      <c r="AC1920" t="s">
        <v>119</v>
      </c>
      <c r="AD1920" t="s">
        <v>113</v>
      </c>
      <c r="AE1920" t="s">
        <v>306</v>
      </c>
      <c r="AG1920" t="s">
        <v>121</v>
      </c>
    </row>
    <row r="1921" spans="1:33" x14ac:dyDescent="0.25">
      <c r="A1921" t="str">
        <f>"1477745115"</f>
        <v>1477745115</v>
      </c>
      <c r="B1921" t="str">
        <f>"01734610"</f>
        <v>01734610</v>
      </c>
      <c r="C1921" t="s">
        <v>11147</v>
      </c>
      <c r="D1921" t="s">
        <v>11148</v>
      </c>
      <c r="E1921" t="s">
        <v>11149</v>
      </c>
      <c r="G1921" t="s">
        <v>11150</v>
      </c>
      <c r="H1921" t="s">
        <v>707</v>
      </c>
      <c r="J1921" t="s">
        <v>11151</v>
      </c>
      <c r="L1921" t="s">
        <v>112</v>
      </c>
      <c r="M1921" t="s">
        <v>113</v>
      </c>
      <c r="R1921" t="s">
        <v>11152</v>
      </c>
      <c r="W1921" t="s">
        <v>11149</v>
      </c>
      <c r="X1921" t="s">
        <v>709</v>
      </c>
      <c r="Y1921" t="s">
        <v>116</v>
      </c>
      <c r="Z1921" t="s">
        <v>117</v>
      </c>
      <c r="AA1921" t="str">
        <f>"14263-0001"</f>
        <v>14263-0001</v>
      </c>
      <c r="AB1921" t="s">
        <v>118</v>
      </c>
      <c r="AC1921" t="s">
        <v>119</v>
      </c>
      <c r="AD1921" t="s">
        <v>113</v>
      </c>
      <c r="AE1921" t="s">
        <v>120</v>
      </c>
      <c r="AG1921" t="s">
        <v>121</v>
      </c>
    </row>
    <row r="1922" spans="1:33" x14ac:dyDescent="0.25">
      <c r="A1922" t="str">
        <f>"1477753036"</f>
        <v>1477753036</v>
      </c>
      <c r="B1922" t="str">
        <f>"02940458"</f>
        <v>02940458</v>
      </c>
      <c r="C1922" t="s">
        <v>11153</v>
      </c>
      <c r="D1922" t="s">
        <v>11154</v>
      </c>
      <c r="E1922" t="s">
        <v>11155</v>
      </c>
      <c r="G1922" t="s">
        <v>11156</v>
      </c>
      <c r="J1922" t="s">
        <v>11157</v>
      </c>
      <c r="L1922" t="s">
        <v>112</v>
      </c>
      <c r="M1922" t="s">
        <v>113</v>
      </c>
      <c r="R1922" t="s">
        <v>11158</v>
      </c>
      <c r="W1922" t="s">
        <v>11155</v>
      </c>
      <c r="X1922" t="s">
        <v>11159</v>
      </c>
      <c r="Y1922" t="s">
        <v>1562</v>
      </c>
      <c r="Z1922" t="s">
        <v>117</v>
      </c>
      <c r="AA1922" t="str">
        <f>"14047-9592"</f>
        <v>14047-9592</v>
      </c>
      <c r="AB1922" t="s">
        <v>118</v>
      </c>
      <c r="AC1922" t="s">
        <v>119</v>
      </c>
      <c r="AD1922" t="s">
        <v>113</v>
      </c>
      <c r="AE1922" t="s">
        <v>120</v>
      </c>
      <c r="AG1922" t="s">
        <v>121</v>
      </c>
    </row>
    <row r="1923" spans="1:33" x14ac:dyDescent="0.25">
      <c r="A1923" t="str">
        <f>"1477757425"</f>
        <v>1477757425</v>
      </c>
      <c r="B1923" t="str">
        <f>"03585215"</f>
        <v>03585215</v>
      </c>
      <c r="C1923" t="s">
        <v>11160</v>
      </c>
      <c r="D1923" t="s">
        <v>11161</v>
      </c>
      <c r="E1923" t="s">
        <v>11162</v>
      </c>
      <c r="G1923" t="s">
        <v>11160</v>
      </c>
      <c r="H1923" t="s">
        <v>11163</v>
      </c>
      <c r="J1923" t="s">
        <v>11164</v>
      </c>
      <c r="L1923" t="s">
        <v>142</v>
      </c>
      <c r="M1923" t="s">
        <v>113</v>
      </c>
      <c r="R1923" t="s">
        <v>11165</v>
      </c>
      <c r="W1923" t="s">
        <v>11162</v>
      </c>
      <c r="X1923" t="s">
        <v>216</v>
      </c>
      <c r="Y1923" t="s">
        <v>116</v>
      </c>
      <c r="Z1923" t="s">
        <v>117</v>
      </c>
      <c r="AA1923" t="str">
        <f>"14222-2006"</f>
        <v>14222-2006</v>
      </c>
      <c r="AB1923" t="s">
        <v>118</v>
      </c>
      <c r="AC1923" t="s">
        <v>119</v>
      </c>
      <c r="AD1923" t="s">
        <v>113</v>
      </c>
      <c r="AE1923" t="s">
        <v>120</v>
      </c>
      <c r="AG1923" t="s">
        <v>121</v>
      </c>
    </row>
    <row r="1924" spans="1:33" x14ac:dyDescent="0.25">
      <c r="A1924" t="str">
        <f>"1487657094"</f>
        <v>1487657094</v>
      </c>
      <c r="B1924" t="str">
        <f>"01519662"</f>
        <v>01519662</v>
      </c>
      <c r="C1924" t="s">
        <v>11166</v>
      </c>
      <c r="D1924" t="s">
        <v>11167</v>
      </c>
      <c r="E1924" t="s">
        <v>11168</v>
      </c>
      <c r="G1924" t="s">
        <v>330</v>
      </c>
      <c r="H1924" t="s">
        <v>1211</v>
      </c>
      <c r="J1924" t="s">
        <v>332</v>
      </c>
      <c r="L1924" t="s">
        <v>142</v>
      </c>
      <c r="M1924" t="s">
        <v>113</v>
      </c>
      <c r="R1924" t="s">
        <v>11169</v>
      </c>
      <c r="W1924" t="s">
        <v>11170</v>
      </c>
      <c r="X1924" t="s">
        <v>11171</v>
      </c>
      <c r="Y1924" t="s">
        <v>9183</v>
      </c>
      <c r="Z1924" t="s">
        <v>117</v>
      </c>
      <c r="AA1924" t="str">
        <f>"14086-1262"</f>
        <v>14086-1262</v>
      </c>
      <c r="AB1924" t="s">
        <v>118</v>
      </c>
      <c r="AC1924" t="s">
        <v>119</v>
      </c>
      <c r="AD1924" t="s">
        <v>113</v>
      </c>
      <c r="AE1924" t="s">
        <v>120</v>
      </c>
      <c r="AG1924" t="s">
        <v>121</v>
      </c>
    </row>
    <row r="1925" spans="1:33" x14ac:dyDescent="0.25">
      <c r="A1925" t="str">
        <f>"1487662292"</f>
        <v>1487662292</v>
      </c>
      <c r="B1925" t="str">
        <f>"02792565"</f>
        <v>02792565</v>
      </c>
      <c r="C1925" t="s">
        <v>11172</v>
      </c>
      <c r="D1925" t="s">
        <v>11173</v>
      </c>
      <c r="E1925" t="s">
        <v>11174</v>
      </c>
      <c r="G1925" t="s">
        <v>6204</v>
      </c>
      <c r="H1925" t="s">
        <v>11175</v>
      </c>
      <c r="J1925" t="s">
        <v>6205</v>
      </c>
      <c r="L1925" t="s">
        <v>728</v>
      </c>
      <c r="M1925" t="s">
        <v>113</v>
      </c>
      <c r="R1925" t="s">
        <v>11176</v>
      </c>
      <c r="W1925" t="s">
        <v>11174</v>
      </c>
      <c r="X1925" t="s">
        <v>253</v>
      </c>
      <c r="Y1925" t="s">
        <v>116</v>
      </c>
      <c r="Z1925" t="s">
        <v>117</v>
      </c>
      <c r="AA1925" t="str">
        <f>"14215-3021"</f>
        <v>14215-3021</v>
      </c>
      <c r="AB1925" t="s">
        <v>118</v>
      </c>
      <c r="AC1925" t="s">
        <v>119</v>
      </c>
      <c r="AD1925" t="s">
        <v>113</v>
      </c>
      <c r="AE1925" t="s">
        <v>120</v>
      </c>
      <c r="AG1925" t="s">
        <v>121</v>
      </c>
    </row>
    <row r="1926" spans="1:33" x14ac:dyDescent="0.25">
      <c r="A1926" t="str">
        <f>"1487691564"</f>
        <v>1487691564</v>
      </c>
      <c r="B1926" t="str">
        <f>"02785399"</f>
        <v>02785399</v>
      </c>
      <c r="C1926" t="s">
        <v>11177</v>
      </c>
      <c r="D1926" t="s">
        <v>11178</v>
      </c>
      <c r="E1926" t="s">
        <v>11179</v>
      </c>
      <c r="G1926" t="s">
        <v>11180</v>
      </c>
      <c r="H1926" t="s">
        <v>2464</v>
      </c>
      <c r="J1926" t="s">
        <v>11181</v>
      </c>
      <c r="L1926" t="s">
        <v>150</v>
      </c>
      <c r="M1926" t="s">
        <v>113</v>
      </c>
      <c r="R1926" t="s">
        <v>11182</v>
      </c>
      <c r="W1926" t="s">
        <v>11179</v>
      </c>
      <c r="X1926" t="s">
        <v>136</v>
      </c>
      <c r="Y1926" t="s">
        <v>116</v>
      </c>
      <c r="Z1926" t="s">
        <v>117</v>
      </c>
      <c r="AA1926" t="str">
        <f>"14209-1120"</f>
        <v>14209-1120</v>
      </c>
      <c r="AB1926" t="s">
        <v>118</v>
      </c>
      <c r="AC1926" t="s">
        <v>119</v>
      </c>
      <c r="AD1926" t="s">
        <v>113</v>
      </c>
      <c r="AE1926" t="s">
        <v>120</v>
      </c>
      <c r="AG1926" t="s">
        <v>121</v>
      </c>
    </row>
    <row r="1927" spans="1:33" x14ac:dyDescent="0.25">
      <c r="B1927" t="str">
        <f>"02246000"</f>
        <v>02246000</v>
      </c>
      <c r="C1927" t="s">
        <v>15511</v>
      </c>
      <c r="D1927" t="s">
        <v>15512</v>
      </c>
      <c r="E1927" t="s">
        <v>15511</v>
      </c>
      <c r="F1927">
        <v>160818293</v>
      </c>
      <c r="H1927" t="s">
        <v>713</v>
      </c>
      <c r="L1927" t="s">
        <v>69</v>
      </c>
      <c r="M1927" t="s">
        <v>199</v>
      </c>
      <c r="W1927" t="s">
        <v>15511</v>
      </c>
      <c r="X1927" t="s">
        <v>11662</v>
      </c>
      <c r="Y1927" t="s">
        <v>305</v>
      </c>
      <c r="Z1927" t="s">
        <v>117</v>
      </c>
      <c r="AA1927" t="str">
        <f>"14760-1140"</f>
        <v>14760-1140</v>
      </c>
      <c r="AB1927" t="s">
        <v>291</v>
      </c>
      <c r="AC1927" t="s">
        <v>119</v>
      </c>
      <c r="AD1927" t="s">
        <v>113</v>
      </c>
      <c r="AE1927" t="s">
        <v>120</v>
      </c>
      <c r="AG1927" t="s">
        <v>121</v>
      </c>
    </row>
    <row r="1928" spans="1:33" x14ac:dyDescent="0.25">
      <c r="A1928" t="str">
        <f>"1134296171"</f>
        <v>1134296171</v>
      </c>
      <c r="B1928" t="str">
        <f>"02173215"</f>
        <v>02173215</v>
      </c>
      <c r="C1928" t="s">
        <v>11188</v>
      </c>
      <c r="D1928" t="s">
        <v>11189</v>
      </c>
      <c r="E1928" t="s">
        <v>11190</v>
      </c>
      <c r="G1928" t="s">
        <v>11188</v>
      </c>
      <c r="H1928" t="s">
        <v>11191</v>
      </c>
      <c r="J1928" t="s">
        <v>11192</v>
      </c>
      <c r="L1928" t="s">
        <v>1033</v>
      </c>
      <c r="M1928" t="s">
        <v>113</v>
      </c>
      <c r="R1928" t="s">
        <v>11193</v>
      </c>
      <c r="W1928" t="s">
        <v>11190</v>
      </c>
      <c r="X1928" t="s">
        <v>253</v>
      </c>
      <c r="Y1928" t="s">
        <v>116</v>
      </c>
      <c r="Z1928" t="s">
        <v>117</v>
      </c>
      <c r="AA1928" t="str">
        <f>"14215-3021"</f>
        <v>14215-3021</v>
      </c>
      <c r="AB1928" t="s">
        <v>118</v>
      </c>
      <c r="AC1928" t="s">
        <v>119</v>
      </c>
      <c r="AD1928" t="s">
        <v>113</v>
      </c>
      <c r="AE1928" t="s">
        <v>120</v>
      </c>
      <c r="AG1928" t="s">
        <v>121</v>
      </c>
    </row>
    <row r="1929" spans="1:33" x14ac:dyDescent="0.25">
      <c r="A1929" t="str">
        <f>"1134297062"</f>
        <v>1134297062</v>
      </c>
      <c r="B1929" t="str">
        <f>"01657212"</f>
        <v>01657212</v>
      </c>
      <c r="C1929" t="s">
        <v>11194</v>
      </c>
      <c r="D1929" t="s">
        <v>11195</v>
      </c>
      <c r="E1929" t="s">
        <v>11196</v>
      </c>
      <c r="G1929" t="s">
        <v>11194</v>
      </c>
      <c r="H1929" t="s">
        <v>236</v>
      </c>
      <c r="J1929" t="s">
        <v>11197</v>
      </c>
      <c r="L1929" t="s">
        <v>142</v>
      </c>
      <c r="M1929" t="s">
        <v>113</v>
      </c>
      <c r="R1929" t="s">
        <v>11198</v>
      </c>
      <c r="W1929" t="s">
        <v>11196</v>
      </c>
      <c r="X1929" t="s">
        <v>11199</v>
      </c>
      <c r="Y1929" t="s">
        <v>11200</v>
      </c>
      <c r="Z1929" t="s">
        <v>117</v>
      </c>
      <c r="AA1929" t="str">
        <f>"14432-1122"</f>
        <v>14432-1122</v>
      </c>
      <c r="AB1929" t="s">
        <v>118</v>
      </c>
      <c r="AC1929" t="s">
        <v>119</v>
      </c>
      <c r="AD1929" t="s">
        <v>113</v>
      </c>
      <c r="AE1929" t="s">
        <v>120</v>
      </c>
      <c r="AG1929" t="s">
        <v>121</v>
      </c>
    </row>
    <row r="1930" spans="1:33" x14ac:dyDescent="0.25">
      <c r="A1930" t="str">
        <f>"1134305378"</f>
        <v>1134305378</v>
      </c>
      <c r="B1930" t="str">
        <f>"02740985"</f>
        <v>02740985</v>
      </c>
      <c r="C1930" t="s">
        <v>11201</v>
      </c>
      <c r="D1930" t="s">
        <v>11202</v>
      </c>
      <c r="E1930" t="s">
        <v>11203</v>
      </c>
      <c r="G1930" t="s">
        <v>11201</v>
      </c>
      <c r="J1930" t="s">
        <v>11204</v>
      </c>
      <c r="L1930" t="s">
        <v>112</v>
      </c>
      <c r="M1930" t="s">
        <v>113</v>
      </c>
      <c r="R1930" t="s">
        <v>11205</v>
      </c>
      <c r="W1930" t="s">
        <v>11203</v>
      </c>
      <c r="X1930" t="s">
        <v>11206</v>
      </c>
      <c r="Y1930" t="s">
        <v>318</v>
      </c>
      <c r="Z1930" t="s">
        <v>117</v>
      </c>
      <c r="AA1930" t="str">
        <f>"14227-2234"</f>
        <v>14227-2234</v>
      </c>
      <c r="AB1930" t="s">
        <v>118</v>
      </c>
      <c r="AC1930" t="s">
        <v>119</v>
      </c>
      <c r="AD1930" t="s">
        <v>113</v>
      </c>
      <c r="AE1930" t="s">
        <v>120</v>
      </c>
      <c r="AG1930" t="s">
        <v>121</v>
      </c>
    </row>
    <row r="1931" spans="1:33" x14ac:dyDescent="0.25">
      <c r="A1931" t="str">
        <f>"1134319064"</f>
        <v>1134319064</v>
      </c>
      <c r="B1931" t="str">
        <f>"02904814"</f>
        <v>02904814</v>
      </c>
      <c r="C1931" t="s">
        <v>11207</v>
      </c>
      <c r="D1931" t="s">
        <v>11208</v>
      </c>
      <c r="E1931" t="s">
        <v>11209</v>
      </c>
      <c r="G1931" t="s">
        <v>11207</v>
      </c>
      <c r="H1931" t="s">
        <v>11210</v>
      </c>
      <c r="J1931" t="s">
        <v>11211</v>
      </c>
      <c r="L1931" t="s">
        <v>142</v>
      </c>
      <c r="M1931" t="s">
        <v>113</v>
      </c>
      <c r="R1931" t="s">
        <v>11212</v>
      </c>
      <c r="W1931" t="s">
        <v>11209</v>
      </c>
      <c r="X1931" t="s">
        <v>176</v>
      </c>
      <c r="Y1931" t="s">
        <v>116</v>
      </c>
      <c r="Z1931" t="s">
        <v>117</v>
      </c>
      <c r="AA1931" t="str">
        <f>"14203-1126"</f>
        <v>14203-1126</v>
      </c>
      <c r="AB1931" t="s">
        <v>118</v>
      </c>
      <c r="AC1931" t="s">
        <v>119</v>
      </c>
      <c r="AD1931" t="s">
        <v>113</v>
      </c>
      <c r="AE1931" t="s">
        <v>120</v>
      </c>
      <c r="AG1931" t="s">
        <v>121</v>
      </c>
    </row>
    <row r="1932" spans="1:33" x14ac:dyDescent="0.25">
      <c r="A1932" t="str">
        <f>"1134324031"</f>
        <v>1134324031</v>
      </c>
      <c r="B1932" t="str">
        <f>"01746556"</f>
        <v>01746556</v>
      </c>
      <c r="C1932" t="s">
        <v>11213</v>
      </c>
      <c r="D1932" t="s">
        <v>11214</v>
      </c>
      <c r="E1932" t="s">
        <v>11215</v>
      </c>
      <c r="G1932" t="s">
        <v>11213</v>
      </c>
      <c r="H1932" t="s">
        <v>11216</v>
      </c>
      <c r="J1932" t="s">
        <v>11217</v>
      </c>
      <c r="L1932" t="s">
        <v>112</v>
      </c>
      <c r="M1932" t="s">
        <v>113</v>
      </c>
      <c r="R1932" t="s">
        <v>11218</v>
      </c>
      <c r="W1932" t="s">
        <v>11215</v>
      </c>
      <c r="X1932" t="s">
        <v>11219</v>
      </c>
      <c r="Y1932" t="s">
        <v>2946</v>
      </c>
      <c r="Z1932" t="s">
        <v>117</v>
      </c>
      <c r="AA1932" t="str">
        <f>"14075-4507"</f>
        <v>14075-4507</v>
      </c>
      <c r="AB1932" t="s">
        <v>634</v>
      </c>
      <c r="AC1932" t="s">
        <v>119</v>
      </c>
      <c r="AD1932" t="s">
        <v>113</v>
      </c>
      <c r="AE1932" t="s">
        <v>120</v>
      </c>
      <c r="AG1932" t="s">
        <v>121</v>
      </c>
    </row>
    <row r="1933" spans="1:33" x14ac:dyDescent="0.25">
      <c r="A1933" t="str">
        <f>"1134336621"</f>
        <v>1134336621</v>
      </c>
      <c r="B1933" t="str">
        <f>"03048831"</f>
        <v>03048831</v>
      </c>
      <c r="C1933" t="s">
        <v>11220</v>
      </c>
      <c r="D1933" t="s">
        <v>11221</v>
      </c>
      <c r="E1933" t="s">
        <v>11222</v>
      </c>
      <c r="G1933" t="s">
        <v>11220</v>
      </c>
      <c r="H1933" t="s">
        <v>707</v>
      </c>
      <c r="J1933" t="s">
        <v>11223</v>
      </c>
      <c r="L1933" t="s">
        <v>142</v>
      </c>
      <c r="M1933" t="s">
        <v>113</v>
      </c>
      <c r="R1933" t="s">
        <v>11224</v>
      </c>
      <c r="W1933" t="s">
        <v>11222</v>
      </c>
      <c r="X1933" t="s">
        <v>709</v>
      </c>
      <c r="Y1933" t="s">
        <v>116</v>
      </c>
      <c r="Z1933" t="s">
        <v>117</v>
      </c>
      <c r="AA1933" t="str">
        <f>"14263-0001"</f>
        <v>14263-0001</v>
      </c>
      <c r="AB1933" t="s">
        <v>118</v>
      </c>
      <c r="AC1933" t="s">
        <v>119</v>
      </c>
      <c r="AD1933" t="s">
        <v>113</v>
      </c>
      <c r="AE1933" t="s">
        <v>120</v>
      </c>
      <c r="AG1933" t="s">
        <v>121</v>
      </c>
    </row>
    <row r="1934" spans="1:33" x14ac:dyDescent="0.25">
      <c r="A1934" t="str">
        <f>"1134362478"</f>
        <v>1134362478</v>
      </c>
      <c r="B1934" t="str">
        <f>"03921322"</f>
        <v>03921322</v>
      </c>
      <c r="C1934" t="s">
        <v>11225</v>
      </c>
      <c r="D1934" t="s">
        <v>11226</v>
      </c>
      <c r="E1934" t="s">
        <v>11227</v>
      </c>
      <c r="G1934" t="s">
        <v>11228</v>
      </c>
      <c r="H1934" t="s">
        <v>2057</v>
      </c>
      <c r="J1934" t="s">
        <v>11229</v>
      </c>
      <c r="L1934" t="s">
        <v>142</v>
      </c>
      <c r="M1934" t="s">
        <v>113</v>
      </c>
      <c r="R1934" t="s">
        <v>11230</v>
      </c>
      <c r="W1934" t="s">
        <v>11231</v>
      </c>
      <c r="X1934" t="s">
        <v>2060</v>
      </c>
      <c r="Y1934" t="s">
        <v>116</v>
      </c>
      <c r="Z1934" t="s">
        <v>117</v>
      </c>
      <c r="AA1934" t="str">
        <f>"14215-3021"</f>
        <v>14215-3021</v>
      </c>
      <c r="AB1934" t="s">
        <v>118</v>
      </c>
      <c r="AC1934" t="s">
        <v>119</v>
      </c>
      <c r="AD1934" t="s">
        <v>113</v>
      </c>
      <c r="AE1934" t="s">
        <v>120</v>
      </c>
      <c r="AG1934" t="s">
        <v>121</v>
      </c>
    </row>
    <row r="1935" spans="1:33" x14ac:dyDescent="0.25">
      <c r="A1935" t="str">
        <f>"1174530778"</f>
        <v>1174530778</v>
      </c>
      <c r="B1935" t="str">
        <f>"02345811"</f>
        <v>02345811</v>
      </c>
      <c r="C1935" t="s">
        <v>11232</v>
      </c>
      <c r="D1935" t="s">
        <v>11233</v>
      </c>
      <c r="E1935" t="s">
        <v>11234</v>
      </c>
      <c r="G1935" t="s">
        <v>11232</v>
      </c>
      <c r="H1935" t="s">
        <v>3311</v>
      </c>
      <c r="J1935" t="s">
        <v>11235</v>
      </c>
      <c r="L1935" t="s">
        <v>112</v>
      </c>
      <c r="M1935" t="s">
        <v>113</v>
      </c>
      <c r="R1935" t="s">
        <v>11236</v>
      </c>
      <c r="W1935" t="s">
        <v>11234</v>
      </c>
      <c r="X1935" t="s">
        <v>176</v>
      </c>
      <c r="Y1935" t="s">
        <v>116</v>
      </c>
      <c r="Z1935" t="s">
        <v>117</v>
      </c>
      <c r="AA1935" t="str">
        <f>"14203-1126"</f>
        <v>14203-1126</v>
      </c>
      <c r="AB1935" t="s">
        <v>118</v>
      </c>
      <c r="AC1935" t="s">
        <v>119</v>
      </c>
      <c r="AD1935" t="s">
        <v>113</v>
      </c>
      <c r="AE1935" t="s">
        <v>120</v>
      </c>
      <c r="AG1935" t="s">
        <v>121</v>
      </c>
    </row>
    <row r="1936" spans="1:33" x14ac:dyDescent="0.25">
      <c r="A1936" t="str">
        <f>"1174563191"</f>
        <v>1174563191</v>
      </c>
      <c r="B1936" t="str">
        <f>"02775235"</f>
        <v>02775235</v>
      </c>
      <c r="C1936" t="s">
        <v>11237</v>
      </c>
      <c r="D1936" t="s">
        <v>11238</v>
      </c>
      <c r="E1936" t="s">
        <v>11239</v>
      </c>
      <c r="G1936" t="s">
        <v>11237</v>
      </c>
      <c r="H1936" t="s">
        <v>7096</v>
      </c>
      <c r="J1936" t="s">
        <v>11240</v>
      </c>
      <c r="L1936" t="s">
        <v>142</v>
      </c>
      <c r="M1936" t="s">
        <v>113</v>
      </c>
      <c r="R1936" t="s">
        <v>11241</v>
      </c>
      <c r="W1936" t="s">
        <v>11242</v>
      </c>
      <c r="X1936" t="s">
        <v>176</v>
      </c>
      <c r="Y1936" t="s">
        <v>116</v>
      </c>
      <c r="Z1936" t="s">
        <v>117</v>
      </c>
      <c r="AA1936" t="str">
        <f>"14203-1126"</f>
        <v>14203-1126</v>
      </c>
      <c r="AB1936" t="s">
        <v>118</v>
      </c>
      <c r="AC1936" t="s">
        <v>119</v>
      </c>
      <c r="AD1936" t="s">
        <v>113</v>
      </c>
      <c r="AE1936" t="s">
        <v>120</v>
      </c>
      <c r="AG1936" t="s">
        <v>121</v>
      </c>
    </row>
    <row r="1937" spans="1:33" x14ac:dyDescent="0.25">
      <c r="A1937" t="str">
        <f>"1174571152"</f>
        <v>1174571152</v>
      </c>
      <c r="B1937" t="str">
        <f>"01776672"</f>
        <v>01776672</v>
      </c>
      <c r="C1937" t="s">
        <v>11243</v>
      </c>
      <c r="D1937" t="s">
        <v>11244</v>
      </c>
      <c r="E1937" t="s">
        <v>11245</v>
      </c>
      <c r="G1937" t="s">
        <v>11246</v>
      </c>
      <c r="H1937" t="s">
        <v>213</v>
      </c>
      <c r="J1937" t="s">
        <v>11247</v>
      </c>
      <c r="L1937" t="s">
        <v>142</v>
      </c>
      <c r="M1937" t="s">
        <v>113</v>
      </c>
      <c r="R1937" t="s">
        <v>11248</v>
      </c>
      <c r="W1937" t="s">
        <v>11245</v>
      </c>
      <c r="Y1937" t="s">
        <v>116</v>
      </c>
      <c r="Z1937" t="s">
        <v>117</v>
      </c>
      <c r="AA1937" t="str">
        <f>"14222-2099"</f>
        <v>14222-2099</v>
      </c>
      <c r="AB1937" t="s">
        <v>118</v>
      </c>
      <c r="AC1937" t="s">
        <v>119</v>
      </c>
      <c r="AD1937" t="s">
        <v>113</v>
      </c>
      <c r="AE1937" t="s">
        <v>120</v>
      </c>
      <c r="AG1937" t="s">
        <v>121</v>
      </c>
    </row>
    <row r="1938" spans="1:33" x14ac:dyDescent="0.25">
      <c r="A1938" t="str">
        <f>"1174580419"</f>
        <v>1174580419</v>
      </c>
      <c r="B1938" t="str">
        <f>"02747648"</f>
        <v>02747648</v>
      </c>
      <c r="C1938" t="s">
        <v>11249</v>
      </c>
      <c r="D1938" t="s">
        <v>11250</v>
      </c>
      <c r="E1938" t="s">
        <v>11251</v>
      </c>
      <c r="G1938" t="s">
        <v>11249</v>
      </c>
      <c r="H1938" t="s">
        <v>11252</v>
      </c>
      <c r="J1938" t="s">
        <v>11253</v>
      </c>
      <c r="L1938" t="s">
        <v>142</v>
      </c>
      <c r="M1938" t="s">
        <v>113</v>
      </c>
      <c r="R1938" t="s">
        <v>11254</v>
      </c>
      <c r="W1938" t="s">
        <v>11251</v>
      </c>
      <c r="X1938" t="s">
        <v>10061</v>
      </c>
      <c r="Y1938" t="s">
        <v>116</v>
      </c>
      <c r="Z1938" t="s">
        <v>117</v>
      </c>
      <c r="AA1938" t="str">
        <f>"14226-1018"</f>
        <v>14226-1018</v>
      </c>
      <c r="AB1938" t="s">
        <v>528</v>
      </c>
      <c r="AC1938" t="s">
        <v>119</v>
      </c>
      <c r="AD1938" t="s">
        <v>113</v>
      </c>
      <c r="AE1938" t="s">
        <v>120</v>
      </c>
      <c r="AG1938" t="s">
        <v>121</v>
      </c>
    </row>
    <row r="1939" spans="1:33" x14ac:dyDescent="0.25">
      <c r="A1939" t="str">
        <f>"1174581649"</f>
        <v>1174581649</v>
      </c>
      <c r="B1939" t="str">
        <f>"02082635"</f>
        <v>02082635</v>
      </c>
      <c r="C1939" t="s">
        <v>11255</v>
      </c>
      <c r="D1939" t="s">
        <v>11256</v>
      </c>
      <c r="E1939" t="s">
        <v>11257</v>
      </c>
      <c r="G1939" t="s">
        <v>11255</v>
      </c>
      <c r="J1939" t="s">
        <v>11258</v>
      </c>
      <c r="L1939" t="s">
        <v>142</v>
      </c>
      <c r="M1939" t="s">
        <v>113</v>
      </c>
      <c r="R1939" t="s">
        <v>11259</v>
      </c>
      <c r="W1939" t="s">
        <v>11257</v>
      </c>
      <c r="X1939" t="s">
        <v>11260</v>
      </c>
      <c r="Y1939" t="s">
        <v>362</v>
      </c>
      <c r="Z1939" t="s">
        <v>117</v>
      </c>
      <c r="AA1939" t="str">
        <f>"14108-1093"</f>
        <v>14108-1093</v>
      </c>
      <c r="AB1939" t="s">
        <v>118</v>
      </c>
      <c r="AC1939" t="s">
        <v>119</v>
      </c>
      <c r="AD1939" t="s">
        <v>113</v>
      </c>
      <c r="AE1939" t="s">
        <v>120</v>
      </c>
      <c r="AG1939" t="s">
        <v>121</v>
      </c>
    </row>
    <row r="1940" spans="1:33" x14ac:dyDescent="0.25">
      <c r="A1940" t="str">
        <f>"1174588008"</f>
        <v>1174588008</v>
      </c>
      <c r="B1940" t="str">
        <f>"02104447"</f>
        <v>02104447</v>
      </c>
      <c r="C1940" t="s">
        <v>11261</v>
      </c>
      <c r="D1940" t="s">
        <v>11262</v>
      </c>
      <c r="E1940" t="s">
        <v>11263</v>
      </c>
      <c r="G1940" t="s">
        <v>11261</v>
      </c>
      <c r="H1940" t="s">
        <v>901</v>
      </c>
      <c r="J1940" t="s">
        <v>11264</v>
      </c>
      <c r="L1940" t="s">
        <v>112</v>
      </c>
      <c r="M1940" t="s">
        <v>113</v>
      </c>
      <c r="R1940" t="s">
        <v>11265</v>
      </c>
      <c r="W1940" t="s">
        <v>11263</v>
      </c>
      <c r="X1940" t="s">
        <v>11266</v>
      </c>
      <c r="Y1940" t="s">
        <v>153</v>
      </c>
      <c r="Z1940" t="s">
        <v>117</v>
      </c>
      <c r="AA1940" t="str">
        <f>"14301"</f>
        <v>14301</v>
      </c>
      <c r="AB1940" t="s">
        <v>118</v>
      </c>
      <c r="AC1940" t="s">
        <v>119</v>
      </c>
      <c r="AD1940" t="s">
        <v>113</v>
      </c>
      <c r="AE1940" t="s">
        <v>120</v>
      </c>
      <c r="AG1940" t="s">
        <v>121</v>
      </c>
    </row>
    <row r="1941" spans="1:33" x14ac:dyDescent="0.25">
      <c r="A1941" t="str">
        <f>"1174588610"</f>
        <v>1174588610</v>
      </c>
      <c r="B1941" t="str">
        <f>"02650448"</f>
        <v>02650448</v>
      </c>
      <c r="C1941" t="s">
        <v>11267</v>
      </c>
      <c r="D1941" t="s">
        <v>11268</v>
      </c>
      <c r="E1941" t="s">
        <v>11269</v>
      </c>
      <c r="H1941" t="s">
        <v>8377</v>
      </c>
      <c r="L1941" t="s">
        <v>142</v>
      </c>
      <c r="M1941" t="s">
        <v>113</v>
      </c>
      <c r="R1941" t="s">
        <v>11270</v>
      </c>
      <c r="W1941" t="s">
        <v>11271</v>
      </c>
      <c r="X1941" t="s">
        <v>11272</v>
      </c>
      <c r="Y1941" t="s">
        <v>663</v>
      </c>
      <c r="Z1941" t="s">
        <v>117</v>
      </c>
      <c r="AA1941" t="str">
        <f>"14094-9497"</f>
        <v>14094-9497</v>
      </c>
      <c r="AB1941" t="s">
        <v>118</v>
      </c>
      <c r="AC1941" t="s">
        <v>119</v>
      </c>
      <c r="AD1941" t="s">
        <v>113</v>
      </c>
      <c r="AE1941" t="s">
        <v>120</v>
      </c>
      <c r="AG1941" t="s">
        <v>121</v>
      </c>
    </row>
    <row r="1942" spans="1:33" x14ac:dyDescent="0.25">
      <c r="A1942" t="str">
        <f>"1174590715"</f>
        <v>1174590715</v>
      </c>
      <c r="B1942" t="str">
        <f>"02023009"</f>
        <v>02023009</v>
      </c>
      <c r="C1942" t="s">
        <v>11273</v>
      </c>
      <c r="D1942" t="s">
        <v>11274</v>
      </c>
      <c r="E1942" t="s">
        <v>11275</v>
      </c>
      <c r="G1942" t="s">
        <v>11276</v>
      </c>
      <c r="H1942" t="s">
        <v>579</v>
      </c>
      <c r="J1942" t="s">
        <v>11277</v>
      </c>
      <c r="L1942" t="s">
        <v>142</v>
      </c>
      <c r="M1942" t="s">
        <v>113</v>
      </c>
      <c r="R1942" t="s">
        <v>11278</v>
      </c>
      <c r="W1942" t="s">
        <v>11275</v>
      </c>
      <c r="X1942" t="s">
        <v>9066</v>
      </c>
      <c r="Y1942" t="s">
        <v>240</v>
      </c>
      <c r="Z1942" t="s">
        <v>117</v>
      </c>
      <c r="AA1942" t="str">
        <f>"14221-3698"</f>
        <v>14221-3698</v>
      </c>
      <c r="AB1942" t="s">
        <v>118</v>
      </c>
      <c r="AC1942" t="s">
        <v>119</v>
      </c>
      <c r="AD1942" t="s">
        <v>113</v>
      </c>
      <c r="AE1942" t="s">
        <v>120</v>
      </c>
      <c r="AG1942" t="s">
        <v>121</v>
      </c>
    </row>
    <row r="1943" spans="1:33" x14ac:dyDescent="0.25">
      <c r="A1943" t="str">
        <f>"1174599161"</f>
        <v>1174599161</v>
      </c>
      <c r="B1943" t="str">
        <f>"02563651"</f>
        <v>02563651</v>
      </c>
      <c r="C1943" t="s">
        <v>11279</v>
      </c>
      <c r="D1943" t="s">
        <v>11280</v>
      </c>
      <c r="E1943" t="s">
        <v>11281</v>
      </c>
      <c r="G1943" t="s">
        <v>11279</v>
      </c>
      <c r="H1943" t="s">
        <v>1659</v>
      </c>
      <c r="J1943" t="s">
        <v>11282</v>
      </c>
      <c r="L1943" t="s">
        <v>8364</v>
      </c>
      <c r="M1943" t="s">
        <v>113</v>
      </c>
      <c r="R1943" t="s">
        <v>11283</v>
      </c>
      <c r="W1943" t="s">
        <v>11281</v>
      </c>
      <c r="X1943" t="s">
        <v>11284</v>
      </c>
      <c r="Y1943" t="s">
        <v>1381</v>
      </c>
      <c r="Z1943" t="s">
        <v>117</v>
      </c>
      <c r="AA1943" t="str">
        <f>"14063-1716"</f>
        <v>14063-1716</v>
      </c>
      <c r="AB1943" t="s">
        <v>1460</v>
      </c>
      <c r="AC1943" t="s">
        <v>119</v>
      </c>
      <c r="AD1943" t="s">
        <v>113</v>
      </c>
      <c r="AE1943" t="s">
        <v>120</v>
      </c>
      <c r="AG1943" t="s">
        <v>121</v>
      </c>
    </row>
    <row r="1944" spans="1:33" x14ac:dyDescent="0.25">
      <c r="A1944" t="str">
        <f>"1174602940"</f>
        <v>1174602940</v>
      </c>
      <c r="C1944" t="s">
        <v>11285</v>
      </c>
      <c r="G1944" t="s">
        <v>11286</v>
      </c>
      <c r="H1944" t="s">
        <v>1538</v>
      </c>
      <c r="K1944" t="s">
        <v>303</v>
      </c>
      <c r="L1944" t="s">
        <v>229</v>
      </c>
      <c r="M1944" t="s">
        <v>113</v>
      </c>
      <c r="R1944" t="s">
        <v>11287</v>
      </c>
      <c r="S1944" t="s">
        <v>409</v>
      </c>
      <c r="T1944" t="s">
        <v>116</v>
      </c>
      <c r="U1944" t="s">
        <v>117</v>
      </c>
      <c r="V1944" t="str">
        <f>"142152814"</f>
        <v>142152814</v>
      </c>
      <c r="AC1944" t="s">
        <v>119</v>
      </c>
      <c r="AD1944" t="s">
        <v>113</v>
      </c>
      <c r="AE1944" t="s">
        <v>306</v>
      </c>
      <c r="AG1944" t="s">
        <v>121</v>
      </c>
    </row>
    <row r="1945" spans="1:33" x14ac:dyDescent="0.25">
      <c r="A1945" t="str">
        <f>"1174611503"</f>
        <v>1174611503</v>
      </c>
      <c r="C1945" t="s">
        <v>11288</v>
      </c>
      <c r="G1945" t="s">
        <v>11288</v>
      </c>
      <c r="H1945" t="s">
        <v>937</v>
      </c>
      <c r="J1945" t="s">
        <v>11289</v>
      </c>
      <c r="K1945" t="s">
        <v>303</v>
      </c>
      <c r="L1945" t="s">
        <v>229</v>
      </c>
      <c r="M1945" t="s">
        <v>113</v>
      </c>
      <c r="R1945" t="s">
        <v>11290</v>
      </c>
      <c r="S1945" t="s">
        <v>3739</v>
      </c>
      <c r="T1945" t="s">
        <v>240</v>
      </c>
      <c r="U1945" t="s">
        <v>117</v>
      </c>
      <c r="V1945" t="str">
        <f>"142216728"</f>
        <v>142216728</v>
      </c>
      <c r="AC1945" t="s">
        <v>119</v>
      </c>
      <c r="AD1945" t="s">
        <v>113</v>
      </c>
      <c r="AE1945" t="s">
        <v>306</v>
      </c>
      <c r="AG1945" t="s">
        <v>121</v>
      </c>
    </row>
    <row r="1946" spans="1:33" x14ac:dyDescent="0.25">
      <c r="A1946" t="str">
        <f>"1174613442"</f>
        <v>1174613442</v>
      </c>
      <c r="B1946" t="str">
        <f>"02845614"</f>
        <v>02845614</v>
      </c>
      <c r="C1946" t="s">
        <v>11291</v>
      </c>
      <c r="D1946" t="s">
        <v>11292</v>
      </c>
      <c r="E1946" t="s">
        <v>11293</v>
      </c>
      <c r="G1946" t="s">
        <v>11294</v>
      </c>
      <c r="H1946" t="s">
        <v>1700</v>
      </c>
      <c r="J1946" t="s">
        <v>11295</v>
      </c>
      <c r="L1946" t="s">
        <v>112</v>
      </c>
      <c r="M1946" t="s">
        <v>113</v>
      </c>
      <c r="R1946" t="s">
        <v>11296</v>
      </c>
      <c r="W1946" t="s">
        <v>11293</v>
      </c>
      <c r="X1946" t="s">
        <v>11297</v>
      </c>
      <c r="Y1946" t="s">
        <v>318</v>
      </c>
      <c r="Z1946" t="s">
        <v>117</v>
      </c>
      <c r="AA1946" t="str">
        <f>"14225-1950"</f>
        <v>14225-1950</v>
      </c>
      <c r="AB1946" t="s">
        <v>118</v>
      </c>
      <c r="AC1946" t="s">
        <v>119</v>
      </c>
      <c r="AD1946" t="s">
        <v>113</v>
      </c>
      <c r="AE1946" t="s">
        <v>120</v>
      </c>
      <c r="AG1946" t="s">
        <v>121</v>
      </c>
    </row>
    <row r="1947" spans="1:33" x14ac:dyDescent="0.25">
      <c r="A1947" t="str">
        <f>"1174626170"</f>
        <v>1174626170</v>
      </c>
      <c r="B1947" t="str">
        <f>"01417358"</f>
        <v>01417358</v>
      </c>
      <c r="C1947" t="s">
        <v>11298</v>
      </c>
      <c r="D1947" t="s">
        <v>11299</v>
      </c>
      <c r="E1947" t="s">
        <v>11300</v>
      </c>
      <c r="G1947" t="s">
        <v>11301</v>
      </c>
      <c r="H1947" t="s">
        <v>11302</v>
      </c>
      <c r="L1947" t="s">
        <v>150</v>
      </c>
      <c r="M1947" t="s">
        <v>113</v>
      </c>
      <c r="R1947" t="s">
        <v>11301</v>
      </c>
      <c r="W1947" t="s">
        <v>11300</v>
      </c>
      <c r="X1947" t="s">
        <v>10477</v>
      </c>
      <c r="Y1947" t="s">
        <v>978</v>
      </c>
      <c r="Z1947" t="s">
        <v>117</v>
      </c>
      <c r="AA1947" t="str">
        <f>"14081-0000"</f>
        <v>14081-0000</v>
      </c>
      <c r="AB1947" t="s">
        <v>118</v>
      </c>
      <c r="AC1947" t="s">
        <v>119</v>
      </c>
      <c r="AD1947" t="s">
        <v>113</v>
      </c>
      <c r="AE1947" t="s">
        <v>120</v>
      </c>
      <c r="AG1947" t="s">
        <v>121</v>
      </c>
    </row>
    <row r="1948" spans="1:33" x14ac:dyDescent="0.25">
      <c r="A1948" t="str">
        <f>"1174652044"</f>
        <v>1174652044</v>
      </c>
      <c r="B1948" t="str">
        <f>"03254157"</f>
        <v>03254157</v>
      </c>
      <c r="C1948" t="s">
        <v>11303</v>
      </c>
      <c r="D1948" t="s">
        <v>11304</v>
      </c>
      <c r="E1948" t="s">
        <v>11305</v>
      </c>
      <c r="G1948" t="s">
        <v>11303</v>
      </c>
      <c r="H1948" t="s">
        <v>10825</v>
      </c>
      <c r="J1948" t="s">
        <v>11306</v>
      </c>
      <c r="L1948" t="s">
        <v>112</v>
      </c>
      <c r="M1948" t="s">
        <v>113</v>
      </c>
      <c r="R1948" t="s">
        <v>11307</v>
      </c>
      <c r="W1948" t="s">
        <v>11308</v>
      </c>
      <c r="X1948" t="s">
        <v>253</v>
      </c>
      <c r="Y1948" t="s">
        <v>116</v>
      </c>
      <c r="Z1948" t="s">
        <v>117</v>
      </c>
      <c r="AA1948" t="str">
        <f>"14215-3021"</f>
        <v>14215-3021</v>
      </c>
      <c r="AB1948" t="s">
        <v>118</v>
      </c>
      <c r="AC1948" t="s">
        <v>119</v>
      </c>
      <c r="AD1948" t="s">
        <v>113</v>
      </c>
      <c r="AE1948" t="s">
        <v>120</v>
      </c>
      <c r="AG1948" t="s">
        <v>121</v>
      </c>
    </row>
    <row r="1949" spans="1:33" x14ac:dyDescent="0.25">
      <c r="A1949" t="str">
        <f>"1144495250"</f>
        <v>1144495250</v>
      </c>
      <c r="B1949" t="str">
        <f>"02969937"</f>
        <v>02969937</v>
      </c>
      <c r="C1949" t="s">
        <v>11309</v>
      </c>
      <c r="D1949" t="s">
        <v>11310</v>
      </c>
      <c r="E1949" t="s">
        <v>11311</v>
      </c>
      <c r="G1949" t="s">
        <v>11312</v>
      </c>
      <c r="H1949" t="s">
        <v>1478</v>
      </c>
      <c r="J1949" t="s">
        <v>11313</v>
      </c>
      <c r="L1949" t="s">
        <v>142</v>
      </c>
      <c r="M1949" t="s">
        <v>113</v>
      </c>
      <c r="R1949" t="s">
        <v>11314</v>
      </c>
      <c r="W1949" t="s">
        <v>11315</v>
      </c>
      <c r="X1949" t="s">
        <v>838</v>
      </c>
      <c r="Y1949" t="s">
        <v>240</v>
      </c>
      <c r="Z1949" t="s">
        <v>117</v>
      </c>
      <c r="AA1949" t="str">
        <f>"14221-3647"</f>
        <v>14221-3647</v>
      </c>
      <c r="AB1949" t="s">
        <v>118</v>
      </c>
      <c r="AC1949" t="s">
        <v>119</v>
      </c>
      <c r="AD1949" t="s">
        <v>113</v>
      </c>
      <c r="AE1949" t="s">
        <v>120</v>
      </c>
      <c r="AG1949" t="s">
        <v>121</v>
      </c>
    </row>
    <row r="1950" spans="1:33" x14ac:dyDescent="0.25">
      <c r="A1950" t="str">
        <f>"1144514589"</f>
        <v>1144514589</v>
      </c>
      <c r="C1950" t="s">
        <v>11316</v>
      </c>
      <c r="G1950" t="s">
        <v>11317</v>
      </c>
      <c r="H1950" t="s">
        <v>471</v>
      </c>
      <c r="J1950" t="s">
        <v>11318</v>
      </c>
      <c r="K1950" t="s">
        <v>303</v>
      </c>
      <c r="L1950" t="s">
        <v>229</v>
      </c>
      <c r="M1950" t="s">
        <v>113</v>
      </c>
      <c r="R1950" t="s">
        <v>11319</v>
      </c>
      <c r="S1950" t="s">
        <v>474</v>
      </c>
      <c r="T1950" t="s">
        <v>116</v>
      </c>
      <c r="U1950" t="s">
        <v>117</v>
      </c>
      <c r="V1950" t="str">
        <f>"142141316"</f>
        <v>142141316</v>
      </c>
      <c r="AC1950" t="s">
        <v>119</v>
      </c>
      <c r="AD1950" t="s">
        <v>113</v>
      </c>
      <c r="AE1950" t="s">
        <v>306</v>
      </c>
      <c r="AG1950" t="s">
        <v>121</v>
      </c>
    </row>
    <row r="1951" spans="1:33" x14ac:dyDescent="0.25">
      <c r="A1951" t="str">
        <f>"1144525866"</f>
        <v>1144525866</v>
      </c>
      <c r="C1951" t="s">
        <v>11320</v>
      </c>
      <c r="G1951" t="s">
        <v>11321</v>
      </c>
      <c r="H1951" t="s">
        <v>471</v>
      </c>
      <c r="J1951" t="s">
        <v>11322</v>
      </c>
      <c r="K1951" t="s">
        <v>303</v>
      </c>
      <c r="L1951" t="s">
        <v>112</v>
      </c>
      <c r="M1951" t="s">
        <v>113</v>
      </c>
      <c r="R1951" t="s">
        <v>11323</v>
      </c>
      <c r="S1951" t="s">
        <v>11324</v>
      </c>
      <c r="T1951" t="s">
        <v>318</v>
      </c>
      <c r="U1951" t="s">
        <v>117</v>
      </c>
      <c r="V1951" t="str">
        <f>"142251950"</f>
        <v>142251950</v>
      </c>
      <c r="AC1951" t="s">
        <v>119</v>
      </c>
      <c r="AD1951" t="s">
        <v>113</v>
      </c>
      <c r="AE1951" t="s">
        <v>306</v>
      </c>
      <c r="AG1951" t="s">
        <v>121</v>
      </c>
    </row>
    <row r="1952" spans="1:33" x14ac:dyDescent="0.25">
      <c r="A1952" t="str">
        <f>"1144543455"</f>
        <v>1144543455</v>
      </c>
      <c r="B1952" t="str">
        <f>"03237794"</f>
        <v>03237794</v>
      </c>
      <c r="C1952" t="s">
        <v>11325</v>
      </c>
      <c r="D1952" t="s">
        <v>11326</v>
      </c>
      <c r="E1952" t="s">
        <v>11327</v>
      </c>
      <c r="G1952" t="s">
        <v>11325</v>
      </c>
      <c r="H1952" t="s">
        <v>707</v>
      </c>
      <c r="J1952" t="s">
        <v>11328</v>
      </c>
      <c r="L1952" t="s">
        <v>142</v>
      </c>
      <c r="M1952" t="s">
        <v>113</v>
      </c>
      <c r="R1952" t="s">
        <v>11329</v>
      </c>
      <c r="W1952" t="s">
        <v>11327</v>
      </c>
      <c r="X1952" t="s">
        <v>709</v>
      </c>
      <c r="Y1952" t="s">
        <v>116</v>
      </c>
      <c r="Z1952" t="s">
        <v>117</v>
      </c>
      <c r="AA1952" t="str">
        <f>"14263-0001"</f>
        <v>14263-0001</v>
      </c>
      <c r="AB1952" t="s">
        <v>118</v>
      </c>
      <c r="AC1952" t="s">
        <v>119</v>
      </c>
      <c r="AD1952" t="s">
        <v>113</v>
      </c>
      <c r="AE1952" t="s">
        <v>120</v>
      </c>
      <c r="AG1952" t="s">
        <v>121</v>
      </c>
    </row>
    <row r="1953" spans="1:33" x14ac:dyDescent="0.25">
      <c r="A1953" t="str">
        <f>"1144548587"</f>
        <v>1144548587</v>
      </c>
      <c r="B1953" t="str">
        <f>"03657678"</f>
        <v>03657678</v>
      </c>
      <c r="C1953" t="s">
        <v>11330</v>
      </c>
      <c r="D1953" t="s">
        <v>11331</v>
      </c>
      <c r="E1953" t="s">
        <v>11332</v>
      </c>
      <c r="G1953" t="s">
        <v>11330</v>
      </c>
      <c r="H1953" t="s">
        <v>11333</v>
      </c>
      <c r="J1953" t="s">
        <v>11334</v>
      </c>
      <c r="L1953" t="s">
        <v>112</v>
      </c>
      <c r="M1953" t="s">
        <v>113</v>
      </c>
      <c r="R1953" t="s">
        <v>11335</v>
      </c>
      <c r="W1953" t="s">
        <v>11332</v>
      </c>
      <c r="X1953" t="s">
        <v>176</v>
      </c>
      <c r="Y1953" t="s">
        <v>116</v>
      </c>
      <c r="Z1953" t="s">
        <v>117</v>
      </c>
      <c r="AA1953" t="str">
        <f>"14203-1126"</f>
        <v>14203-1126</v>
      </c>
      <c r="AB1953" t="s">
        <v>118</v>
      </c>
      <c r="AC1953" t="s">
        <v>119</v>
      </c>
      <c r="AD1953" t="s">
        <v>113</v>
      </c>
      <c r="AE1953" t="s">
        <v>120</v>
      </c>
      <c r="AG1953" t="s">
        <v>121</v>
      </c>
    </row>
    <row r="1954" spans="1:33" x14ac:dyDescent="0.25">
      <c r="A1954" t="str">
        <f>"1144574054"</f>
        <v>1144574054</v>
      </c>
      <c r="C1954" t="s">
        <v>11336</v>
      </c>
      <c r="G1954" t="s">
        <v>11337</v>
      </c>
      <c r="H1954" t="s">
        <v>351</v>
      </c>
      <c r="K1954" t="s">
        <v>303</v>
      </c>
      <c r="L1954" t="s">
        <v>229</v>
      </c>
      <c r="M1954" t="s">
        <v>113</v>
      </c>
      <c r="R1954" t="s">
        <v>11338</v>
      </c>
      <c r="S1954" t="s">
        <v>354</v>
      </c>
      <c r="T1954" t="s">
        <v>116</v>
      </c>
      <c r="U1954" t="s">
        <v>117</v>
      </c>
      <c r="V1954" t="str">
        <f>"142152814"</f>
        <v>142152814</v>
      </c>
      <c r="AC1954" t="s">
        <v>119</v>
      </c>
      <c r="AD1954" t="s">
        <v>113</v>
      </c>
      <c r="AE1954" t="s">
        <v>306</v>
      </c>
      <c r="AG1954" t="s">
        <v>121</v>
      </c>
    </row>
    <row r="1955" spans="1:33" x14ac:dyDescent="0.25">
      <c r="A1955" t="str">
        <f>"1144576265"</f>
        <v>1144576265</v>
      </c>
      <c r="B1955" t="str">
        <f>"03481849"</f>
        <v>03481849</v>
      </c>
      <c r="C1955" t="s">
        <v>11339</v>
      </c>
      <c r="D1955" t="s">
        <v>11340</v>
      </c>
      <c r="E1955" t="s">
        <v>11341</v>
      </c>
      <c r="G1955" t="s">
        <v>11342</v>
      </c>
      <c r="H1955" t="s">
        <v>11343</v>
      </c>
      <c r="J1955" t="s">
        <v>11344</v>
      </c>
      <c r="L1955" t="s">
        <v>142</v>
      </c>
      <c r="M1955" t="s">
        <v>113</v>
      </c>
      <c r="R1955" t="s">
        <v>11345</v>
      </c>
      <c r="W1955" t="s">
        <v>11341</v>
      </c>
      <c r="X1955" t="s">
        <v>3705</v>
      </c>
      <c r="Y1955" t="s">
        <v>958</v>
      </c>
      <c r="Z1955" t="s">
        <v>117</v>
      </c>
      <c r="AA1955" t="str">
        <f>"14226-1727"</f>
        <v>14226-1727</v>
      </c>
      <c r="AB1955" t="s">
        <v>118</v>
      </c>
      <c r="AC1955" t="s">
        <v>119</v>
      </c>
      <c r="AD1955" t="s">
        <v>113</v>
      </c>
      <c r="AE1955" t="s">
        <v>120</v>
      </c>
      <c r="AG1955" t="s">
        <v>121</v>
      </c>
    </row>
    <row r="1956" spans="1:33" x14ac:dyDescent="0.25">
      <c r="A1956" t="str">
        <f>"1144620675"</f>
        <v>1144620675</v>
      </c>
      <c r="C1956" t="s">
        <v>11346</v>
      </c>
      <c r="G1956" t="s">
        <v>11347</v>
      </c>
      <c r="H1956" t="s">
        <v>1115</v>
      </c>
      <c r="J1956" t="s">
        <v>438</v>
      </c>
      <c r="K1956" t="s">
        <v>303</v>
      </c>
      <c r="L1956" t="s">
        <v>112</v>
      </c>
      <c r="M1956" t="s">
        <v>113</v>
      </c>
      <c r="R1956" t="s">
        <v>11348</v>
      </c>
      <c r="S1956" t="s">
        <v>2800</v>
      </c>
      <c r="T1956" t="s">
        <v>318</v>
      </c>
      <c r="U1956" t="s">
        <v>117</v>
      </c>
      <c r="V1956" t="str">
        <f>"142254985"</f>
        <v>142254985</v>
      </c>
      <c r="AC1956" t="s">
        <v>119</v>
      </c>
      <c r="AD1956" t="s">
        <v>113</v>
      </c>
      <c r="AE1956" t="s">
        <v>306</v>
      </c>
      <c r="AG1956" t="s">
        <v>121</v>
      </c>
    </row>
    <row r="1957" spans="1:33" x14ac:dyDescent="0.25">
      <c r="B1957" t="str">
        <f>"02246019"</f>
        <v>02246019</v>
      </c>
      <c r="C1957" t="s">
        <v>15513</v>
      </c>
      <c r="D1957" t="s">
        <v>15514</v>
      </c>
      <c r="E1957" t="s">
        <v>15513</v>
      </c>
      <c r="F1957">
        <v>160818293</v>
      </c>
      <c r="H1957" t="s">
        <v>713</v>
      </c>
      <c r="L1957" t="s">
        <v>69</v>
      </c>
      <c r="M1957" t="s">
        <v>199</v>
      </c>
      <c r="W1957" t="s">
        <v>15513</v>
      </c>
      <c r="X1957" t="s">
        <v>11658</v>
      </c>
      <c r="Y1957" t="s">
        <v>305</v>
      </c>
      <c r="Z1957" t="s">
        <v>117</v>
      </c>
      <c r="AA1957" t="str">
        <f>"14760-1140"</f>
        <v>14760-1140</v>
      </c>
      <c r="AB1957" t="s">
        <v>291</v>
      </c>
      <c r="AC1957" t="s">
        <v>119</v>
      </c>
      <c r="AD1957" t="s">
        <v>113</v>
      </c>
      <c r="AE1957" t="s">
        <v>120</v>
      </c>
      <c r="AG1957" t="s">
        <v>121</v>
      </c>
    </row>
    <row r="1958" spans="1:33" x14ac:dyDescent="0.25">
      <c r="A1958" t="str">
        <f>"1205129921"</f>
        <v>1205129921</v>
      </c>
      <c r="B1958" t="str">
        <f>"03353380"</f>
        <v>03353380</v>
      </c>
      <c r="C1958" t="s">
        <v>11354</v>
      </c>
      <c r="D1958" t="s">
        <v>11355</v>
      </c>
      <c r="E1958" t="s">
        <v>11356</v>
      </c>
      <c r="G1958" t="s">
        <v>11357</v>
      </c>
      <c r="H1958" t="s">
        <v>11358</v>
      </c>
      <c r="J1958" t="s">
        <v>11359</v>
      </c>
      <c r="L1958" t="s">
        <v>112</v>
      </c>
      <c r="M1958" t="s">
        <v>113</v>
      </c>
      <c r="R1958" t="s">
        <v>11356</v>
      </c>
      <c r="W1958" t="s">
        <v>11356</v>
      </c>
      <c r="X1958" t="s">
        <v>6810</v>
      </c>
      <c r="Y1958" t="s">
        <v>326</v>
      </c>
      <c r="Z1958" t="s">
        <v>117</v>
      </c>
      <c r="AA1958" t="str">
        <f>"14127-2275"</f>
        <v>14127-2275</v>
      </c>
      <c r="AB1958" t="s">
        <v>223</v>
      </c>
      <c r="AC1958" t="s">
        <v>119</v>
      </c>
      <c r="AD1958" t="s">
        <v>113</v>
      </c>
      <c r="AE1958" t="s">
        <v>120</v>
      </c>
      <c r="AG1958" t="s">
        <v>121</v>
      </c>
    </row>
    <row r="1959" spans="1:33" x14ac:dyDescent="0.25">
      <c r="A1959" t="str">
        <f>"1205171055"</f>
        <v>1205171055</v>
      </c>
      <c r="C1959" t="s">
        <v>11360</v>
      </c>
      <c r="G1959" t="s">
        <v>11360</v>
      </c>
      <c r="H1959" t="s">
        <v>6586</v>
      </c>
      <c r="J1959" t="s">
        <v>438</v>
      </c>
      <c r="K1959" t="s">
        <v>303</v>
      </c>
      <c r="L1959" t="s">
        <v>229</v>
      </c>
      <c r="M1959" t="s">
        <v>113</v>
      </c>
      <c r="R1959" t="s">
        <v>11361</v>
      </c>
      <c r="S1959" t="s">
        <v>440</v>
      </c>
      <c r="T1959" t="s">
        <v>318</v>
      </c>
      <c r="U1959" t="s">
        <v>117</v>
      </c>
      <c r="V1959" t="str">
        <f>"142254965"</f>
        <v>142254965</v>
      </c>
      <c r="AC1959" t="s">
        <v>119</v>
      </c>
      <c r="AD1959" t="s">
        <v>113</v>
      </c>
      <c r="AE1959" t="s">
        <v>306</v>
      </c>
      <c r="AG1959" t="s">
        <v>121</v>
      </c>
    </row>
    <row r="1960" spans="1:33" x14ac:dyDescent="0.25">
      <c r="A1960" t="str">
        <f>"1205171246"</f>
        <v>1205171246</v>
      </c>
      <c r="C1960" t="s">
        <v>11362</v>
      </c>
      <c r="G1960" t="s">
        <v>11363</v>
      </c>
      <c r="H1960" t="s">
        <v>351</v>
      </c>
      <c r="J1960" t="s">
        <v>352</v>
      </c>
      <c r="K1960" t="s">
        <v>303</v>
      </c>
      <c r="L1960" t="s">
        <v>229</v>
      </c>
      <c r="M1960" t="s">
        <v>113</v>
      </c>
      <c r="R1960" t="s">
        <v>11364</v>
      </c>
      <c r="S1960" t="s">
        <v>354</v>
      </c>
      <c r="T1960" t="s">
        <v>116</v>
      </c>
      <c r="U1960" t="s">
        <v>117</v>
      </c>
      <c r="V1960" t="str">
        <f>"142152814"</f>
        <v>142152814</v>
      </c>
      <c r="AC1960" t="s">
        <v>119</v>
      </c>
      <c r="AD1960" t="s">
        <v>113</v>
      </c>
      <c r="AE1960" t="s">
        <v>306</v>
      </c>
      <c r="AG1960" t="s">
        <v>121</v>
      </c>
    </row>
    <row r="1961" spans="1:33" x14ac:dyDescent="0.25">
      <c r="A1961" t="str">
        <f>"1205176633"</f>
        <v>1205176633</v>
      </c>
      <c r="B1961" t="str">
        <f>"03643510"</f>
        <v>03643510</v>
      </c>
      <c r="C1961" t="s">
        <v>11365</v>
      </c>
      <c r="D1961" t="s">
        <v>11366</v>
      </c>
      <c r="E1961" t="s">
        <v>11367</v>
      </c>
      <c r="G1961" t="s">
        <v>11368</v>
      </c>
      <c r="H1961" t="s">
        <v>419</v>
      </c>
      <c r="J1961" t="s">
        <v>11369</v>
      </c>
      <c r="L1961" t="s">
        <v>142</v>
      </c>
      <c r="M1961" t="s">
        <v>113</v>
      </c>
      <c r="R1961" t="s">
        <v>11370</v>
      </c>
      <c r="W1961" t="s">
        <v>11367</v>
      </c>
      <c r="X1961" t="s">
        <v>1825</v>
      </c>
      <c r="Y1961" t="s">
        <v>348</v>
      </c>
      <c r="Z1961" t="s">
        <v>117</v>
      </c>
      <c r="AA1961" t="str">
        <f>"14043-4783"</f>
        <v>14043-4783</v>
      </c>
      <c r="AB1961" t="s">
        <v>118</v>
      </c>
      <c r="AC1961" t="s">
        <v>119</v>
      </c>
      <c r="AD1961" t="s">
        <v>113</v>
      </c>
      <c r="AE1961" t="s">
        <v>120</v>
      </c>
      <c r="AG1961" t="s">
        <v>121</v>
      </c>
    </row>
    <row r="1962" spans="1:33" x14ac:dyDescent="0.25">
      <c r="A1962" t="str">
        <f>"1205238151"</f>
        <v>1205238151</v>
      </c>
      <c r="C1962" t="s">
        <v>11371</v>
      </c>
      <c r="G1962" t="s">
        <v>11372</v>
      </c>
      <c r="H1962" t="s">
        <v>590</v>
      </c>
      <c r="J1962" t="s">
        <v>11373</v>
      </c>
      <c r="K1962" t="s">
        <v>303</v>
      </c>
      <c r="L1962" t="s">
        <v>229</v>
      </c>
      <c r="M1962" t="s">
        <v>113</v>
      </c>
      <c r="R1962" t="s">
        <v>11374</v>
      </c>
      <c r="S1962" t="s">
        <v>11375</v>
      </c>
      <c r="T1962" t="s">
        <v>318</v>
      </c>
      <c r="U1962" t="s">
        <v>117</v>
      </c>
      <c r="V1962" t="str">
        <f>"142254985"</f>
        <v>142254985</v>
      </c>
      <c r="AC1962" t="s">
        <v>119</v>
      </c>
      <c r="AD1962" t="s">
        <v>113</v>
      </c>
      <c r="AE1962" t="s">
        <v>306</v>
      </c>
      <c r="AG1962" t="s">
        <v>121</v>
      </c>
    </row>
    <row r="1963" spans="1:33" x14ac:dyDescent="0.25">
      <c r="A1963" t="str">
        <f>"1205264959"</f>
        <v>1205264959</v>
      </c>
      <c r="C1963" t="s">
        <v>11376</v>
      </c>
      <c r="G1963" t="s">
        <v>11377</v>
      </c>
      <c r="H1963" t="s">
        <v>590</v>
      </c>
      <c r="J1963" t="s">
        <v>11378</v>
      </c>
      <c r="K1963" t="s">
        <v>303</v>
      </c>
      <c r="L1963" t="s">
        <v>112</v>
      </c>
      <c r="M1963" t="s">
        <v>113</v>
      </c>
      <c r="R1963" t="s">
        <v>11379</v>
      </c>
      <c r="S1963" t="s">
        <v>626</v>
      </c>
      <c r="T1963" t="s">
        <v>116</v>
      </c>
      <c r="U1963" t="s">
        <v>117</v>
      </c>
      <c r="V1963" t="str">
        <f>"142102324"</f>
        <v>142102324</v>
      </c>
      <c r="AC1963" t="s">
        <v>119</v>
      </c>
      <c r="AD1963" t="s">
        <v>113</v>
      </c>
      <c r="AE1963" t="s">
        <v>306</v>
      </c>
      <c r="AG1963" t="s">
        <v>121</v>
      </c>
    </row>
    <row r="1964" spans="1:33" x14ac:dyDescent="0.25">
      <c r="A1964" t="str">
        <f>"1205265857"</f>
        <v>1205265857</v>
      </c>
      <c r="C1964" t="s">
        <v>11380</v>
      </c>
      <c r="G1964" t="s">
        <v>11380</v>
      </c>
      <c r="H1964" t="s">
        <v>937</v>
      </c>
      <c r="J1964" t="s">
        <v>11381</v>
      </c>
      <c r="K1964" t="s">
        <v>303</v>
      </c>
      <c r="L1964" t="s">
        <v>229</v>
      </c>
      <c r="M1964" t="s">
        <v>113</v>
      </c>
      <c r="R1964" t="s">
        <v>11382</v>
      </c>
      <c r="S1964" t="s">
        <v>3739</v>
      </c>
      <c r="T1964" t="s">
        <v>240</v>
      </c>
      <c r="U1964" t="s">
        <v>117</v>
      </c>
      <c r="V1964" t="str">
        <f>"142216728"</f>
        <v>142216728</v>
      </c>
      <c r="AC1964" t="s">
        <v>119</v>
      </c>
      <c r="AD1964" t="s">
        <v>113</v>
      </c>
      <c r="AE1964" t="s">
        <v>306</v>
      </c>
      <c r="AG1964" t="s">
        <v>121</v>
      </c>
    </row>
    <row r="1965" spans="1:33" x14ac:dyDescent="0.25">
      <c r="A1965" t="str">
        <f>"1205801701"</f>
        <v>1205801701</v>
      </c>
      <c r="B1965" t="str">
        <f>"01134110"</f>
        <v>01134110</v>
      </c>
      <c r="C1965" t="s">
        <v>11383</v>
      </c>
      <c r="D1965" t="s">
        <v>11384</v>
      </c>
      <c r="E1965" t="s">
        <v>11385</v>
      </c>
      <c r="G1965" t="s">
        <v>11383</v>
      </c>
      <c r="H1965" t="s">
        <v>2824</v>
      </c>
      <c r="J1965" t="s">
        <v>11386</v>
      </c>
      <c r="L1965" t="s">
        <v>142</v>
      </c>
      <c r="M1965" t="s">
        <v>113</v>
      </c>
      <c r="R1965" t="s">
        <v>11387</v>
      </c>
      <c r="W1965" t="s">
        <v>11385</v>
      </c>
      <c r="X1965" t="s">
        <v>11171</v>
      </c>
      <c r="Y1965" t="s">
        <v>9183</v>
      </c>
      <c r="Z1965" t="s">
        <v>117</v>
      </c>
      <c r="AA1965" t="str">
        <f>"14086-1262"</f>
        <v>14086-1262</v>
      </c>
      <c r="AB1965" t="s">
        <v>118</v>
      </c>
      <c r="AC1965" t="s">
        <v>119</v>
      </c>
      <c r="AD1965" t="s">
        <v>113</v>
      </c>
      <c r="AE1965" t="s">
        <v>120</v>
      </c>
      <c r="AG1965" t="s">
        <v>121</v>
      </c>
    </row>
    <row r="1966" spans="1:33" x14ac:dyDescent="0.25">
      <c r="A1966" t="str">
        <f>"1205803509"</f>
        <v>1205803509</v>
      </c>
      <c r="B1966" t="str">
        <f>"02315800"</f>
        <v>02315800</v>
      </c>
      <c r="C1966" t="s">
        <v>11388</v>
      </c>
      <c r="D1966" t="s">
        <v>11389</v>
      </c>
      <c r="E1966" t="s">
        <v>11390</v>
      </c>
      <c r="G1966" t="s">
        <v>11388</v>
      </c>
      <c r="H1966" t="s">
        <v>1507</v>
      </c>
      <c r="J1966" t="s">
        <v>11391</v>
      </c>
      <c r="L1966" t="s">
        <v>728</v>
      </c>
      <c r="M1966" t="s">
        <v>199</v>
      </c>
      <c r="R1966" t="s">
        <v>11392</v>
      </c>
      <c r="W1966" t="s">
        <v>11393</v>
      </c>
      <c r="X1966" t="s">
        <v>136</v>
      </c>
      <c r="Y1966" t="s">
        <v>116</v>
      </c>
      <c r="Z1966" t="s">
        <v>117</v>
      </c>
      <c r="AA1966" t="str">
        <f>"14209-1120"</f>
        <v>14209-1120</v>
      </c>
      <c r="AB1966" t="s">
        <v>118</v>
      </c>
      <c r="AC1966" t="s">
        <v>119</v>
      </c>
      <c r="AD1966" t="s">
        <v>113</v>
      </c>
      <c r="AE1966" t="s">
        <v>120</v>
      </c>
      <c r="AG1966" t="s">
        <v>121</v>
      </c>
    </row>
    <row r="1967" spans="1:33" x14ac:dyDescent="0.25">
      <c r="A1967" t="str">
        <f>"1205807575"</f>
        <v>1205807575</v>
      </c>
      <c r="B1967" t="str">
        <f>"01600339"</f>
        <v>01600339</v>
      </c>
      <c r="C1967" t="s">
        <v>11394</v>
      </c>
      <c r="D1967" t="s">
        <v>11395</v>
      </c>
      <c r="E1967" t="s">
        <v>11396</v>
      </c>
      <c r="G1967" t="s">
        <v>11394</v>
      </c>
      <c r="H1967" t="s">
        <v>6306</v>
      </c>
      <c r="J1967" t="s">
        <v>11397</v>
      </c>
      <c r="L1967" t="s">
        <v>142</v>
      </c>
      <c r="M1967" t="s">
        <v>113</v>
      </c>
      <c r="R1967" t="s">
        <v>11398</v>
      </c>
      <c r="W1967" t="s">
        <v>11396</v>
      </c>
      <c r="X1967" t="s">
        <v>6154</v>
      </c>
      <c r="Y1967" t="s">
        <v>240</v>
      </c>
      <c r="Z1967" t="s">
        <v>117</v>
      </c>
      <c r="AA1967" t="str">
        <f>"14221-7717"</f>
        <v>14221-7717</v>
      </c>
      <c r="AB1967" t="s">
        <v>118</v>
      </c>
      <c r="AC1967" t="s">
        <v>119</v>
      </c>
      <c r="AD1967" t="s">
        <v>113</v>
      </c>
      <c r="AE1967" t="s">
        <v>120</v>
      </c>
      <c r="AG1967" t="s">
        <v>121</v>
      </c>
    </row>
    <row r="1968" spans="1:33" x14ac:dyDescent="0.25">
      <c r="A1968" t="str">
        <f>"1205808342"</f>
        <v>1205808342</v>
      </c>
      <c r="B1968" t="str">
        <f>"01875209"</f>
        <v>01875209</v>
      </c>
      <c r="C1968" t="s">
        <v>11399</v>
      </c>
      <c r="D1968" t="s">
        <v>11400</v>
      </c>
      <c r="E1968" t="s">
        <v>11401</v>
      </c>
      <c r="G1968" t="s">
        <v>11402</v>
      </c>
      <c r="H1968" t="s">
        <v>11403</v>
      </c>
      <c r="J1968" t="s">
        <v>11404</v>
      </c>
      <c r="L1968" t="s">
        <v>142</v>
      </c>
      <c r="M1968" t="s">
        <v>113</v>
      </c>
      <c r="R1968" t="s">
        <v>11401</v>
      </c>
      <c r="W1968" t="s">
        <v>11401</v>
      </c>
      <c r="AB1968" t="s">
        <v>118</v>
      </c>
      <c r="AC1968" t="s">
        <v>119</v>
      </c>
      <c r="AD1968" t="s">
        <v>113</v>
      </c>
      <c r="AE1968" t="s">
        <v>120</v>
      </c>
      <c r="AG1968" t="s">
        <v>121</v>
      </c>
    </row>
    <row r="1969" spans="1:33" x14ac:dyDescent="0.25">
      <c r="A1969" t="str">
        <f>"1205808698"</f>
        <v>1205808698</v>
      </c>
      <c r="B1969" t="str">
        <f>"02422517"</f>
        <v>02422517</v>
      </c>
      <c r="C1969" t="s">
        <v>11405</v>
      </c>
      <c r="D1969" t="s">
        <v>11406</v>
      </c>
      <c r="E1969" t="s">
        <v>11407</v>
      </c>
      <c r="G1969" t="s">
        <v>11405</v>
      </c>
      <c r="H1969" t="s">
        <v>1964</v>
      </c>
      <c r="J1969" t="s">
        <v>11408</v>
      </c>
      <c r="L1969" t="s">
        <v>142</v>
      </c>
      <c r="M1969" t="s">
        <v>113</v>
      </c>
      <c r="R1969" t="s">
        <v>11407</v>
      </c>
      <c r="W1969" t="s">
        <v>11407</v>
      </c>
      <c r="X1969" t="s">
        <v>11407</v>
      </c>
      <c r="Y1969" t="s">
        <v>116</v>
      </c>
      <c r="Z1969" t="s">
        <v>117</v>
      </c>
      <c r="AA1969" t="str">
        <f>"14203-1126"</f>
        <v>14203-1126</v>
      </c>
      <c r="AB1969" t="s">
        <v>118</v>
      </c>
      <c r="AC1969" t="s">
        <v>119</v>
      </c>
      <c r="AD1969" t="s">
        <v>113</v>
      </c>
      <c r="AE1969" t="s">
        <v>120</v>
      </c>
      <c r="AG1969" t="s">
        <v>121</v>
      </c>
    </row>
    <row r="1970" spans="1:33" x14ac:dyDescent="0.25">
      <c r="A1970" t="str">
        <f>"1306899885"</f>
        <v>1306899885</v>
      </c>
      <c r="B1970" t="str">
        <f>"02505411"</f>
        <v>02505411</v>
      </c>
      <c r="C1970" t="s">
        <v>11409</v>
      </c>
      <c r="D1970" t="s">
        <v>11410</v>
      </c>
      <c r="E1970" t="s">
        <v>11411</v>
      </c>
      <c r="G1970" t="s">
        <v>11409</v>
      </c>
      <c r="H1970" t="s">
        <v>272</v>
      </c>
      <c r="J1970" t="s">
        <v>11412</v>
      </c>
      <c r="L1970" t="s">
        <v>142</v>
      </c>
      <c r="M1970" t="s">
        <v>199</v>
      </c>
      <c r="R1970" t="s">
        <v>11413</v>
      </c>
      <c r="W1970" t="s">
        <v>11414</v>
      </c>
      <c r="X1970" t="s">
        <v>966</v>
      </c>
      <c r="Y1970" t="s">
        <v>116</v>
      </c>
      <c r="Z1970" t="s">
        <v>117</v>
      </c>
      <c r="AA1970" t="str">
        <f>"14207-1816"</f>
        <v>14207-1816</v>
      </c>
      <c r="AB1970" t="s">
        <v>118</v>
      </c>
      <c r="AC1970" t="s">
        <v>119</v>
      </c>
      <c r="AD1970" t="s">
        <v>113</v>
      </c>
      <c r="AE1970" t="s">
        <v>120</v>
      </c>
      <c r="AG1970" t="s">
        <v>121</v>
      </c>
    </row>
    <row r="1971" spans="1:33" x14ac:dyDescent="0.25">
      <c r="A1971" t="str">
        <f>"1306901608"</f>
        <v>1306901608</v>
      </c>
      <c r="B1971" t="str">
        <f>"02857183"</f>
        <v>02857183</v>
      </c>
      <c r="C1971" t="s">
        <v>11415</v>
      </c>
      <c r="D1971" t="s">
        <v>11416</v>
      </c>
      <c r="E1971" t="s">
        <v>11417</v>
      </c>
      <c r="F1971">
        <v>160795709</v>
      </c>
      <c r="G1971" t="s">
        <v>11418</v>
      </c>
      <c r="H1971" t="s">
        <v>11419</v>
      </c>
      <c r="J1971" t="s">
        <v>11420</v>
      </c>
      <c r="L1971" t="s">
        <v>1714</v>
      </c>
      <c r="M1971" t="s">
        <v>199</v>
      </c>
      <c r="R1971" t="s">
        <v>11421</v>
      </c>
      <c r="W1971" t="s">
        <v>11417</v>
      </c>
      <c r="X1971" t="s">
        <v>11422</v>
      </c>
      <c r="Y1971" t="s">
        <v>2872</v>
      </c>
      <c r="Z1971" t="s">
        <v>117</v>
      </c>
      <c r="AA1971" t="str">
        <f>"14901-2322"</f>
        <v>14901-2322</v>
      </c>
      <c r="AB1971" t="s">
        <v>1146</v>
      </c>
      <c r="AC1971" t="s">
        <v>119</v>
      </c>
      <c r="AD1971" t="s">
        <v>113</v>
      </c>
      <c r="AE1971" t="s">
        <v>120</v>
      </c>
      <c r="AG1971" t="s">
        <v>121</v>
      </c>
    </row>
    <row r="1972" spans="1:33" x14ac:dyDescent="0.25">
      <c r="A1972" t="str">
        <f>"1306909957"</f>
        <v>1306909957</v>
      </c>
      <c r="B1972" t="str">
        <f>"00474960"</f>
        <v>00474960</v>
      </c>
      <c r="C1972" t="s">
        <v>11423</v>
      </c>
      <c r="D1972" t="s">
        <v>11424</v>
      </c>
      <c r="E1972" t="s">
        <v>11425</v>
      </c>
      <c r="G1972" t="s">
        <v>11426</v>
      </c>
      <c r="H1972" t="s">
        <v>9490</v>
      </c>
      <c r="J1972" t="s">
        <v>11427</v>
      </c>
      <c r="L1972" t="s">
        <v>1143</v>
      </c>
      <c r="M1972" t="s">
        <v>113</v>
      </c>
      <c r="R1972" t="s">
        <v>11428</v>
      </c>
      <c r="W1972" t="s">
        <v>11429</v>
      </c>
      <c r="X1972" t="s">
        <v>11430</v>
      </c>
      <c r="Y1972" t="s">
        <v>153</v>
      </c>
      <c r="Z1972" t="s">
        <v>117</v>
      </c>
      <c r="AA1972" t="str">
        <f>"14301-1948"</f>
        <v>14301-1948</v>
      </c>
      <c r="AB1972" t="s">
        <v>1146</v>
      </c>
      <c r="AC1972" t="s">
        <v>119</v>
      </c>
      <c r="AD1972" t="s">
        <v>113</v>
      </c>
      <c r="AE1972" t="s">
        <v>120</v>
      </c>
      <c r="AG1972" t="s">
        <v>121</v>
      </c>
    </row>
    <row r="1973" spans="1:33" x14ac:dyDescent="0.25">
      <c r="A1973" t="str">
        <f>"1255325650"</f>
        <v>1255325650</v>
      </c>
      <c r="B1973" t="str">
        <f>"00765962"</f>
        <v>00765962</v>
      </c>
      <c r="C1973" t="s">
        <v>11431</v>
      </c>
      <c r="D1973" t="s">
        <v>11432</v>
      </c>
      <c r="E1973" t="s">
        <v>11433</v>
      </c>
      <c r="G1973" t="s">
        <v>11431</v>
      </c>
      <c r="H1973" t="s">
        <v>8875</v>
      </c>
      <c r="J1973" t="s">
        <v>11434</v>
      </c>
      <c r="L1973" t="s">
        <v>142</v>
      </c>
      <c r="M1973" t="s">
        <v>113</v>
      </c>
      <c r="R1973" t="s">
        <v>11435</v>
      </c>
      <c r="W1973" t="s">
        <v>11436</v>
      </c>
      <c r="X1973" t="s">
        <v>11437</v>
      </c>
      <c r="Y1973" t="s">
        <v>318</v>
      </c>
      <c r="Z1973" t="s">
        <v>117</v>
      </c>
      <c r="AA1973" t="str">
        <f>"14215-1941"</f>
        <v>14215-1941</v>
      </c>
      <c r="AB1973" t="s">
        <v>118</v>
      </c>
      <c r="AC1973" t="s">
        <v>119</v>
      </c>
      <c r="AD1973" t="s">
        <v>113</v>
      </c>
      <c r="AE1973" t="s">
        <v>120</v>
      </c>
      <c r="AG1973" t="s">
        <v>121</v>
      </c>
    </row>
    <row r="1974" spans="1:33" x14ac:dyDescent="0.25">
      <c r="A1974" t="str">
        <f>"1255335907"</f>
        <v>1255335907</v>
      </c>
      <c r="B1974" t="str">
        <f>"02286299"</f>
        <v>02286299</v>
      </c>
      <c r="C1974" t="s">
        <v>11438</v>
      </c>
      <c r="D1974" t="s">
        <v>11439</v>
      </c>
      <c r="E1974" t="s">
        <v>11440</v>
      </c>
      <c r="G1974" t="s">
        <v>11438</v>
      </c>
      <c r="H1974" t="s">
        <v>11441</v>
      </c>
      <c r="J1974" t="s">
        <v>11442</v>
      </c>
      <c r="L1974" t="s">
        <v>142</v>
      </c>
      <c r="M1974" t="s">
        <v>113</v>
      </c>
      <c r="R1974" t="s">
        <v>11443</v>
      </c>
      <c r="W1974" t="s">
        <v>11444</v>
      </c>
      <c r="X1974" t="s">
        <v>11445</v>
      </c>
      <c r="Y1974" t="s">
        <v>958</v>
      </c>
      <c r="Z1974" t="s">
        <v>117</v>
      </c>
      <c r="AA1974" t="str">
        <f>"14228-2021"</f>
        <v>14228-2021</v>
      </c>
      <c r="AB1974" t="s">
        <v>118</v>
      </c>
      <c r="AC1974" t="s">
        <v>119</v>
      </c>
      <c r="AD1974" t="s">
        <v>113</v>
      </c>
      <c r="AE1974" t="s">
        <v>120</v>
      </c>
      <c r="AG1974" t="s">
        <v>121</v>
      </c>
    </row>
    <row r="1975" spans="1:33" x14ac:dyDescent="0.25">
      <c r="A1975" t="str">
        <f>"1053561175"</f>
        <v>1053561175</v>
      </c>
      <c r="C1975" t="s">
        <v>11446</v>
      </c>
      <c r="G1975" t="s">
        <v>11446</v>
      </c>
      <c r="H1975" t="s">
        <v>1071</v>
      </c>
      <c r="J1975" t="s">
        <v>438</v>
      </c>
      <c r="K1975" t="s">
        <v>303</v>
      </c>
      <c r="L1975" t="s">
        <v>229</v>
      </c>
      <c r="M1975" t="s">
        <v>113</v>
      </c>
      <c r="R1975" t="s">
        <v>11447</v>
      </c>
      <c r="S1975" t="s">
        <v>474</v>
      </c>
      <c r="T1975" t="s">
        <v>116</v>
      </c>
      <c r="U1975" t="s">
        <v>117</v>
      </c>
      <c r="V1975" t="str">
        <f>"142141316"</f>
        <v>142141316</v>
      </c>
      <c r="AC1975" t="s">
        <v>119</v>
      </c>
      <c r="AD1975" t="s">
        <v>113</v>
      </c>
      <c r="AE1975" t="s">
        <v>306</v>
      </c>
      <c r="AG1975" t="s">
        <v>121</v>
      </c>
    </row>
    <row r="1976" spans="1:33" x14ac:dyDescent="0.25">
      <c r="A1976" t="str">
        <f>"1053572883"</f>
        <v>1053572883</v>
      </c>
      <c r="B1976" t="str">
        <f>"03015794"</f>
        <v>03015794</v>
      </c>
      <c r="C1976" t="s">
        <v>11448</v>
      </c>
      <c r="D1976" t="s">
        <v>11449</v>
      </c>
      <c r="E1976" t="s">
        <v>11450</v>
      </c>
      <c r="G1976" t="s">
        <v>11448</v>
      </c>
      <c r="H1976" t="s">
        <v>11451</v>
      </c>
      <c r="J1976" t="s">
        <v>11452</v>
      </c>
      <c r="L1976" t="s">
        <v>150</v>
      </c>
      <c r="M1976" t="s">
        <v>113</v>
      </c>
      <c r="R1976" t="s">
        <v>11450</v>
      </c>
      <c r="W1976" t="s">
        <v>11450</v>
      </c>
      <c r="X1976" t="s">
        <v>11453</v>
      </c>
      <c r="Y1976" t="s">
        <v>958</v>
      </c>
      <c r="Z1976" t="s">
        <v>117</v>
      </c>
      <c r="AA1976" t="str">
        <f>"14226-1855"</f>
        <v>14226-1855</v>
      </c>
      <c r="AB1976" t="s">
        <v>118</v>
      </c>
      <c r="AC1976" t="s">
        <v>119</v>
      </c>
      <c r="AD1976" t="s">
        <v>113</v>
      </c>
      <c r="AE1976" t="s">
        <v>120</v>
      </c>
      <c r="AG1976" t="s">
        <v>121</v>
      </c>
    </row>
    <row r="1977" spans="1:33" x14ac:dyDescent="0.25">
      <c r="A1977" t="str">
        <f>"1053573444"</f>
        <v>1053573444</v>
      </c>
      <c r="B1977" t="str">
        <f>"03723104"</f>
        <v>03723104</v>
      </c>
      <c r="C1977" t="s">
        <v>11454</v>
      </c>
      <c r="D1977" t="s">
        <v>11455</v>
      </c>
      <c r="E1977" t="s">
        <v>11456</v>
      </c>
      <c r="G1977" t="s">
        <v>11454</v>
      </c>
      <c r="H1977" t="s">
        <v>11457</v>
      </c>
      <c r="J1977" t="s">
        <v>11458</v>
      </c>
      <c r="L1977" t="s">
        <v>142</v>
      </c>
      <c r="M1977" t="s">
        <v>113</v>
      </c>
      <c r="R1977" t="s">
        <v>11459</v>
      </c>
      <c r="W1977" t="s">
        <v>11456</v>
      </c>
      <c r="X1977" t="s">
        <v>11460</v>
      </c>
      <c r="Y1977" t="s">
        <v>958</v>
      </c>
      <c r="Z1977" t="s">
        <v>117</v>
      </c>
      <c r="AA1977" t="str">
        <f>"14226-1855"</f>
        <v>14226-1855</v>
      </c>
      <c r="AB1977" t="s">
        <v>118</v>
      </c>
      <c r="AC1977" t="s">
        <v>119</v>
      </c>
      <c r="AD1977" t="s">
        <v>113</v>
      </c>
      <c r="AE1977" t="s">
        <v>120</v>
      </c>
      <c r="AG1977" t="s">
        <v>121</v>
      </c>
    </row>
    <row r="1978" spans="1:33" x14ac:dyDescent="0.25">
      <c r="A1978" t="str">
        <f>"1053587121"</f>
        <v>1053587121</v>
      </c>
      <c r="B1978" t="str">
        <f>"02524707"</f>
        <v>02524707</v>
      </c>
      <c r="C1978" t="s">
        <v>11461</v>
      </c>
      <c r="D1978" t="s">
        <v>11462</v>
      </c>
      <c r="E1978" t="s">
        <v>11463</v>
      </c>
      <c r="G1978" t="s">
        <v>11461</v>
      </c>
      <c r="H1978" t="s">
        <v>11464</v>
      </c>
      <c r="J1978" t="s">
        <v>11465</v>
      </c>
      <c r="L1978" t="s">
        <v>142</v>
      </c>
      <c r="M1978" t="s">
        <v>113</v>
      </c>
      <c r="R1978" t="s">
        <v>11466</v>
      </c>
      <c r="W1978" t="s">
        <v>11463</v>
      </c>
      <c r="X1978" t="s">
        <v>11467</v>
      </c>
      <c r="Y1978" t="s">
        <v>116</v>
      </c>
      <c r="Z1978" t="s">
        <v>117</v>
      </c>
      <c r="AA1978" t="str">
        <f>"14209-1802"</f>
        <v>14209-1802</v>
      </c>
      <c r="AB1978" t="s">
        <v>528</v>
      </c>
      <c r="AC1978" t="s">
        <v>119</v>
      </c>
      <c r="AD1978" t="s">
        <v>113</v>
      </c>
      <c r="AE1978" t="s">
        <v>120</v>
      </c>
      <c r="AG1978" t="s">
        <v>121</v>
      </c>
    </row>
    <row r="1979" spans="1:33" x14ac:dyDescent="0.25">
      <c r="A1979" t="str">
        <f>"1053589846"</f>
        <v>1053589846</v>
      </c>
      <c r="B1979" t="str">
        <f>"02958065"</f>
        <v>02958065</v>
      </c>
      <c r="C1979" t="s">
        <v>11468</v>
      </c>
      <c r="D1979" t="s">
        <v>11469</v>
      </c>
      <c r="E1979" t="s">
        <v>11470</v>
      </c>
      <c r="G1979" t="s">
        <v>11468</v>
      </c>
      <c r="H1979" t="s">
        <v>11471</v>
      </c>
      <c r="J1979" t="s">
        <v>11472</v>
      </c>
      <c r="L1979" t="s">
        <v>112</v>
      </c>
      <c r="M1979" t="s">
        <v>113</v>
      </c>
      <c r="R1979" t="s">
        <v>11473</v>
      </c>
      <c r="W1979" t="s">
        <v>11470</v>
      </c>
      <c r="X1979" t="s">
        <v>11474</v>
      </c>
      <c r="Y1979" t="s">
        <v>116</v>
      </c>
      <c r="Z1979" t="s">
        <v>117</v>
      </c>
      <c r="AA1979" t="str">
        <f>"14209-2027"</f>
        <v>14209-2027</v>
      </c>
      <c r="AB1979" t="s">
        <v>118</v>
      </c>
      <c r="AC1979" t="s">
        <v>119</v>
      </c>
      <c r="AD1979" t="s">
        <v>113</v>
      </c>
      <c r="AE1979" t="s">
        <v>120</v>
      </c>
      <c r="AG1979" t="s">
        <v>121</v>
      </c>
    </row>
    <row r="1980" spans="1:33" x14ac:dyDescent="0.25">
      <c r="A1980" t="str">
        <f>"1053592006"</f>
        <v>1053592006</v>
      </c>
      <c r="B1980" t="str">
        <f>"03675990"</f>
        <v>03675990</v>
      </c>
      <c r="C1980" t="s">
        <v>11475</v>
      </c>
      <c r="D1980" t="s">
        <v>11476</v>
      </c>
      <c r="E1980" t="s">
        <v>11477</v>
      </c>
      <c r="G1980" t="s">
        <v>11478</v>
      </c>
      <c r="J1980" t="s">
        <v>352</v>
      </c>
      <c r="L1980" t="s">
        <v>112</v>
      </c>
      <c r="M1980" t="s">
        <v>113</v>
      </c>
      <c r="R1980" t="s">
        <v>11479</v>
      </c>
      <c r="W1980" t="s">
        <v>11477</v>
      </c>
      <c r="X1980" t="s">
        <v>11480</v>
      </c>
      <c r="Y1980" t="s">
        <v>318</v>
      </c>
      <c r="Z1980" t="s">
        <v>117</v>
      </c>
      <c r="AA1980" t="str">
        <f>"14227-2277"</f>
        <v>14227-2277</v>
      </c>
      <c r="AB1980" t="s">
        <v>621</v>
      </c>
      <c r="AC1980" t="s">
        <v>119</v>
      </c>
      <c r="AD1980" t="s">
        <v>113</v>
      </c>
      <c r="AE1980" t="s">
        <v>120</v>
      </c>
      <c r="AG1980" t="s">
        <v>121</v>
      </c>
    </row>
    <row r="1981" spans="1:33" x14ac:dyDescent="0.25">
      <c r="A1981" t="str">
        <f>"1053626820"</f>
        <v>1053626820</v>
      </c>
      <c r="C1981" t="s">
        <v>11481</v>
      </c>
      <c r="G1981" t="s">
        <v>11482</v>
      </c>
      <c r="H1981" t="s">
        <v>11483</v>
      </c>
      <c r="J1981" t="s">
        <v>11484</v>
      </c>
      <c r="K1981" t="s">
        <v>303</v>
      </c>
      <c r="L1981" t="s">
        <v>229</v>
      </c>
      <c r="M1981" t="s">
        <v>113</v>
      </c>
      <c r="R1981" t="s">
        <v>11485</v>
      </c>
      <c r="S1981" t="s">
        <v>176</v>
      </c>
      <c r="T1981" t="s">
        <v>116</v>
      </c>
      <c r="U1981" t="s">
        <v>117</v>
      </c>
      <c r="V1981" t="str">
        <f>"142031126"</f>
        <v>142031126</v>
      </c>
      <c r="AC1981" t="s">
        <v>119</v>
      </c>
      <c r="AD1981" t="s">
        <v>113</v>
      </c>
      <c r="AE1981" t="s">
        <v>306</v>
      </c>
      <c r="AG1981" t="s">
        <v>121</v>
      </c>
    </row>
    <row r="1982" spans="1:33" x14ac:dyDescent="0.25">
      <c r="A1982" t="str">
        <f>"1053653956"</f>
        <v>1053653956</v>
      </c>
      <c r="C1982" t="s">
        <v>11486</v>
      </c>
      <c r="G1982" t="s">
        <v>11487</v>
      </c>
      <c r="H1982" t="s">
        <v>351</v>
      </c>
      <c r="J1982" t="s">
        <v>352</v>
      </c>
      <c r="K1982" t="s">
        <v>303</v>
      </c>
      <c r="L1982" t="s">
        <v>112</v>
      </c>
      <c r="M1982" t="s">
        <v>113</v>
      </c>
      <c r="R1982" t="s">
        <v>11488</v>
      </c>
      <c r="S1982" t="s">
        <v>354</v>
      </c>
      <c r="T1982" t="s">
        <v>116</v>
      </c>
      <c r="U1982" t="s">
        <v>117</v>
      </c>
      <c r="V1982" t="str">
        <f>"142152814"</f>
        <v>142152814</v>
      </c>
      <c r="AC1982" t="s">
        <v>119</v>
      </c>
      <c r="AD1982" t="s">
        <v>113</v>
      </c>
      <c r="AE1982" t="s">
        <v>306</v>
      </c>
      <c r="AG1982" t="s">
        <v>121</v>
      </c>
    </row>
    <row r="1983" spans="1:33" x14ac:dyDescent="0.25">
      <c r="A1983" t="str">
        <f>"1053656694"</f>
        <v>1053656694</v>
      </c>
      <c r="C1983" t="s">
        <v>11489</v>
      </c>
      <c r="G1983" t="s">
        <v>11490</v>
      </c>
      <c r="H1983" t="s">
        <v>11491</v>
      </c>
      <c r="J1983" t="s">
        <v>11492</v>
      </c>
      <c r="K1983" t="s">
        <v>303</v>
      </c>
      <c r="L1983" t="s">
        <v>229</v>
      </c>
      <c r="M1983" t="s">
        <v>113</v>
      </c>
      <c r="R1983" t="s">
        <v>11489</v>
      </c>
      <c r="S1983" t="s">
        <v>11493</v>
      </c>
      <c r="T1983" t="s">
        <v>116</v>
      </c>
      <c r="U1983" t="s">
        <v>117</v>
      </c>
      <c r="V1983" t="str">
        <f>"142023925"</f>
        <v>142023925</v>
      </c>
      <c r="AC1983" t="s">
        <v>119</v>
      </c>
      <c r="AD1983" t="s">
        <v>113</v>
      </c>
      <c r="AE1983" t="s">
        <v>306</v>
      </c>
      <c r="AG1983" t="s">
        <v>121</v>
      </c>
    </row>
    <row r="1984" spans="1:33" x14ac:dyDescent="0.25">
      <c r="A1984" t="str">
        <f>"1316361298"</f>
        <v>1316361298</v>
      </c>
      <c r="B1984" t="str">
        <f>"00475214"</f>
        <v>00475214</v>
      </c>
      <c r="C1984" t="s">
        <v>24259</v>
      </c>
      <c r="D1984" t="s">
        <v>24260</v>
      </c>
      <c r="E1984" t="s">
        <v>24261</v>
      </c>
      <c r="G1984" t="s">
        <v>24262</v>
      </c>
      <c r="H1984" t="s">
        <v>24263</v>
      </c>
      <c r="J1984" t="s">
        <v>24264</v>
      </c>
      <c r="L1984" t="s">
        <v>280</v>
      </c>
      <c r="M1984" t="s">
        <v>199</v>
      </c>
      <c r="R1984" t="s">
        <v>24265</v>
      </c>
      <c r="W1984" t="s">
        <v>24266</v>
      </c>
      <c r="X1984" t="s">
        <v>24267</v>
      </c>
      <c r="Y1984" t="s">
        <v>1257</v>
      </c>
      <c r="Z1984" t="s">
        <v>117</v>
      </c>
      <c r="AA1984" t="str">
        <f>"14141-1016"</f>
        <v>14141-1016</v>
      </c>
      <c r="AB1984" t="s">
        <v>282</v>
      </c>
      <c r="AC1984" t="s">
        <v>119</v>
      </c>
      <c r="AD1984" t="s">
        <v>113</v>
      </c>
      <c r="AE1984" t="s">
        <v>120</v>
      </c>
      <c r="AG1984" t="s">
        <v>121</v>
      </c>
    </row>
    <row r="1985" spans="1:33" x14ac:dyDescent="0.25">
      <c r="A1985" t="str">
        <f>"1053736884"</f>
        <v>1053736884</v>
      </c>
      <c r="C1985" t="s">
        <v>11500</v>
      </c>
      <c r="G1985" t="s">
        <v>11501</v>
      </c>
      <c r="H1985" t="s">
        <v>351</v>
      </c>
      <c r="K1985" t="s">
        <v>303</v>
      </c>
      <c r="L1985" t="s">
        <v>229</v>
      </c>
      <c r="M1985" t="s">
        <v>113</v>
      </c>
      <c r="R1985" t="s">
        <v>11502</v>
      </c>
      <c r="S1985" t="s">
        <v>354</v>
      </c>
      <c r="T1985" t="s">
        <v>116</v>
      </c>
      <c r="U1985" t="s">
        <v>117</v>
      </c>
      <c r="V1985" t="str">
        <f>"142152814"</f>
        <v>142152814</v>
      </c>
      <c r="AC1985" t="s">
        <v>119</v>
      </c>
      <c r="AD1985" t="s">
        <v>113</v>
      </c>
      <c r="AE1985" t="s">
        <v>306</v>
      </c>
      <c r="AG1985" t="s">
        <v>121</v>
      </c>
    </row>
    <row r="1986" spans="1:33" x14ac:dyDescent="0.25">
      <c r="A1986" t="str">
        <f>"1326090572"</f>
        <v>1326090572</v>
      </c>
      <c r="B1986" t="str">
        <f>"02651985"</f>
        <v>02651985</v>
      </c>
      <c r="C1986" t="s">
        <v>11503</v>
      </c>
      <c r="D1986" t="s">
        <v>11504</v>
      </c>
      <c r="E1986" t="s">
        <v>11505</v>
      </c>
      <c r="G1986" t="s">
        <v>11506</v>
      </c>
      <c r="H1986" t="s">
        <v>11507</v>
      </c>
      <c r="J1986" t="s">
        <v>11508</v>
      </c>
      <c r="L1986" t="s">
        <v>112</v>
      </c>
      <c r="M1986" t="s">
        <v>113</v>
      </c>
      <c r="R1986" t="s">
        <v>11509</v>
      </c>
      <c r="W1986" t="s">
        <v>11505</v>
      </c>
      <c r="X1986" t="s">
        <v>838</v>
      </c>
      <c r="Y1986" t="s">
        <v>240</v>
      </c>
      <c r="Z1986" t="s">
        <v>117</v>
      </c>
      <c r="AA1986" t="str">
        <f>"14221-3647"</f>
        <v>14221-3647</v>
      </c>
      <c r="AB1986" t="s">
        <v>528</v>
      </c>
      <c r="AC1986" t="s">
        <v>119</v>
      </c>
      <c r="AD1986" t="s">
        <v>113</v>
      </c>
      <c r="AE1986" t="s">
        <v>120</v>
      </c>
      <c r="AG1986" t="s">
        <v>121</v>
      </c>
    </row>
    <row r="1987" spans="1:33" x14ac:dyDescent="0.25">
      <c r="A1987" t="str">
        <f>"1326095522"</f>
        <v>1326095522</v>
      </c>
      <c r="B1987" t="str">
        <f>"02775560"</f>
        <v>02775560</v>
      </c>
      <c r="C1987" t="s">
        <v>11510</v>
      </c>
      <c r="D1987" t="s">
        <v>11511</v>
      </c>
      <c r="E1987" t="s">
        <v>11512</v>
      </c>
      <c r="G1987" t="s">
        <v>11513</v>
      </c>
      <c r="H1987" t="s">
        <v>1507</v>
      </c>
      <c r="J1987" t="s">
        <v>11514</v>
      </c>
      <c r="L1987" t="s">
        <v>112</v>
      </c>
      <c r="M1987" t="s">
        <v>113</v>
      </c>
      <c r="R1987" t="s">
        <v>11515</v>
      </c>
      <c r="W1987" t="s">
        <v>11512</v>
      </c>
      <c r="X1987" t="s">
        <v>11516</v>
      </c>
      <c r="Y1987" t="s">
        <v>377</v>
      </c>
      <c r="Z1987" t="s">
        <v>117</v>
      </c>
      <c r="AA1987" t="str">
        <f>"14217-1339"</f>
        <v>14217-1339</v>
      </c>
      <c r="AB1987" t="s">
        <v>118</v>
      </c>
      <c r="AC1987" t="s">
        <v>119</v>
      </c>
      <c r="AD1987" t="s">
        <v>113</v>
      </c>
      <c r="AE1987" t="s">
        <v>120</v>
      </c>
      <c r="AG1987" t="s">
        <v>121</v>
      </c>
    </row>
    <row r="1988" spans="1:33" x14ac:dyDescent="0.25">
      <c r="A1988" t="str">
        <f>"1326098112"</f>
        <v>1326098112</v>
      </c>
      <c r="B1988" t="str">
        <f>"01036502"</f>
        <v>01036502</v>
      </c>
      <c r="C1988" t="s">
        <v>11517</v>
      </c>
      <c r="D1988" t="s">
        <v>11518</v>
      </c>
      <c r="E1988" t="s">
        <v>11519</v>
      </c>
      <c r="G1988" t="s">
        <v>11517</v>
      </c>
      <c r="H1988" t="s">
        <v>205</v>
      </c>
      <c r="J1988" t="s">
        <v>11520</v>
      </c>
      <c r="L1988" t="s">
        <v>142</v>
      </c>
      <c r="M1988" t="s">
        <v>113</v>
      </c>
      <c r="R1988" t="s">
        <v>11521</v>
      </c>
      <c r="W1988" t="s">
        <v>11519</v>
      </c>
      <c r="X1988" t="s">
        <v>11522</v>
      </c>
      <c r="Y1988" t="s">
        <v>116</v>
      </c>
      <c r="Z1988" t="s">
        <v>117</v>
      </c>
      <c r="AA1988" t="str">
        <f>"14209-1194"</f>
        <v>14209-1194</v>
      </c>
      <c r="AB1988" t="s">
        <v>118</v>
      </c>
      <c r="AC1988" t="s">
        <v>119</v>
      </c>
      <c r="AD1988" t="s">
        <v>113</v>
      </c>
      <c r="AE1988" t="s">
        <v>120</v>
      </c>
      <c r="AG1988" t="s">
        <v>121</v>
      </c>
    </row>
    <row r="1989" spans="1:33" x14ac:dyDescent="0.25">
      <c r="A1989" t="str">
        <f>"1326107970"</f>
        <v>1326107970</v>
      </c>
      <c r="C1989" t="s">
        <v>11523</v>
      </c>
      <c r="G1989" t="s">
        <v>11523</v>
      </c>
      <c r="H1989" t="s">
        <v>937</v>
      </c>
      <c r="J1989" t="s">
        <v>11524</v>
      </c>
      <c r="K1989" t="s">
        <v>303</v>
      </c>
      <c r="L1989" t="s">
        <v>229</v>
      </c>
      <c r="M1989" t="s">
        <v>113</v>
      </c>
      <c r="R1989" t="s">
        <v>11525</v>
      </c>
      <c r="S1989" t="s">
        <v>3739</v>
      </c>
      <c r="T1989" t="s">
        <v>240</v>
      </c>
      <c r="U1989" t="s">
        <v>117</v>
      </c>
      <c r="V1989" t="str">
        <f>"142216728"</f>
        <v>142216728</v>
      </c>
      <c r="AC1989" t="s">
        <v>119</v>
      </c>
      <c r="AD1989" t="s">
        <v>113</v>
      </c>
      <c r="AE1989" t="s">
        <v>306</v>
      </c>
      <c r="AG1989" t="s">
        <v>121</v>
      </c>
    </row>
    <row r="1990" spans="1:33" x14ac:dyDescent="0.25">
      <c r="A1990" t="str">
        <f>"1659365765"</f>
        <v>1659365765</v>
      </c>
      <c r="B1990" t="str">
        <f>"02955388"</f>
        <v>02955388</v>
      </c>
      <c r="C1990" t="s">
        <v>11526</v>
      </c>
      <c r="D1990" t="s">
        <v>11527</v>
      </c>
      <c r="E1990" t="s">
        <v>11528</v>
      </c>
      <c r="G1990" t="s">
        <v>11526</v>
      </c>
      <c r="H1990" t="s">
        <v>227</v>
      </c>
      <c r="J1990" t="s">
        <v>11529</v>
      </c>
      <c r="L1990" t="s">
        <v>142</v>
      </c>
      <c r="M1990" t="s">
        <v>113</v>
      </c>
      <c r="R1990" t="s">
        <v>11530</v>
      </c>
      <c r="W1990" t="s">
        <v>11528</v>
      </c>
      <c r="X1990" t="s">
        <v>11531</v>
      </c>
      <c r="Y1990" t="s">
        <v>11532</v>
      </c>
      <c r="Z1990" t="s">
        <v>117</v>
      </c>
      <c r="AA1990" t="str">
        <f>"12983-5644"</f>
        <v>12983-5644</v>
      </c>
      <c r="AB1990" t="s">
        <v>118</v>
      </c>
      <c r="AC1990" t="s">
        <v>119</v>
      </c>
      <c r="AD1990" t="s">
        <v>113</v>
      </c>
      <c r="AE1990" t="s">
        <v>120</v>
      </c>
      <c r="AG1990" t="s">
        <v>121</v>
      </c>
    </row>
    <row r="1991" spans="1:33" x14ac:dyDescent="0.25">
      <c r="A1991" t="str">
        <f>"1689639643"</f>
        <v>1689639643</v>
      </c>
      <c r="B1991" t="str">
        <f>"00668933"</f>
        <v>00668933</v>
      </c>
      <c r="C1991" t="s">
        <v>11533</v>
      </c>
      <c r="D1991" t="s">
        <v>11534</v>
      </c>
      <c r="E1991" t="s">
        <v>11535</v>
      </c>
      <c r="G1991" t="s">
        <v>11536</v>
      </c>
      <c r="H1991" t="s">
        <v>11537</v>
      </c>
      <c r="J1991" t="s">
        <v>11538</v>
      </c>
      <c r="L1991" t="s">
        <v>112</v>
      </c>
      <c r="M1991" t="s">
        <v>113</v>
      </c>
      <c r="R1991" t="s">
        <v>11539</v>
      </c>
      <c r="W1991" t="s">
        <v>11535</v>
      </c>
      <c r="X1991" t="s">
        <v>176</v>
      </c>
      <c r="Y1991" t="s">
        <v>116</v>
      </c>
      <c r="Z1991" t="s">
        <v>117</v>
      </c>
      <c r="AA1991" t="str">
        <f>"14203-1126"</f>
        <v>14203-1126</v>
      </c>
      <c r="AB1991" t="s">
        <v>118</v>
      </c>
      <c r="AC1991" t="s">
        <v>119</v>
      </c>
      <c r="AD1991" t="s">
        <v>113</v>
      </c>
      <c r="AE1991" t="s">
        <v>120</v>
      </c>
      <c r="AG1991" t="s">
        <v>121</v>
      </c>
    </row>
    <row r="1992" spans="1:33" x14ac:dyDescent="0.25">
      <c r="A1992" t="str">
        <f>"1689646739"</f>
        <v>1689646739</v>
      </c>
      <c r="B1992" t="str">
        <f>"02461365"</f>
        <v>02461365</v>
      </c>
      <c r="C1992" t="s">
        <v>11540</v>
      </c>
      <c r="D1992" t="s">
        <v>11541</v>
      </c>
      <c r="E1992" t="s">
        <v>11542</v>
      </c>
      <c r="G1992" t="s">
        <v>11540</v>
      </c>
      <c r="H1992" t="s">
        <v>11543</v>
      </c>
      <c r="J1992" t="s">
        <v>11544</v>
      </c>
      <c r="L1992" t="s">
        <v>112</v>
      </c>
      <c r="M1992" t="s">
        <v>113</v>
      </c>
      <c r="R1992" t="s">
        <v>11545</v>
      </c>
      <c r="W1992" t="s">
        <v>11542</v>
      </c>
      <c r="X1992" t="s">
        <v>136</v>
      </c>
      <c r="Y1992" t="s">
        <v>116</v>
      </c>
      <c r="Z1992" t="s">
        <v>117</v>
      </c>
      <c r="AA1992" t="str">
        <f>"14209-1120"</f>
        <v>14209-1120</v>
      </c>
      <c r="AB1992" t="s">
        <v>118</v>
      </c>
      <c r="AC1992" t="s">
        <v>119</v>
      </c>
      <c r="AD1992" t="s">
        <v>113</v>
      </c>
      <c r="AE1992" t="s">
        <v>120</v>
      </c>
      <c r="AG1992" t="s">
        <v>121</v>
      </c>
    </row>
    <row r="1993" spans="1:33" x14ac:dyDescent="0.25">
      <c r="A1993" t="str">
        <f>"1295722460"</f>
        <v>1295722460</v>
      </c>
      <c r="B1993" t="str">
        <f>"00475232"</f>
        <v>00475232</v>
      </c>
      <c r="C1993" t="s">
        <v>24820</v>
      </c>
      <c r="D1993" t="s">
        <v>24821</v>
      </c>
      <c r="E1993" t="s">
        <v>24822</v>
      </c>
      <c r="G1993" t="s">
        <v>24717</v>
      </c>
      <c r="H1993" t="s">
        <v>24718</v>
      </c>
      <c r="J1993" t="s">
        <v>24719</v>
      </c>
      <c r="L1993" t="s">
        <v>280</v>
      </c>
      <c r="M1993" t="s">
        <v>199</v>
      </c>
      <c r="R1993" t="s">
        <v>24823</v>
      </c>
      <c r="W1993" t="s">
        <v>24822</v>
      </c>
      <c r="X1993" t="s">
        <v>11206</v>
      </c>
      <c r="Y1993" t="s">
        <v>318</v>
      </c>
      <c r="Z1993" t="s">
        <v>117</v>
      </c>
      <c r="AA1993" t="str">
        <f>"14227-2234"</f>
        <v>14227-2234</v>
      </c>
      <c r="AB1993" t="s">
        <v>282</v>
      </c>
      <c r="AC1993" t="s">
        <v>119</v>
      </c>
      <c r="AD1993" t="s">
        <v>113</v>
      </c>
      <c r="AE1993" t="s">
        <v>120</v>
      </c>
      <c r="AG1993" t="s">
        <v>121</v>
      </c>
    </row>
    <row r="1994" spans="1:33" x14ac:dyDescent="0.25">
      <c r="A1994" t="str">
        <f>"1689658312"</f>
        <v>1689658312</v>
      </c>
      <c r="B1994" t="str">
        <f>"02560901"</f>
        <v>02560901</v>
      </c>
      <c r="C1994" t="s">
        <v>11549</v>
      </c>
      <c r="D1994" t="s">
        <v>11550</v>
      </c>
      <c r="E1994" t="s">
        <v>11551</v>
      </c>
      <c r="G1994" t="s">
        <v>11549</v>
      </c>
      <c r="H1994" t="s">
        <v>1013</v>
      </c>
      <c r="J1994" t="s">
        <v>11552</v>
      </c>
      <c r="L1994" t="s">
        <v>142</v>
      </c>
      <c r="M1994" t="s">
        <v>113</v>
      </c>
      <c r="R1994" t="s">
        <v>11553</v>
      </c>
      <c r="W1994" t="s">
        <v>11551</v>
      </c>
      <c r="X1994" t="s">
        <v>784</v>
      </c>
      <c r="Y1994" t="s">
        <v>116</v>
      </c>
      <c r="Z1994" t="s">
        <v>117</v>
      </c>
      <c r="AA1994" t="str">
        <f>"14209-1194"</f>
        <v>14209-1194</v>
      </c>
      <c r="AB1994" t="s">
        <v>118</v>
      </c>
      <c r="AC1994" t="s">
        <v>119</v>
      </c>
      <c r="AD1994" t="s">
        <v>113</v>
      </c>
      <c r="AE1994" t="s">
        <v>120</v>
      </c>
      <c r="AG1994" t="s">
        <v>121</v>
      </c>
    </row>
    <row r="1995" spans="1:33" x14ac:dyDescent="0.25">
      <c r="A1995" t="str">
        <f>"1689660508"</f>
        <v>1689660508</v>
      </c>
      <c r="B1995" t="str">
        <f>"01374607"</f>
        <v>01374607</v>
      </c>
      <c r="C1995" t="s">
        <v>11554</v>
      </c>
      <c r="D1995" t="s">
        <v>11555</v>
      </c>
      <c r="E1995" t="s">
        <v>11556</v>
      </c>
      <c r="G1995" t="s">
        <v>11554</v>
      </c>
      <c r="H1995" t="s">
        <v>10022</v>
      </c>
      <c r="J1995" t="s">
        <v>11557</v>
      </c>
      <c r="L1995" t="s">
        <v>112</v>
      </c>
      <c r="M1995" t="s">
        <v>113</v>
      </c>
      <c r="R1995" t="s">
        <v>11558</v>
      </c>
      <c r="W1995" t="s">
        <v>11556</v>
      </c>
      <c r="X1995" t="s">
        <v>11559</v>
      </c>
      <c r="Y1995" t="s">
        <v>240</v>
      </c>
      <c r="Z1995" t="s">
        <v>117</v>
      </c>
      <c r="AA1995" t="str">
        <f>"14221-5411"</f>
        <v>14221-5411</v>
      </c>
      <c r="AB1995" t="s">
        <v>118</v>
      </c>
      <c r="AC1995" t="s">
        <v>119</v>
      </c>
      <c r="AD1995" t="s">
        <v>113</v>
      </c>
      <c r="AE1995" t="s">
        <v>120</v>
      </c>
      <c r="AG1995" t="s">
        <v>121</v>
      </c>
    </row>
    <row r="1996" spans="1:33" x14ac:dyDescent="0.25">
      <c r="A1996" t="str">
        <f>"1689669541"</f>
        <v>1689669541</v>
      </c>
      <c r="B1996" t="str">
        <f>"03012159"</f>
        <v>03012159</v>
      </c>
      <c r="C1996" t="s">
        <v>11560</v>
      </c>
      <c r="D1996" t="s">
        <v>11561</v>
      </c>
      <c r="E1996" t="s">
        <v>11562</v>
      </c>
      <c r="G1996" t="s">
        <v>11563</v>
      </c>
      <c r="H1996" t="s">
        <v>4594</v>
      </c>
      <c r="J1996" t="s">
        <v>4595</v>
      </c>
      <c r="L1996" t="s">
        <v>69</v>
      </c>
      <c r="M1996" t="s">
        <v>113</v>
      </c>
      <c r="R1996" t="s">
        <v>11560</v>
      </c>
      <c r="W1996" t="s">
        <v>11560</v>
      </c>
      <c r="X1996" t="s">
        <v>518</v>
      </c>
      <c r="Y1996" t="s">
        <v>305</v>
      </c>
      <c r="Z1996" t="s">
        <v>117</v>
      </c>
      <c r="AA1996" t="str">
        <f>"14760-1500"</f>
        <v>14760-1500</v>
      </c>
      <c r="AB1996" t="s">
        <v>4180</v>
      </c>
      <c r="AC1996" t="s">
        <v>119</v>
      </c>
      <c r="AD1996" t="s">
        <v>113</v>
      </c>
      <c r="AE1996" t="s">
        <v>120</v>
      </c>
      <c r="AG1996" t="s">
        <v>121</v>
      </c>
    </row>
    <row r="1997" spans="1:33" x14ac:dyDescent="0.25">
      <c r="A1997" t="str">
        <f>"1689670614"</f>
        <v>1689670614</v>
      </c>
      <c r="B1997" t="str">
        <f>"03293827"</f>
        <v>03293827</v>
      </c>
      <c r="C1997" t="s">
        <v>11564</v>
      </c>
      <c r="D1997" t="s">
        <v>11565</v>
      </c>
      <c r="E1997" t="s">
        <v>11566</v>
      </c>
      <c r="G1997" t="s">
        <v>11564</v>
      </c>
      <c r="H1997" t="s">
        <v>227</v>
      </c>
      <c r="J1997" t="s">
        <v>11567</v>
      </c>
      <c r="L1997" t="s">
        <v>142</v>
      </c>
      <c r="M1997" t="s">
        <v>113</v>
      </c>
      <c r="R1997" t="s">
        <v>11568</v>
      </c>
      <c r="W1997" t="s">
        <v>11566</v>
      </c>
      <c r="X1997" t="s">
        <v>9404</v>
      </c>
      <c r="Y1997" t="s">
        <v>9405</v>
      </c>
      <c r="Z1997" t="s">
        <v>117</v>
      </c>
      <c r="AA1997" t="str">
        <f>"12771-2253"</f>
        <v>12771-2253</v>
      </c>
      <c r="AB1997" t="s">
        <v>118</v>
      </c>
      <c r="AC1997" t="s">
        <v>119</v>
      </c>
      <c r="AD1997" t="s">
        <v>113</v>
      </c>
      <c r="AE1997" t="s">
        <v>120</v>
      </c>
      <c r="AG1997" t="s">
        <v>121</v>
      </c>
    </row>
    <row r="1998" spans="1:33" x14ac:dyDescent="0.25">
      <c r="A1998" t="str">
        <f>"1689672891"</f>
        <v>1689672891</v>
      </c>
      <c r="B1998" t="str">
        <f>"02346990"</f>
        <v>02346990</v>
      </c>
      <c r="C1998" t="s">
        <v>11569</v>
      </c>
      <c r="D1998" t="s">
        <v>11570</v>
      </c>
      <c r="E1998" t="s">
        <v>11571</v>
      </c>
      <c r="G1998" t="s">
        <v>11569</v>
      </c>
      <c r="H1998" t="s">
        <v>1204</v>
      </c>
      <c r="J1998" t="s">
        <v>11572</v>
      </c>
      <c r="L1998" t="s">
        <v>142</v>
      </c>
      <c r="M1998" t="s">
        <v>113</v>
      </c>
      <c r="R1998" t="s">
        <v>11573</v>
      </c>
      <c r="W1998" t="s">
        <v>11571</v>
      </c>
      <c r="X1998" t="s">
        <v>511</v>
      </c>
      <c r="Y1998" t="s">
        <v>512</v>
      </c>
      <c r="Z1998" t="s">
        <v>117</v>
      </c>
      <c r="AA1998" t="str">
        <f>"14092-1903"</f>
        <v>14092-1903</v>
      </c>
      <c r="AB1998" t="s">
        <v>118</v>
      </c>
      <c r="AC1998" t="s">
        <v>119</v>
      </c>
      <c r="AD1998" t="s">
        <v>113</v>
      </c>
      <c r="AE1998" t="s">
        <v>120</v>
      </c>
      <c r="AG1998" t="s">
        <v>121</v>
      </c>
    </row>
    <row r="1999" spans="1:33" x14ac:dyDescent="0.25">
      <c r="A1999" t="str">
        <f>"1689677726"</f>
        <v>1689677726</v>
      </c>
      <c r="B1999" t="str">
        <f>"03082753"</f>
        <v>03082753</v>
      </c>
      <c r="C1999" t="s">
        <v>11574</v>
      </c>
      <c r="D1999" t="s">
        <v>11575</v>
      </c>
      <c r="E1999" t="s">
        <v>11576</v>
      </c>
      <c r="G1999" t="s">
        <v>4593</v>
      </c>
      <c r="H1999" t="s">
        <v>4594</v>
      </c>
      <c r="J1999" t="s">
        <v>4595</v>
      </c>
      <c r="L1999" t="s">
        <v>142</v>
      </c>
      <c r="M1999" t="s">
        <v>113</v>
      </c>
      <c r="R1999" t="s">
        <v>11577</v>
      </c>
      <c r="W1999" t="s">
        <v>11578</v>
      </c>
      <c r="X1999" t="s">
        <v>518</v>
      </c>
      <c r="Y1999" t="s">
        <v>305</v>
      </c>
      <c r="Z1999" t="s">
        <v>117</v>
      </c>
      <c r="AA1999" t="str">
        <f>"14760-1500"</f>
        <v>14760-1500</v>
      </c>
      <c r="AB1999" t="s">
        <v>118</v>
      </c>
      <c r="AC1999" t="s">
        <v>119</v>
      </c>
      <c r="AD1999" t="s">
        <v>113</v>
      </c>
      <c r="AE1999" t="s">
        <v>120</v>
      </c>
      <c r="AG1999" t="s">
        <v>121</v>
      </c>
    </row>
    <row r="2000" spans="1:33" x14ac:dyDescent="0.25">
      <c r="A2000" t="str">
        <f>"1699715904"</f>
        <v>1699715904</v>
      </c>
      <c r="B2000" t="str">
        <f>"03001778"</f>
        <v>03001778</v>
      </c>
      <c r="C2000" t="s">
        <v>1516</v>
      </c>
      <c r="D2000" t="s">
        <v>1517</v>
      </c>
      <c r="E2000" t="s">
        <v>1518</v>
      </c>
      <c r="H2000" t="s">
        <v>1519</v>
      </c>
      <c r="L2000" t="s">
        <v>1520</v>
      </c>
      <c r="M2000" t="s">
        <v>199</v>
      </c>
      <c r="R2000" t="s">
        <v>1516</v>
      </c>
      <c r="W2000" t="s">
        <v>1518</v>
      </c>
      <c r="X2000" t="s">
        <v>1521</v>
      </c>
      <c r="Y2000" t="s">
        <v>305</v>
      </c>
      <c r="Z2000" t="s">
        <v>117</v>
      </c>
      <c r="AA2000" t="str">
        <f>"14760-1513"</f>
        <v>14760-1513</v>
      </c>
      <c r="AB2000" t="s">
        <v>979</v>
      </c>
      <c r="AC2000" t="s">
        <v>119</v>
      </c>
      <c r="AD2000" t="s">
        <v>113</v>
      </c>
      <c r="AE2000" t="s">
        <v>120</v>
      </c>
      <c r="AG2000" t="s">
        <v>121</v>
      </c>
    </row>
    <row r="2001" spans="1:33" x14ac:dyDescent="0.25">
      <c r="A2001" t="str">
        <f>"1740333681"</f>
        <v>1740333681</v>
      </c>
      <c r="B2001" t="str">
        <f>"03001796"</f>
        <v>03001796</v>
      </c>
      <c r="C2001" t="s">
        <v>1516</v>
      </c>
      <c r="D2001" t="s">
        <v>1517</v>
      </c>
      <c r="E2001" t="s">
        <v>1518</v>
      </c>
      <c r="H2001" t="s">
        <v>6811</v>
      </c>
      <c r="L2001" t="s">
        <v>1520</v>
      </c>
      <c r="M2001" t="s">
        <v>199</v>
      </c>
      <c r="R2001" t="s">
        <v>1516</v>
      </c>
      <c r="W2001" t="s">
        <v>1518</v>
      </c>
      <c r="X2001" t="s">
        <v>1098</v>
      </c>
      <c r="Y2001" t="s">
        <v>305</v>
      </c>
      <c r="Z2001" t="s">
        <v>117</v>
      </c>
      <c r="AA2001" t="str">
        <f>"14760-1513"</f>
        <v>14760-1513</v>
      </c>
      <c r="AB2001" t="s">
        <v>979</v>
      </c>
      <c r="AC2001" t="s">
        <v>119</v>
      </c>
      <c r="AD2001" t="s">
        <v>113</v>
      </c>
      <c r="AE2001" t="s">
        <v>120</v>
      </c>
      <c r="AG2001" t="s">
        <v>121</v>
      </c>
    </row>
    <row r="2002" spans="1:33" x14ac:dyDescent="0.25">
      <c r="A2002" t="str">
        <f>"1689745465"</f>
        <v>1689745465</v>
      </c>
      <c r="B2002" t="str">
        <f>"00615898"</f>
        <v>00615898</v>
      </c>
      <c r="C2002" t="s">
        <v>11582</v>
      </c>
      <c r="D2002" t="s">
        <v>11583</v>
      </c>
      <c r="E2002" t="s">
        <v>11584</v>
      </c>
      <c r="G2002" t="s">
        <v>11582</v>
      </c>
      <c r="H2002" t="s">
        <v>667</v>
      </c>
      <c r="J2002" t="s">
        <v>11585</v>
      </c>
      <c r="L2002" t="s">
        <v>142</v>
      </c>
      <c r="M2002" t="s">
        <v>113</v>
      </c>
      <c r="R2002" t="s">
        <v>11586</v>
      </c>
      <c r="W2002" t="s">
        <v>11584</v>
      </c>
      <c r="X2002" t="s">
        <v>1845</v>
      </c>
      <c r="Y2002" t="s">
        <v>889</v>
      </c>
      <c r="Z2002" t="s">
        <v>117</v>
      </c>
      <c r="AA2002" t="str">
        <f>"14120-6150"</f>
        <v>14120-6150</v>
      </c>
      <c r="AB2002" t="s">
        <v>118</v>
      </c>
      <c r="AC2002" t="s">
        <v>119</v>
      </c>
      <c r="AD2002" t="s">
        <v>113</v>
      </c>
      <c r="AE2002" t="s">
        <v>120</v>
      </c>
      <c r="AG2002" t="s">
        <v>121</v>
      </c>
    </row>
    <row r="2003" spans="1:33" x14ac:dyDescent="0.25">
      <c r="A2003" t="str">
        <f>"1689754400"</f>
        <v>1689754400</v>
      </c>
      <c r="C2003" t="s">
        <v>11587</v>
      </c>
      <c r="G2003" t="s">
        <v>11588</v>
      </c>
      <c r="H2003" t="s">
        <v>1115</v>
      </c>
      <c r="J2003" t="s">
        <v>11589</v>
      </c>
      <c r="K2003" t="s">
        <v>303</v>
      </c>
      <c r="L2003" t="s">
        <v>112</v>
      </c>
      <c r="M2003" t="s">
        <v>113</v>
      </c>
      <c r="R2003" t="s">
        <v>11590</v>
      </c>
      <c r="S2003" t="s">
        <v>2800</v>
      </c>
      <c r="T2003" t="s">
        <v>318</v>
      </c>
      <c r="U2003" t="s">
        <v>117</v>
      </c>
      <c r="V2003" t="str">
        <f>"142254985"</f>
        <v>142254985</v>
      </c>
      <c r="AC2003" t="s">
        <v>119</v>
      </c>
      <c r="AD2003" t="s">
        <v>113</v>
      </c>
      <c r="AE2003" t="s">
        <v>306</v>
      </c>
      <c r="AG2003" t="s">
        <v>121</v>
      </c>
    </row>
    <row r="2004" spans="1:33" x14ac:dyDescent="0.25">
      <c r="A2004" t="str">
        <f>"1689775462"</f>
        <v>1689775462</v>
      </c>
      <c r="C2004" t="s">
        <v>7433</v>
      </c>
      <c r="G2004" t="s">
        <v>1077</v>
      </c>
      <c r="H2004" t="s">
        <v>1078</v>
      </c>
      <c r="J2004" t="s">
        <v>1079</v>
      </c>
      <c r="K2004" t="s">
        <v>303</v>
      </c>
      <c r="L2004" t="s">
        <v>229</v>
      </c>
      <c r="M2004" t="s">
        <v>113</v>
      </c>
      <c r="R2004" t="s">
        <v>7433</v>
      </c>
      <c r="S2004" t="s">
        <v>709</v>
      </c>
      <c r="T2004" t="s">
        <v>116</v>
      </c>
      <c r="U2004" t="s">
        <v>117</v>
      </c>
      <c r="V2004" t="str">
        <f>"142630001"</f>
        <v>142630001</v>
      </c>
      <c r="AC2004" t="s">
        <v>119</v>
      </c>
      <c r="AD2004" t="s">
        <v>113</v>
      </c>
      <c r="AE2004" t="s">
        <v>306</v>
      </c>
      <c r="AG2004" t="s">
        <v>121</v>
      </c>
    </row>
    <row r="2005" spans="1:33" x14ac:dyDescent="0.25">
      <c r="A2005" t="str">
        <f>"1689776668"</f>
        <v>1689776668</v>
      </c>
      <c r="B2005" t="str">
        <f>"01448200"</f>
        <v>01448200</v>
      </c>
      <c r="C2005" t="s">
        <v>11591</v>
      </c>
      <c r="D2005" t="s">
        <v>11592</v>
      </c>
      <c r="E2005" t="s">
        <v>11593</v>
      </c>
      <c r="G2005" t="s">
        <v>11591</v>
      </c>
      <c r="H2005" t="s">
        <v>11594</v>
      </c>
      <c r="J2005" t="s">
        <v>11595</v>
      </c>
      <c r="L2005" t="s">
        <v>112</v>
      </c>
      <c r="M2005" t="s">
        <v>113</v>
      </c>
      <c r="R2005" t="s">
        <v>11596</v>
      </c>
      <c r="W2005" t="s">
        <v>11593</v>
      </c>
      <c r="X2005" t="s">
        <v>11597</v>
      </c>
      <c r="Y2005" t="s">
        <v>116</v>
      </c>
      <c r="Z2005" t="s">
        <v>117</v>
      </c>
      <c r="AA2005" t="str">
        <f>"14223-2861"</f>
        <v>14223-2861</v>
      </c>
      <c r="AB2005" t="s">
        <v>118</v>
      </c>
      <c r="AC2005" t="s">
        <v>119</v>
      </c>
      <c r="AD2005" t="s">
        <v>113</v>
      </c>
      <c r="AE2005" t="s">
        <v>120</v>
      </c>
      <c r="AG2005" t="s">
        <v>121</v>
      </c>
    </row>
    <row r="2006" spans="1:33" x14ac:dyDescent="0.25">
      <c r="A2006" t="str">
        <f>"1689808776"</f>
        <v>1689808776</v>
      </c>
      <c r="B2006" t="str">
        <f>"03603610"</f>
        <v>03603610</v>
      </c>
      <c r="C2006" t="s">
        <v>11598</v>
      </c>
      <c r="D2006" t="s">
        <v>11599</v>
      </c>
      <c r="E2006" t="s">
        <v>11600</v>
      </c>
      <c r="G2006" t="s">
        <v>11601</v>
      </c>
      <c r="H2006" t="s">
        <v>11403</v>
      </c>
      <c r="J2006" t="s">
        <v>11602</v>
      </c>
      <c r="L2006" t="s">
        <v>142</v>
      </c>
      <c r="M2006" t="s">
        <v>113</v>
      </c>
      <c r="R2006" t="s">
        <v>11603</v>
      </c>
      <c r="W2006" t="s">
        <v>11600</v>
      </c>
      <c r="X2006" t="s">
        <v>176</v>
      </c>
      <c r="Y2006" t="s">
        <v>116</v>
      </c>
      <c r="Z2006" t="s">
        <v>117</v>
      </c>
      <c r="AA2006" t="str">
        <f>"14203-1126"</f>
        <v>14203-1126</v>
      </c>
      <c r="AB2006" t="s">
        <v>118</v>
      </c>
      <c r="AC2006" t="s">
        <v>119</v>
      </c>
      <c r="AD2006" t="s">
        <v>113</v>
      </c>
      <c r="AE2006" t="s">
        <v>120</v>
      </c>
      <c r="AG2006" t="s">
        <v>121</v>
      </c>
    </row>
    <row r="2007" spans="1:33" x14ac:dyDescent="0.25">
      <c r="A2007" t="str">
        <f>"1689812075"</f>
        <v>1689812075</v>
      </c>
      <c r="B2007" t="str">
        <f>"03348565"</f>
        <v>03348565</v>
      </c>
      <c r="C2007" t="s">
        <v>11604</v>
      </c>
      <c r="D2007" t="s">
        <v>11605</v>
      </c>
      <c r="E2007" t="s">
        <v>11606</v>
      </c>
      <c r="G2007" t="s">
        <v>11607</v>
      </c>
      <c r="H2007" t="s">
        <v>11608</v>
      </c>
      <c r="J2007" t="s">
        <v>11609</v>
      </c>
      <c r="L2007" t="s">
        <v>112</v>
      </c>
      <c r="M2007" t="s">
        <v>113</v>
      </c>
      <c r="R2007" t="s">
        <v>11610</v>
      </c>
      <c r="W2007" t="s">
        <v>11606</v>
      </c>
      <c r="X2007" t="s">
        <v>136</v>
      </c>
      <c r="Y2007" t="s">
        <v>116</v>
      </c>
      <c r="Z2007" t="s">
        <v>117</v>
      </c>
      <c r="AA2007" t="str">
        <f>"14209-1120"</f>
        <v>14209-1120</v>
      </c>
      <c r="AB2007" t="s">
        <v>118</v>
      </c>
      <c r="AC2007" t="s">
        <v>119</v>
      </c>
      <c r="AD2007" t="s">
        <v>113</v>
      </c>
      <c r="AE2007" t="s">
        <v>120</v>
      </c>
      <c r="AG2007" t="s">
        <v>121</v>
      </c>
    </row>
    <row r="2008" spans="1:33" x14ac:dyDescent="0.25">
      <c r="A2008" t="str">
        <f>"1326209032"</f>
        <v>1326209032</v>
      </c>
      <c r="B2008" t="str">
        <f>"03674426"</f>
        <v>03674426</v>
      </c>
      <c r="C2008" t="s">
        <v>11611</v>
      </c>
      <c r="D2008" t="s">
        <v>11612</v>
      </c>
      <c r="E2008" t="s">
        <v>11613</v>
      </c>
      <c r="G2008" t="s">
        <v>11611</v>
      </c>
      <c r="J2008" t="s">
        <v>11614</v>
      </c>
      <c r="L2008" t="s">
        <v>1033</v>
      </c>
      <c r="M2008" t="s">
        <v>113</v>
      </c>
      <c r="R2008" t="s">
        <v>11615</v>
      </c>
      <c r="W2008" t="s">
        <v>11613</v>
      </c>
      <c r="X2008" t="s">
        <v>216</v>
      </c>
      <c r="Y2008" t="s">
        <v>116</v>
      </c>
      <c r="Z2008" t="s">
        <v>117</v>
      </c>
      <c r="AA2008" t="str">
        <f>"14222-2006"</f>
        <v>14222-2006</v>
      </c>
      <c r="AB2008" t="s">
        <v>118</v>
      </c>
      <c r="AC2008" t="s">
        <v>119</v>
      </c>
      <c r="AD2008" t="s">
        <v>113</v>
      </c>
      <c r="AE2008" t="s">
        <v>120</v>
      </c>
      <c r="AG2008" t="s">
        <v>121</v>
      </c>
    </row>
    <row r="2009" spans="1:33" x14ac:dyDescent="0.25">
      <c r="A2009" t="str">
        <f>"1326237280"</f>
        <v>1326237280</v>
      </c>
      <c r="C2009" t="s">
        <v>11616</v>
      </c>
      <c r="G2009" t="s">
        <v>11616</v>
      </c>
      <c r="H2009" t="s">
        <v>3942</v>
      </c>
      <c r="J2009" t="s">
        <v>11617</v>
      </c>
      <c r="K2009" t="s">
        <v>303</v>
      </c>
      <c r="L2009" t="s">
        <v>229</v>
      </c>
      <c r="M2009" t="s">
        <v>113</v>
      </c>
      <c r="R2009" t="s">
        <v>11618</v>
      </c>
      <c r="S2009" t="s">
        <v>7730</v>
      </c>
      <c r="T2009" t="s">
        <v>958</v>
      </c>
      <c r="U2009" t="s">
        <v>117</v>
      </c>
      <c r="V2009" t="str">
        <f>"142262500"</f>
        <v>142262500</v>
      </c>
      <c r="AC2009" t="s">
        <v>119</v>
      </c>
      <c r="AD2009" t="s">
        <v>113</v>
      </c>
      <c r="AE2009" t="s">
        <v>306</v>
      </c>
      <c r="AG2009" t="s">
        <v>121</v>
      </c>
    </row>
    <row r="2010" spans="1:33" x14ac:dyDescent="0.25">
      <c r="A2010" t="str">
        <f>"1326247594"</f>
        <v>1326247594</v>
      </c>
      <c r="B2010" t="str">
        <f>"03398161"</f>
        <v>03398161</v>
      </c>
      <c r="C2010" t="s">
        <v>11619</v>
      </c>
      <c r="D2010" t="s">
        <v>11620</v>
      </c>
      <c r="E2010" t="s">
        <v>11621</v>
      </c>
      <c r="G2010" t="s">
        <v>11622</v>
      </c>
      <c r="H2010" t="s">
        <v>1227</v>
      </c>
      <c r="J2010" t="s">
        <v>11623</v>
      </c>
      <c r="L2010" t="s">
        <v>142</v>
      </c>
      <c r="M2010" t="s">
        <v>113</v>
      </c>
      <c r="R2010" t="s">
        <v>11624</v>
      </c>
      <c r="W2010" t="s">
        <v>11621</v>
      </c>
      <c r="X2010" t="s">
        <v>8774</v>
      </c>
      <c r="Y2010" t="s">
        <v>958</v>
      </c>
      <c r="Z2010" t="s">
        <v>117</v>
      </c>
      <c r="AA2010" t="str">
        <f>"14226-1746"</f>
        <v>14226-1746</v>
      </c>
      <c r="AB2010" t="s">
        <v>118</v>
      </c>
      <c r="AC2010" t="s">
        <v>119</v>
      </c>
      <c r="AD2010" t="s">
        <v>113</v>
      </c>
      <c r="AE2010" t="s">
        <v>120</v>
      </c>
      <c r="AG2010" t="s">
        <v>121</v>
      </c>
    </row>
    <row r="2011" spans="1:33" x14ac:dyDescent="0.25">
      <c r="A2011" t="str">
        <f>"1326278714"</f>
        <v>1326278714</v>
      </c>
      <c r="B2011" t="str">
        <f>"03133626"</f>
        <v>03133626</v>
      </c>
      <c r="C2011" t="s">
        <v>11625</v>
      </c>
      <c r="D2011" t="s">
        <v>11626</v>
      </c>
      <c r="E2011" t="s">
        <v>11627</v>
      </c>
      <c r="G2011" t="s">
        <v>11625</v>
      </c>
      <c r="H2011" t="s">
        <v>2280</v>
      </c>
      <c r="J2011" t="s">
        <v>11628</v>
      </c>
      <c r="L2011" t="s">
        <v>142</v>
      </c>
      <c r="M2011" t="s">
        <v>113</v>
      </c>
      <c r="R2011" t="s">
        <v>11629</v>
      </c>
      <c r="W2011" t="s">
        <v>11627</v>
      </c>
      <c r="X2011" t="s">
        <v>216</v>
      </c>
      <c r="Y2011" t="s">
        <v>116</v>
      </c>
      <c r="Z2011" t="s">
        <v>117</v>
      </c>
      <c r="AA2011" t="str">
        <f>"14222-2006"</f>
        <v>14222-2006</v>
      </c>
      <c r="AB2011" t="s">
        <v>118</v>
      </c>
      <c r="AC2011" t="s">
        <v>119</v>
      </c>
      <c r="AD2011" t="s">
        <v>113</v>
      </c>
      <c r="AE2011" t="s">
        <v>120</v>
      </c>
      <c r="AG2011" t="s">
        <v>121</v>
      </c>
    </row>
    <row r="2012" spans="1:33" x14ac:dyDescent="0.25">
      <c r="A2012" t="str">
        <f>"1326279597"</f>
        <v>1326279597</v>
      </c>
      <c r="B2012" t="str">
        <f>"03249649"</f>
        <v>03249649</v>
      </c>
      <c r="C2012" t="s">
        <v>11630</v>
      </c>
      <c r="D2012" t="s">
        <v>11631</v>
      </c>
      <c r="E2012" t="s">
        <v>11632</v>
      </c>
      <c r="G2012" t="s">
        <v>11630</v>
      </c>
      <c r="H2012" t="s">
        <v>11633</v>
      </c>
      <c r="J2012" t="s">
        <v>11634</v>
      </c>
      <c r="L2012" t="s">
        <v>142</v>
      </c>
      <c r="M2012" t="s">
        <v>113</v>
      </c>
      <c r="R2012" t="s">
        <v>11635</v>
      </c>
      <c r="W2012" t="s">
        <v>11632</v>
      </c>
      <c r="X2012" t="s">
        <v>176</v>
      </c>
      <c r="Y2012" t="s">
        <v>116</v>
      </c>
      <c r="Z2012" t="s">
        <v>117</v>
      </c>
      <c r="AA2012" t="str">
        <f>"14203-1126"</f>
        <v>14203-1126</v>
      </c>
      <c r="AB2012" t="s">
        <v>118</v>
      </c>
      <c r="AC2012" t="s">
        <v>119</v>
      </c>
      <c r="AD2012" t="s">
        <v>113</v>
      </c>
      <c r="AE2012" t="s">
        <v>120</v>
      </c>
      <c r="AG2012" t="s">
        <v>121</v>
      </c>
    </row>
    <row r="2013" spans="1:33" x14ac:dyDescent="0.25">
      <c r="A2013" t="str">
        <f>"1326299249"</f>
        <v>1326299249</v>
      </c>
      <c r="B2013" t="str">
        <f>"03090773"</f>
        <v>03090773</v>
      </c>
      <c r="C2013" t="s">
        <v>11636</v>
      </c>
      <c r="D2013" t="s">
        <v>11637</v>
      </c>
      <c r="E2013" t="s">
        <v>11638</v>
      </c>
      <c r="G2013" t="s">
        <v>11639</v>
      </c>
      <c r="H2013" t="s">
        <v>3807</v>
      </c>
      <c r="J2013" t="s">
        <v>11640</v>
      </c>
      <c r="L2013" t="s">
        <v>142</v>
      </c>
      <c r="M2013" t="s">
        <v>199</v>
      </c>
      <c r="R2013" t="s">
        <v>11641</v>
      </c>
      <c r="W2013" t="s">
        <v>11638</v>
      </c>
      <c r="X2013" t="s">
        <v>216</v>
      </c>
      <c r="Y2013" t="s">
        <v>116</v>
      </c>
      <c r="Z2013" t="s">
        <v>117</v>
      </c>
      <c r="AA2013" t="str">
        <f>"14222-2777"</f>
        <v>14222-2777</v>
      </c>
      <c r="AB2013" t="s">
        <v>118</v>
      </c>
      <c r="AC2013" t="s">
        <v>119</v>
      </c>
      <c r="AD2013" t="s">
        <v>113</v>
      </c>
      <c r="AE2013" t="s">
        <v>120</v>
      </c>
      <c r="AG2013" t="s">
        <v>121</v>
      </c>
    </row>
    <row r="2014" spans="1:33" x14ac:dyDescent="0.25">
      <c r="A2014" t="str">
        <f>"1326312513"</f>
        <v>1326312513</v>
      </c>
      <c r="B2014" t="str">
        <f>"03508312"</f>
        <v>03508312</v>
      </c>
      <c r="C2014" t="s">
        <v>11642</v>
      </c>
      <c r="D2014" t="s">
        <v>11643</v>
      </c>
      <c r="E2014" t="s">
        <v>11644</v>
      </c>
      <c r="G2014" t="s">
        <v>11645</v>
      </c>
      <c r="H2014" t="s">
        <v>2179</v>
      </c>
      <c r="J2014" t="s">
        <v>11646</v>
      </c>
      <c r="L2014" t="s">
        <v>112</v>
      </c>
      <c r="M2014" t="s">
        <v>113</v>
      </c>
      <c r="R2014" t="s">
        <v>11647</v>
      </c>
      <c r="W2014" t="s">
        <v>11644</v>
      </c>
      <c r="X2014" t="s">
        <v>11128</v>
      </c>
      <c r="Y2014" t="s">
        <v>348</v>
      </c>
      <c r="Z2014" t="s">
        <v>117</v>
      </c>
      <c r="AA2014" t="str">
        <f>"14043-4698"</f>
        <v>14043-4698</v>
      </c>
      <c r="AB2014" t="s">
        <v>118</v>
      </c>
      <c r="AC2014" t="s">
        <v>119</v>
      </c>
      <c r="AD2014" t="s">
        <v>113</v>
      </c>
      <c r="AE2014" t="s">
        <v>120</v>
      </c>
      <c r="AG2014" t="s">
        <v>121</v>
      </c>
    </row>
    <row r="2015" spans="1:33" x14ac:dyDescent="0.25">
      <c r="A2015" t="str">
        <f>"1730352451"</f>
        <v>1730352451</v>
      </c>
      <c r="B2015" t="str">
        <f>"01341886"</f>
        <v>01341886</v>
      </c>
      <c r="C2015" t="s">
        <v>710</v>
      </c>
      <c r="D2015" t="s">
        <v>711</v>
      </c>
      <c r="E2015" t="s">
        <v>712</v>
      </c>
      <c r="F2015">
        <v>161291766</v>
      </c>
      <c r="H2015" t="s">
        <v>713</v>
      </c>
      <c r="L2015" t="s">
        <v>67</v>
      </c>
      <c r="M2015" t="s">
        <v>199</v>
      </c>
      <c r="R2015" t="s">
        <v>710</v>
      </c>
      <c r="W2015" t="s">
        <v>712</v>
      </c>
      <c r="X2015" t="s">
        <v>714</v>
      </c>
      <c r="Y2015" t="s">
        <v>305</v>
      </c>
      <c r="Z2015" t="s">
        <v>117</v>
      </c>
      <c r="AA2015" t="str">
        <f>"14760-1140"</f>
        <v>14760-1140</v>
      </c>
      <c r="AB2015" t="s">
        <v>291</v>
      </c>
      <c r="AC2015" t="s">
        <v>119</v>
      </c>
      <c r="AD2015" t="s">
        <v>113</v>
      </c>
      <c r="AE2015" t="s">
        <v>120</v>
      </c>
      <c r="AG2015" t="s">
        <v>121</v>
      </c>
    </row>
    <row r="2016" spans="1:33" x14ac:dyDescent="0.25">
      <c r="A2016" t="str">
        <f>"1235300864"</f>
        <v>1235300864</v>
      </c>
      <c r="B2016" t="str">
        <f>"01303488"</f>
        <v>01303488</v>
      </c>
      <c r="C2016" t="s">
        <v>710</v>
      </c>
      <c r="D2016" t="s">
        <v>18341</v>
      </c>
      <c r="E2016" t="s">
        <v>18342</v>
      </c>
      <c r="F2016">
        <v>161291766</v>
      </c>
      <c r="G2016" t="s">
        <v>18342</v>
      </c>
      <c r="H2016" t="s">
        <v>713</v>
      </c>
      <c r="L2016" t="s">
        <v>14</v>
      </c>
      <c r="M2016" t="s">
        <v>199</v>
      </c>
      <c r="R2016" t="s">
        <v>710</v>
      </c>
      <c r="W2016" t="s">
        <v>18342</v>
      </c>
      <c r="X2016" t="s">
        <v>18343</v>
      </c>
      <c r="Y2016" t="s">
        <v>305</v>
      </c>
      <c r="Z2016" t="s">
        <v>117</v>
      </c>
      <c r="AA2016" t="str">
        <f>"14760-2849"</f>
        <v>14760-2849</v>
      </c>
      <c r="AB2016" t="s">
        <v>291</v>
      </c>
      <c r="AC2016" t="s">
        <v>119</v>
      </c>
      <c r="AD2016" t="s">
        <v>113</v>
      </c>
      <c r="AE2016" t="s">
        <v>120</v>
      </c>
      <c r="AG2016" t="s">
        <v>121</v>
      </c>
    </row>
    <row r="2017" spans="1:33" x14ac:dyDescent="0.25">
      <c r="A2017" t="str">
        <f>"1811169527"</f>
        <v>1811169527</v>
      </c>
      <c r="B2017" t="str">
        <f>"03007669"</f>
        <v>03007669</v>
      </c>
      <c r="C2017" t="s">
        <v>21480</v>
      </c>
      <c r="D2017" t="s">
        <v>18341</v>
      </c>
      <c r="E2017" t="s">
        <v>18342</v>
      </c>
      <c r="F2017">
        <v>161291766</v>
      </c>
      <c r="G2017" t="s">
        <v>18342</v>
      </c>
      <c r="H2017" t="s">
        <v>713</v>
      </c>
      <c r="L2017" t="s">
        <v>14</v>
      </c>
      <c r="M2017" t="s">
        <v>199</v>
      </c>
      <c r="R2017" t="s">
        <v>21480</v>
      </c>
      <c r="W2017" t="s">
        <v>18342</v>
      </c>
      <c r="X2017" t="s">
        <v>18343</v>
      </c>
      <c r="Y2017" t="s">
        <v>305</v>
      </c>
      <c r="Z2017" t="s">
        <v>117</v>
      </c>
      <c r="AA2017" t="str">
        <f>"14760-2849"</f>
        <v>14760-2849</v>
      </c>
      <c r="AB2017" t="s">
        <v>291</v>
      </c>
      <c r="AC2017" t="s">
        <v>119</v>
      </c>
      <c r="AD2017" t="s">
        <v>113</v>
      </c>
      <c r="AE2017" t="s">
        <v>120</v>
      </c>
      <c r="AG2017" t="s">
        <v>121</v>
      </c>
    </row>
    <row r="2018" spans="1:33" x14ac:dyDescent="0.25">
      <c r="B2018" t="str">
        <f>"01542814"</f>
        <v>01542814</v>
      </c>
      <c r="C2018" t="s">
        <v>18520</v>
      </c>
      <c r="D2018" t="s">
        <v>18521</v>
      </c>
      <c r="E2018" t="s">
        <v>18520</v>
      </c>
      <c r="F2018">
        <v>161291766</v>
      </c>
      <c r="H2018" t="s">
        <v>713</v>
      </c>
      <c r="L2018" t="s">
        <v>69</v>
      </c>
      <c r="M2018" t="s">
        <v>199</v>
      </c>
      <c r="W2018" t="s">
        <v>18520</v>
      </c>
      <c r="X2018" t="s">
        <v>714</v>
      </c>
      <c r="Y2018" t="s">
        <v>305</v>
      </c>
      <c r="Z2018" t="s">
        <v>117</v>
      </c>
      <c r="AA2018" t="str">
        <f>"14760-1140"</f>
        <v>14760-1140</v>
      </c>
      <c r="AB2018" t="s">
        <v>291</v>
      </c>
      <c r="AC2018" t="s">
        <v>119</v>
      </c>
      <c r="AD2018" t="s">
        <v>113</v>
      </c>
      <c r="AE2018" t="s">
        <v>120</v>
      </c>
      <c r="AG2018" t="s">
        <v>121</v>
      </c>
    </row>
    <row r="2019" spans="1:33" x14ac:dyDescent="0.25">
      <c r="B2019" t="str">
        <f>"03045778"</f>
        <v>03045778</v>
      </c>
      <c r="C2019" t="s">
        <v>23926</v>
      </c>
      <c r="D2019" t="s">
        <v>23927</v>
      </c>
      <c r="E2019" t="s">
        <v>23926</v>
      </c>
      <c r="F2019">
        <v>161291766</v>
      </c>
      <c r="H2019" t="s">
        <v>713</v>
      </c>
      <c r="L2019" t="s">
        <v>69</v>
      </c>
      <c r="M2019" t="s">
        <v>199</v>
      </c>
      <c r="W2019" t="s">
        <v>23926</v>
      </c>
      <c r="X2019" t="s">
        <v>714</v>
      </c>
      <c r="Y2019" t="s">
        <v>305</v>
      </c>
      <c r="Z2019" t="s">
        <v>117</v>
      </c>
      <c r="AA2019" t="str">
        <f>"14760-1140"</f>
        <v>14760-1140</v>
      </c>
      <c r="AB2019" t="s">
        <v>291</v>
      </c>
      <c r="AC2019" t="s">
        <v>119</v>
      </c>
      <c r="AD2019" t="s">
        <v>113</v>
      </c>
      <c r="AE2019" t="s">
        <v>120</v>
      </c>
      <c r="AG2019" t="s">
        <v>121</v>
      </c>
    </row>
    <row r="2020" spans="1:33" x14ac:dyDescent="0.25">
      <c r="A2020" t="str">
        <f>"1881003192"</f>
        <v>1881003192</v>
      </c>
      <c r="B2020" t="str">
        <f>"04591122"</f>
        <v>04591122</v>
      </c>
      <c r="C2020" t="s">
        <v>19851</v>
      </c>
      <c r="D2020" t="s">
        <v>19852</v>
      </c>
      <c r="E2020" t="s">
        <v>19853</v>
      </c>
      <c r="G2020" t="s">
        <v>19843</v>
      </c>
      <c r="H2020" t="s">
        <v>19854</v>
      </c>
      <c r="J2020" t="s">
        <v>19845</v>
      </c>
      <c r="L2020" t="s">
        <v>229</v>
      </c>
      <c r="M2020" t="s">
        <v>113</v>
      </c>
      <c r="R2020" t="s">
        <v>19846</v>
      </c>
      <c r="W2020" t="s">
        <v>19853</v>
      </c>
      <c r="AB2020" t="s">
        <v>291</v>
      </c>
      <c r="AC2020" t="s">
        <v>119</v>
      </c>
      <c r="AD2020" t="s">
        <v>113</v>
      </c>
      <c r="AE2020" t="s">
        <v>120</v>
      </c>
      <c r="AG2020" t="s">
        <v>121</v>
      </c>
    </row>
    <row r="2021" spans="1:33" x14ac:dyDescent="0.25">
      <c r="A2021" t="str">
        <f>"1477807097"</f>
        <v>1477807097</v>
      </c>
      <c r="B2021" t="str">
        <f>"03520990"</f>
        <v>03520990</v>
      </c>
      <c r="C2021" t="s">
        <v>6324</v>
      </c>
      <c r="D2021" t="s">
        <v>6325</v>
      </c>
      <c r="E2021" t="s">
        <v>6326</v>
      </c>
      <c r="F2021">
        <v>166002556</v>
      </c>
      <c r="G2021" t="s">
        <v>6327</v>
      </c>
      <c r="H2021" t="s">
        <v>6328</v>
      </c>
      <c r="J2021" t="s">
        <v>6329</v>
      </c>
      <c r="L2021" t="s">
        <v>67</v>
      </c>
      <c r="M2021" t="s">
        <v>199</v>
      </c>
      <c r="R2021" t="s">
        <v>6324</v>
      </c>
      <c r="W2021" t="s">
        <v>6326</v>
      </c>
      <c r="X2021" t="s">
        <v>6330</v>
      </c>
      <c r="Y2021" t="s">
        <v>1557</v>
      </c>
      <c r="Z2021" t="s">
        <v>117</v>
      </c>
      <c r="AA2021" t="str">
        <f>"14757-1095"</f>
        <v>14757-1095</v>
      </c>
      <c r="AB2021" t="s">
        <v>291</v>
      </c>
      <c r="AC2021" t="s">
        <v>119</v>
      </c>
      <c r="AD2021" t="s">
        <v>113</v>
      </c>
      <c r="AE2021" t="s">
        <v>120</v>
      </c>
      <c r="AG2021" t="s">
        <v>121</v>
      </c>
    </row>
    <row r="2022" spans="1:33" x14ac:dyDescent="0.25">
      <c r="B2022" t="str">
        <f>"00811041"</f>
        <v>00811041</v>
      </c>
      <c r="C2022" t="s">
        <v>24024</v>
      </c>
      <c r="D2022" t="s">
        <v>24025</v>
      </c>
      <c r="E2022" t="s">
        <v>24024</v>
      </c>
      <c r="G2022" t="s">
        <v>24026</v>
      </c>
      <c r="H2022" t="s">
        <v>24027</v>
      </c>
      <c r="J2022" t="s">
        <v>24028</v>
      </c>
      <c r="L2022" t="s">
        <v>69</v>
      </c>
      <c r="M2022" t="s">
        <v>113</v>
      </c>
      <c r="W2022" t="s">
        <v>24024</v>
      </c>
      <c r="Y2022" t="s">
        <v>541</v>
      </c>
      <c r="Z2022" t="s">
        <v>117</v>
      </c>
      <c r="AA2022" t="str">
        <f>"14048-2754"</f>
        <v>14048-2754</v>
      </c>
      <c r="AB2022" t="s">
        <v>291</v>
      </c>
      <c r="AC2022" t="s">
        <v>119</v>
      </c>
      <c r="AD2022" t="s">
        <v>113</v>
      </c>
      <c r="AE2022" t="s">
        <v>120</v>
      </c>
      <c r="AG2022" t="s">
        <v>121</v>
      </c>
    </row>
    <row r="2023" spans="1:33" x14ac:dyDescent="0.25">
      <c r="A2023" t="str">
        <f>"1689841215"</f>
        <v>1689841215</v>
      </c>
      <c r="B2023" t="str">
        <f>"01405747"</f>
        <v>01405747</v>
      </c>
      <c r="C2023" t="s">
        <v>3480</v>
      </c>
      <c r="D2023" t="s">
        <v>3481</v>
      </c>
      <c r="E2023" t="s">
        <v>3482</v>
      </c>
      <c r="H2023" t="s">
        <v>3483</v>
      </c>
      <c r="L2023" t="s">
        <v>14</v>
      </c>
      <c r="M2023" t="s">
        <v>113</v>
      </c>
      <c r="R2023" t="s">
        <v>3480</v>
      </c>
      <c r="W2023" t="s">
        <v>3482</v>
      </c>
      <c r="X2023" t="s">
        <v>3484</v>
      </c>
      <c r="Y2023" t="s">
        <v>116</v>
      </c>
      <c r="Z2023" t="s">
        <v>117</v>
      </c>
      <c r="AA2023" t="str">
        <f>"14202-2810"</f>
        <v>14202-2810</v>
      </c>
      <c r="AB2023" t="s">
        <v>291</v>
      </c>
      <c r="AC2023" t="s">
        <v>119</v>
      </c>
      <c r="AD2023" t="s">
        <v>113</v>
      </c>
      <c r="AE2023" t="s">
        <v>120</v>
      </c>
      <c r="AG2023" t="s">
        <v>121</v>
      </c>
    </row>
    <row r="2024" spans="1:33" x14ac:dyDescent="0.25">
      <c r="A2024" t="str">
        <f>"1225205859"</f>
        <v>1225205859</v>
      </c>
      <c r="B2024" t="str">
        <f>"01801523"</f>
        <v>01801523</v>
      </c>
      <c r="C2024" t="s">
        <v>3480</v>
      </c>
      <c r="D2024" t="s">
        <v>16501</v>
      </c>
      <c r="E2024" t="s">
        <v>16502</v>
      </c>
      <c r="H2024" t="s">
        <v>16503</v>
      </c>
      <c r="L2024" t="s">
        <v>14</v>
      </c>
      <c r="M2024" t="s">
        <v>199</v>
      </c>
      <c r="R2024" t="s">
        <v>3480</v>
      </c>
      <c r="W2024" t="s">
        <v>16502</v>
      </c>
      <c r="X2024" t="s">
        <v>16504</v>
      </c>
      <c r="Y2024" t="s">
        <v>318</v>
      </c>
      <c r="Z2024" t="s">
        <v>117</v>
      </c>
      <c r="AA2024" t="str">
        <f>"14206-2409"</f>
        <v>14206-2409</v>
      </c>
      <c r="AB2024" t="s">
        <v>291</v>
      </c>
      <c r="AC2024" t="s">
        <v>119</v>
      </c>
      <c r="AD2024" t="s">
        <v>113</v>
      </c>
      <c r="AE2024" t="s">
        <v>120</v>
      </c>
      <c r="AG2024" t="s">
        <v>121</v>
      </c>
    </row>
    <row r="2025" spans="1:33" x14ac:dyDescent="0.25">
      <c r="A2025" t="str">
        <f>"1285801316"</f>
        <v>1285801316</v>
      </c>
      <c r="B2025" t="str">
        <f>"02646344"</f>
        <v>02646344</v>
      </c>
      <c r="C2025" t="s">
        <v>3480</v>
      </c>
      <c r="D2025" t="s">
        <v>17016</v>
      </c>
      <c r="E2025" t="s">
        <v>17017</v>
      </c>
      <c r="H2025" t="s">
        <v>3483</v>
      </c>
      <c r="L2025" t="s">
        <v>67</v>
      </c>
      <c r="M2025" t="s">
        <v>199</v>
      </c>
      <c r="R2025" t="s">
        <v>3480</v>
      </c>
      <c r="W2025" t="s">
        <v>17017</v>
      </c>
      <c r="X2025" t="s">
        <v>740</v>
      </c>
      <c r="Y2025" t="s">
        <v>116</v>
      </c>
      <c r="Z2025" t="s">
        <v>117</v>
      </c>
      <c r="AA2025" t="str">
        <f>"14202-1804"</f>
        <v>14202-1804</v>
      </c>
      <c r="AB2025" t="s">
        <v>291</v>
      </c>
      <c r="AC2025" t="s">
        <v>119</v>
      </c>
      <c r="AD2025" t="s">
        <v>113</v>
      </c>
      <c r="AE2025" t="s">
        <v>120</v>
      </c>
      <c r="AG2025" t="s">
        <v>121</v>
      </c>
    </row>
    <row r="2026" spans="1:33" x14ac:dyDescent="0.25">
      <c r="B2026" t="str">
        <f>"02693034"</f>
        <v>02693034</v>
      </c>
      <c r="C2026" t="s">
        <v>11670</v>
      </c>
      <c r="D2026" t="s">
        <v>11671</v>
      </c>
      <c r="E2026" t="s">
        <v>11670</v>
      </c>
      <c r="F2026">
        <v>161096096</v>
      </c>
      <c r="H2026" t="s">
        <v>11672</v>
      </c>
      <c r="L2026" t="s">
        <v>69</v>
      </c>
      <c r="M2026" t="s">
        <v>199</v>
      </c>
      <c r="W2026" t="s">
        <v>11670</v>
      </c>
      <c r="X2026" t="s">
        <v>11666</v>
      </c>
      <c r="Y2026" t="s">
        <v>1562</v>
      </c>
      <c r="Z2026" t="s">
        <v>117</v>
      </c>
      <c r="AA2026" t="str">
        <f>"14047-9778"</f>
        <v>14047-9778</v>
      </c>
      <c r="AB2026" t="s">
        <v>291</v>
      </c>
      <c r="AC2026" t="s">
        <v>119</v>
      </c>
      <c r="AD2026" t="s">
        <v>113</v>
      </c>
      <c r="AE2026" t="s">
        <v>120</v>
      </c>
      <c r="AG2026" t="s">
        <v>121</v>
      </c>
    </row>
    <row r="2027" spans="1:33" x14ac:dyDescent="0.25">
      <c r="B2027" t="str">
        <f>"02253469"</f>
        <v>02253469</v>
      </c>
      <c r="C2027" t="s">
        <v>15525</v>
      </c>
      <c r="D2027" t="s">
        <v>15526</v>
      </c>
      <c r="E2027" t="s">
        <v>15527</v>
      </c>
      <c r="F2027">
        <v>161317369</v>
      </c>
      <c r="H2027" t="s">
        <v>10032</v>
      </c>
      <c r="L2027" t="s">
        <v>69</v>
      </c>
      <c r="M2027" t="s">
        <v>199</v>
      </c>
      <c r="W2027" t="s">
        <v>15527</v>
      </c>
      <c r="X2027" t="s">
        <v>11658</v>
      </c>
      <c r="Y2027" t="s">
        <v>116</v>
      </c>
      <c r="Z2027" t="s">
        <v>117</v>
      </c>
      <c r="AA2027" t="str">
        <f>"14202-1515"</f>
        <v>14202-1515</v>
      </c>
      <c r="AB2027" t="s">
        <v>291</v>
      </c>
      <c r="AC2027" t="s">
        <v>119</v>
      </c>
      <c r="AD2027" t="s">
        <v>113</v>
      </c>
      <c r="AE2027" t="s">
        <v>120</v>
      </c>
      <c r="AG2027" t="s">
        <v>121</v>
      </c>
    </row>
    <row r="2028" spans="1:33" x14ac:dyDescent="0.25">
      <c r="A2028" t="str">
        <f>"1710158134"</f>
        <v>1710158134</v>
      </c>
      <c r="B2028" t="str">
        <f>"00356538"</f>
        <v>00356538</v>
      </c>
      <c r="C2028" t="s">
        <v>2579</v>
      </c>
      <c r="D2028" t="s">
        <v>2580</v>
      </c>
      <c r="E2028" t="s">
        <v>2581</v>
      </c>
      <c r="G2028" t="s">
        <v>2582</v>
      </c>
      <c r="H2028" t="s">
        <v>2583</v>
      </c>
      <c r="J2028" t="s">
        <v>2584</v>
      </c>
      <c r="L2028" t="s">
        <v>2585</v>
      </c>
      <c r="M2028" t="s">
        <v>199</v>
      </c>
      <c r="R2028" t="s">
        <v>2579</v>
      </c>
      <c r="W2028" t="s">
        <v>2581</v>
      </c>
      <c r="X2028" t="s">
        <v>2586</v>
      </c>
      <c r="Y2028" t="s">
        <v>240</v>
      </c>
      <c r="Z2028" t="s">
        <v>117</v>
      </c>
      <c r="AA2028" t="str">
        <f>"14221-5821"</f>
        <v>14221-5821</v>
      </c>
      <c r="AB2028" t="s">
        <v>1460</v>
      </c>
      <c r="AC2028" t="s">
        <v>119</v>
      </c>
      <c r="AD2028" t="s">
        <v>113</v>
      </c>
      <c r="AE2028" t="s">
        <v>120</v>
      </c>
      <c r="AG2028" t="s">
        <v>121</v>
      </c>
    </row>
    <row r="2029" spans="1:33" x14ac:dyDescent="0.25">
      <c r="A2029" t="str">
        <f>"1770701989"</f>
        <v>1770701989</v>
      </c>
      <c r="B2029" t="str">
        <f>"01312770"</f>
        <v>01312770</v>
      </c>
      <c r="C2029" t="s">
        <v>8510</v>
      </c>
      <c r="D2029" t="s">
        <v>8511</v>
      </c>
      <c r="E2029" t="s">
        <v>8512</v>
      </c>
      <c r="G2029" t="s">
        <v>8513</v>
      </c>
      <c r="H2029" t="s">
        <v>8514</v>
      </c>
      <c r="I2029">
        <v>2238</v>
      </c>
      <c r="J2029" t="s">
        <v>8515</v>
      </c>
      <c r="L2029" t="s">
        <v>14</v>
      </c>
      <c r="M2029" t="s">
        <v>113</v>
      </c>
      <c r="R2029" t="s">
        <v>8510</v>
      </c>
      <c r="W2029" t="s">
        <v>8512</v>
      </c>
      <c r="X2029" t="s">
        <v>8516</v>
      </c>
      <c r="Y2029" t="s">
        <v>153</v>
      </c>
      <c r="Z2029" t="s">
        <v>117</v>
      </c>
      <c r="AA2029" t="str">
        <f>"14305-2774"</f>
        <v>14305-2774</v>
      </c>
      <c r="AB2029" t="s">
        <v>291</v>
      </c>
      <c r="AC2029" t="s">
        <v>119</v>
      </c>
      <c r="AD2029" t="s">
        <v>113</v>
      </c>
      <c r="AE2029" t="s">
        <v>120</v>
      </c>
      <c r="AG2029" t="s">
        <v>121</v>
      </c>
    </row>
    <row r="2030" spans="1:33" x14ac:dyDescent="0.25">
      <c r="B2030" t="str">
        <f>"03561906"</f>
        <v>03561906</v>
      </c>
      <c r="C2030" t="s">
        <v>19272</v>
      </c>
      <c r="D2030" t="s">
        <v>19273</v>
      </c>
      <c r="E2030" t="s">
        <v>19272</v>
      </c>
      <c r="F2030">
        <v>161317369</v>
      </c>
      <c r="H2030" t="s">
        <v>10032</v>
      </c>
      <c r="L2030" t="s">
        <v>69</v>
      </c>
      <c r="M2030" t="s">
        <v>199</v>
      </c>
      <c r="W2030" t="s">
        <v>19272</v>
      </c>
      <c r="X2030" t="s">
        <v>19274</v>
      </c>
      <c r="Y2030" t="s">
        <v>268</v>
      </c>
      <c r="Z2030" t="s">
        <v>117</v>
      </c>
      <c r="AA2030" t="str">
        <f>"14223-1828"</f>
        <v>14223-1828</v>
      </c>
      <c r="AB2030" t="s">
        <v>291</v>
      </c>
      <c r="AC2030" t="s">
        <v>119</v>
      </c>
      <c r="AD2030" t="s">
        <v>113</v>
      </c>
      <c r="AE2030" t="s">
        <v>120</v>
      </c>
      <c r="AG2030" t="s">
        <v>121</v>
      </c>
    </row>
    <row r="2031" spans="1:33" x14ac:dyDescent="0.25">
      <c r="A2031" t="str">
        <f>"1942374368"</f>
        <v>1942374368</v>
      </c>
      <c r="B2031" t="str">
        <f>"02189628"</f>
        <v>02189628</v>
      </c>
      <c r="C2031" t="s">
        <v>18083</v>
      </c>
      <c r="D2031" t="s">
        <v>18084</v>
      </c>
      <c r="E2031" t="s">
        <v>18085</v>
      </c>
      <c r="G2031" t="s">
        <v>7169</v>
      </c>
      <c r="H2031" t="s">
        <v>7170</v>
      </c>
      <c r="J2031" t="s">
        <v>7171</v>
      </c>
      <c r="L2031" t="s">
        <v>67</v>
      </c>
      <c r="M2031" t="s">
        <v>199</v>
      </c>
      <c r="R2031" t="s">
        <v>18083</v>
      </c>
      <c r="W2031" t="s">
        <v>18085</v>
      </c>
      <c r="X2031" t="s">
        <v>18086</v>
      </c>
      <c r="Y2031" t="s">
        <v>2762</v>
      </c>
      <c r="Z2031" t="s">
        <v>117</v>
      </c>
      <c r="AA2031" t="str">
        <f>"14620-4629"</f>
        <v>14620-4629</v>
      </c>
      <c r="AB2031" t="s">
        <v>291</v>
      </c>
      <c r="AC2031" t="s">
        <v>119</v>
      </c>
      <c r="AD2031" t="s">
        <v>113</v>
      </c>
      <c r="AE2031" t="s">
        <v>120</v>
      </c>
      <c r="AG2031" t="s">
        <v>121</v>
      </c>
    </row>
    <row r="2032" spans="1:33" x14ac:dyDescent="0.25">
      <c r="A2032" t="str">
        <f>"1902850522"</f>
        <v>1902850522</v>
      </c>
      <c r="B2032" t="str">
        <f>"03482208"</f>
        <v>03482208</v>
      </c>
      <c r="C2032" t="s">
        <v>11705</v>
      </c>
      <c r="D2032" t="s">
        <v>11706</v>
      </c>
      <c r="E2032" t="s">
        <v>11707</v>
      </c>
      <c r="G2032" t="s">
        <v>11705</v>
      </c>
      <c r="H2032" t="s">
        <v>4099</v>
      </c>
      <c r="J2032" t="s">
        <v>11708</v>
      </c>
      <c r="L2032" t="s">
        <v>142</v>
      </c>
      <c r="M2032" t="s">
        <v>113</v>
      </c>
      <c r="R2032" t="s">
        <v>11709</v>
      </c>
      <c r="W2032" t="s">
        <v>11707</v>
      </c>
      <c r="X2032" t="s">
        <v>11710</v>
      </c>
      <c r="Y2032" t="s">
        <v>240</v>
      </c>
      <c r="Z2032" t="s">
        <v>117</v>
      </c>
      <c r="AA2032" t="str">
        <f>"14221-5852"</f>
        <v>14221-5852</v>
      </c>
      <c r="AB2032" t="s">
        <v>118</v>
      </c>
      <c r="AC2032" t="s">
        <v>119</v>
      </c>
      <c r="AD2032" t="s">
        <v>113</v>
      </c>
      <c r="AE2032" t="s">
        <v>120</v>
      </c>
      <c r="AG2032" t="s">
        <v>121</v>
      </c>
    </row>
    <row r="2033" spans="1:33" x14ac:dyDescent="0.25">
      <c r="A2033" t="str">
        <f>"1902858624"</f>
        <v>1902858624</v>
      </c>
      <c r="B2033" t="str">
        <f>"03557664"</f>
        <v>03557664</v>
      </c>
      <c r="C2033" t="s">
        <v>11711</v>
      </c>
      <c r="D2033" t="s">
        <v>11712</v>
      </c>
      <c r="E2033" t="s">
        <v>11713</v>
      </c>
      <c r="G2033" t="s">
        <v>11711</v>
      </c>
      <c r="H2033" t="s">
        <v>227</v>
      </c>
      <c r="J2033" t="s">
        <v>11714</v>
      </c>
      <c r="L2033" t="s">
        <v>142</v>
      </c>
      <c r="M2033" t="s">
        <v>113</v>
      </c>
      <c r="R2033" t="s">
        <v>11715</v>
      </c>
      <c r="W2033" t="s">
        <v>11713</v>
      </c>
      <c r="X2033" t="s">
        <v>2689</v>
      </c>
      <c r="Y2033" t="s">
        <v>2690</v>
      </c>
      <c r="Z2033" t="s">
        <v>117</v>
      </c>
      <c r="AA2033" t="str">
        <f>"10451"</f>
        <v>10451</v>
      </c>
      <c r="AB2033" t="s">
        <v>118</v>
      </c>
      <c r="AC2033" t="s">
        <v>119</v>
      </c>
      <c r="AD2033" t="s">
        <v>113</v>
      </c>
      <c r="AE2033" t="s">
        <v>120</v>
      </c>
      <c r="AG2033" t="s">
        <v>121</v>
      </c>
    </row>
    <row r="2034" spans="1:33" x14ac:dyDescent="0.25">
      <c r="A2034" t="str">
        <f>"1902859663"</f>
        <v>1902859663</v>
      </c>
      <c r="B2034" t="str">
        <f>"00600853"</f>
        <v>00600853</v>
      </c>
      <c r="C2034" t="s">
        <v>11716</v>
      </c>
      <c r="D2034" t="s">
        <v>11717</v>
      </c>
      <c r="E2034" t="s">
        <v>11718</v>
      </c>
      <c r="H2034" t="s">
        <v>11719</v>
      </c>
      <c r="L2034" t="s">
        <v>112</v>
      </c>
      <c r="M2034" t="s">
        <v>113</v>
      </c>
      <c r="R2034" t="s">
        <v>11720</v>
      </c>
      <c r="W2034" t="s">
        <v>11721</v>
      </c>
      <c r="X2034" t="s">
        <v>8946</v>
      </c>
      <c r="Y2034" t="s">
        <v>153</v>
      </c>
      <c r="Z2034" t="s">
        <v>117</v>
      </c>
      <c r="AA2034" t="str">
        <f>"14301-1072"</f>
        <v>14301-1072</v>
      </c>
      <c r="AB2034" t="s">
        <v>634</v>
      </c>
      <c r="AC2034" t="s">
        <v>119</v>
      </c>
      <c r="AD2034" t="s">
        <v>113</v>
      </c>
      <c r="AE2034" t="s">
        <v>120</v>
      </c>
      <c r="AG2034" t="s">
        <v>121</v>
      </c>
    </row>
    <row r="2035" spans="1:33" x14ac:dyDescent="0.25">
      <c r="A2035" t="str">
        <f>"1952306201"</f>
        <v>1952306201</v>
      </c>
      <c r="B2035" t="str">
        <f>"00607167"</f>
        <v>00607167</v>
      </c>
      <c r="C2035" t="s">
        <v>11722</v>
      </c>
      <c r="D2035" t="s">
        <v>11723</v>
      </c>
      <c r="E2035" t="s">
        <v>11724</v>
      </c>
      <c r="G2035" t="s">
        <v>11722</v>
      </c>
      <c r="H2035" t="s">
        <v>9036</v>
      </c>
      <c r="J2035" t="s">
        <v>11725</v>
      </c>
      <c r="L2035" t="s">
        <v>142</v>
      </c>
      <c r="M2035" t="s">
        <v>113</v>
      </c>
      <c r="R2035" t="s">
        <v>11726</v>
      </c>
      <c r="W2035" t="s">
        <v>11727</v>
      </c>
      <c r="X2035" t="s">
        <v>9040</v>
      </c>
      <c r="Y2035" t="s">
        <v>377</v>
      </c>
      <c r="Z2035" t="s">
        <v>117</v>
      </c>
      <c r="AA2035" t="str">
        <f>"14217-1094"</f>
        <v>14217-1094</v>
      </c>
      <c r="AB2035" t="s">
        <v>118</v>
      </c>
      <c r="AC2035" t="s">
        <v>119</v>
      </c>
      <c r="AD2035" t="s">
        <v>113</v>
      </c>
      <c r="AE2035" t="s">
        <v>120</v>
      </c>
      <c r="AG2035" t="s">
        <v>121</v>
      </c>
    </row>
    <row r="2036" spans="1:33" x14ac:dyDescent="0.25">
      <c r="A2036" t="str">
        <f>"1952309163"</f>
        <v>1952309163</v>
      </c>
      <c r="B2036" t="str">
        <f>"01023394"</f>
        <v>01023394</v>
      </c>
      <c r="C2036" t="s">
        <v>11728</v>
      </c>
      <c r="D2036" t="s">
        <v>11729</v>
      </c>
      <c r="E2036" t="s">
        <v>11730</v>
      </c>
      <c r="G2036" t="s">
        <v>1203</v>
      </c>
      <c r="H2036" t="s">
        <v>1204</v>
      </c>
      <c r="J2036" t="s">
        <v>1205</v>
      </c>
      <c r="L2036" t="s">
        <v>142</v>
      </c>
      <c r="M2036" t="s">
        <v>113</v>
      </c>
      <c r="R2036" t="s">
        <v>11731</v>
      </c>
      <c r="W2036" t="s">
        <v>11730</v>
      </c>
      <c r="X2036" t="s">
        <v>11732</v>
      </c>
      <c r="Y2036" t="s">
        <v>153</v>
      </c>
      <c r="Z2036" t="s">
        <v>117</v>
      </c>
      <c r="AA2036" t="str">
        <f>"14304-3081"</f>
        <v>14304-3081</v>
      </c>
      <c r="AB2036" t="s">
        <v>118</v>
      </c>
      <c r="AC2036" t="s">
        <v>119</v>
      </c>
      <c r="AD2036" t="s">
        <v>113</v>
      </c>
      <c r="AE2036" t="s">
        <v>120</v>
      </c>
      <c r="AG2036" t="s">
        <v>121</v>
      </c>
    </row>
    <row r="2037" spans="1:33" x14ac:dyDescent="0.25">
      <c r="A2037" t="str">
        <f>"1952314916"</f>
        <v>1952314916</v>
      </c>
      <c r="B2037" t="str">
        <f>"02811338"</f>
        <v>02811338</v>
      </c>
      <c r="C2037" t="s">
        <v>11733</v>
      </c>
      <c r="D2037" t="s">
        <v>11734</v>
      </c>
      <c r="E2037" t="s">
        <v>11735</v>
      </c>
      <c r="L2037" t="s">
        <v>142</v>
      </c>
      <c r="M2037" t="s">
        <v>113</v>
      </c>
      <c r="R2037" t="s">
        <v>11736</v>
      </c>
      <c r="W2037" t="s">
        <v>11735</v>
      </c>
      <c r="X2037" t="s">
        <v>10017</v>
      </c>
      <c r="Y2037" t="s">
        <v>10018</v>
      </c>
      <c r="Z2037" t="s">
        <v>117</v>
      </c>
      <c r="AA2037" t="str">
        <f>"13905-4246"</f>
        <v>13905-4246</v>
      </c>
      <c r="AB2037" t="s">
        <v>118</v>
      </c>
      <c r="AC2037" t="s">
        <v>119</v>
      </c>
      <c r="AD2037" t="s">
        <v>113</v>
      </c>
      <c r="AE2037" t="s">
        <v>120</v>
      </c>
      <c r="AG2037" t="s">
        <v>121</v>
      </c>
    </row>
    <row r="2038" spans="1:33" x14ac:dyDescent="0.25">
      <c r="A2038" t="str">
        <f>"1952315467"</f>
        <v>1952315467</v>
      </c>
      <c r="B2038" t="str">
        <f>"01747240"</f>
        <v>01747240</v>
      </c>
      <c r="C2038" t="s">
        <v>11737</v>
      </c>
      <c r="D2038" t="s">
        <v>11738</v>
      </c>
      <c r="E2038" t="s">
        <v>11739</v>
      </c>
      <c r="G2038" t="s">
        <v>11740</v>
      </c>
      <c r="H2038" t="s">
        <v>937</v>
      </c>
      <c r="J2038" t="s">
        <v>11741</v>
      </c>
      <c r="L2038" t="s">
        <v>142</v>
      </c>
      <c r="M2038" t="s">
        <v>113</v>
      </c>
      <c r="R2038" t="s">
        <v>11742</v>
      </c>
      <c r="W2038" t="s">
        <v>11739</v>
      </c>
      <c r="X2038" t="s">
        <v>136</v>
      </c>
      <c r="Y2038" t="s">
        <v>116</v>
      </c>
      <c r="Z2038" t="s">
        <v>117</v>
      </c>
      <c r="AA2038" t="str">
        <f>"14209-1120"</f>
        <v>14209-1120</v>
      </c>
      <c r="AB2038" t="s">
        <v>118</v>
      </c>
      <c r="AC2038" t="s">
        <v>119</v>
      </c>
      <c r="AD2038" t="s">
        <v>113</v>
      </c>
      <c r="AE2038" t="s">
        <v>120</v>
      </c>
      <c r="AG2038" t="s">
        <v>121</v>
      </c>
    </row>
    <row r="2039" spans="1:33" x14ac:dyDescent="0.25">
      <c r="A2039" t="str">
        <f>"1952323479"</f>
        <v>1952323479</v>
      </c>
      <c r="C2039" t="s">
        <v>11743</v>
      </c>
      <c r="G2039" t="s">
        <v>11743</v>
      </c>
      <c r="H2039" t="s">
        <v>1157</v>
      </c>
      <c r="J2039" t="s">
        <v>11744</v>
      </c>
      <c r="K2039" t="s">
        <v>303</v>
      </c>
      <c r="L2039" t="s">
        <v>112</v>
      </c>
      <c r="M2039" t="s">
        <v>113</v>
      </c>
      <c r="R2039" t="s">
        <v>11745</v>
      </c>
      <c r="S2039" t="s">
        <v>176</v>
      </c>
      <c r="T2039" t="s">
        <v>116</v>
      </c>
      <c r="U2039" t="s">
        <v>117</v>
      </c>
      <c r="V2039" t="str">
        <f>"142031126"</f>
        <v>142031126</v>
      </c>
      <c r="AC2039" t="s">
        <v>119</v>
      </c>
      <c r="AD2039" t="s">
        <v>113</v>
      </c>
      <c r="AE2039" t="s">
        <v>306</v>
      </c>
      <c r="AG2039" t="s">
        <v>121</v>
      </c>
    </row>
    <row r="2040" spans="1:33" x14ac:dyDescent="0.25">
      <c r="A2040" t="str">
        <f>"1952327363"</f>
        <v>1952327363</v>
      </c>
      <c r="B2040" t="str">
        <f>"01175988"</f>
        <v>01175988</v>
      </c>
      <c r="C2040" t="s">
        <v>11746</v>
      </c>
      <c r="D2040" t="s">
        <v>11747</v>
      </c>
      <c r="E2040" t="s">
        <v>11748</v>
      </c>
      <c r="G2040" t="s">
        <v>4593</v>
      </c>
      <c r="H2040" t="s">
        <v>4594</v>
      </c>
      <c r="J2040" t="s">
        <v>4595</v>
      </c>
      <c r="L2040" t="s">
        <v>150</v>
      </c>
      <c r="M2040" t="s">
        <v>113</v>
      </c>
      <c r="R2040" t="s">
        <v>11749</v>
      </c>
      <c r="W2040" t="s">
        <v>11750</v>
      </c>
      <c r="X2040" t="s">
        <v>1098</v>
      </c>
      <c r="Y2040" t="s">
        <v>305</v>
      </c>
      <c r="Z2040" t="s">
        <v>117</v>
      </c>
      <c r="AA2040" t="str">
        <f>"14760-1513"</f>
        <v>14760-1513</v>
      </c>
      <c r="AB2040" t="s">
        <v>118</v>
      </c>
      <c r="AC2040" t="s">
        <v>119</v>
      </c>
      <c r="AD2040" t="s">
        <v>113</v>
      </c>
      <c r="AE2040" t="s">
        <v>120</v>
      </c>
      <c r="AG2040" t="s">
        <v>121</v>
      </c>
    </row>
    <row r="2041" spans="1:33" x14ac:dyDescent="0.25">
      <c r="A2041" t="str">
        <f>"1952331761"</f>
        <v>1952331761</v>
      </c>
      <c r="B2041" t="str">
        <f>"02583535"</f>
        <v>02583535</v>
      </c>
      <c r="C2041" t="s">
        <v>11751</v>
      </c>
      <c r="D2041" t="s">
        <v>11752</v>
      </c>
      <c r="E2041" t="s">
        <v>11753</v>
      </c>
      <c r="H2041" t="s">
        <v>1350</v>
      </c>
      <c r="L2041" t="s">
        <v>229</v>
      </c>
      <c r="M2041" t="s">
        <v>113</v>
      </c>
      <c r="R2041" t="s">
        <v>11751</v>
      </c>
      <c r="W2041" t="s">
        <v>11754</v>
      </c>
      <c r="X2041" t="s">
        <v>11755</v>
      </c>
      <c r="Y2041" t="s">
        <v>1257</v>
      </c>
      <c r="Z2041" t="s">
        <v>117</v>
      </c>
      <c r="AA2041" t="str">
        <f>"14141-1497"</f>
        <v>14141-1497</v>
      </c>
      <c r="AB2041" t="s">
        <v>872</v>
      </c>
      <c r="AC2041" t="s">
        <v>119</v>
      </c>
      <c r="AD2041" t="s">
        <v>113</v>
      </c>
      <c r="AE2041" t="s">
        <v>120</v>
      </c>
      <c r="AG2041" t="s">
        <v>121</v>
      </c>
    </row>
    <row r="2042" spans="1:33" x14ac:dyDescent="0.25">
      <c r="A2042" t="str">
        <f>"1497988208"</f>
        <v>1497988208</v>
      </c>
      <c r="B2042" t="str">
        <f>"03676051"</f>
        <v>03676051</v>
      </c>
      <c r="C2042" t="s">
        <v>11756</v>
      </c>
      <c r="D2042" t="s">
        <v>11757</v>
      </c>
      <c r="E2042" t="s">
        <v>11758</v>
      </c>
      <c r="G2042" t="s">
        <v>11759</v>
      </c>
      <c r="H2042" t="s">
        <v>11760</v>
      </c>
      <c r="J2042" t="s">
        <v>352</v>
      </c>
      <c r="L2042" t="s">
        <v>112</v>
      </c>
      <c r="M2042" t="s">
        <v>113</v>
      </c>
      <c r="R2042" t="s">
        <v>11761</v>
      </c>
      <c r="W2042" t="s">
        <v>11758</v>
      </c>
      <c r="X2042" t="s">
        <v>6562</v>
      </c>
      <c r="Y2042" t="s">
        <v>116</v>
      </c>
      <c r="Z2042" t="s">
        <v>117</v>
      </c>
      <c r="AA2042" t="str">
        <f>"14214-1804"</f>
        <v>14214-1804</v>
      </c>
      <c r="AB2042" t="s">
        <v>621</v>
      </c>
      <c r="AC2042" t="s">
        <v>119</v>
      </c>
      <c r="AD2042" t="s">
        <v>113</v>
      </c>
      <c r="AE2042" t="s">
        <v>120</v>
      </c>
      <c r="AG2042" t="s">
        <v>121</v>
      </c>
    </row>
    <row r="2043" spans="1:33" x14ac:dyDescent="0.25">
      <c r="A2043" t="str">
        <f>"1508022526"</f>
        <v>1508022526</v>
      </c>
      <c r="B2043" t="str">
        <f>"03220055"</f>
        <v>03220055</v>
      </c>
      <c r="C2043" t="s">
        <v>11762</v>
      </c>
      <c r="D2043" t="s">
        <v>11763</v>
      </c>
      <c r="E2043" t="s">
        <v>11764</v>
      </c>
      <c r="G2043" t="s">
        <v>11762</v>
      </c>
      <c r="H2043" t="s">
        <v>2963</v>
      </c>
      <c r="J2043" t="s">
        <v>11765</v>
      </c>
      <c r="L2043" t="s">
        <v>150</v>
      </c>
      <c r="M2043" t="s">
        <v>113</v>
      </c>
      <c r="R2043" t="s">
        <v>11766</v>
      </c>
      <c r="W2043" t="s">
        <v>11764</v>
      </c>
      <c r="X2043" t="s">
        <v>11767</v>
      </c>
      <c r="Y2043" t="s">
        <v>240</v>
      </c>
      <c r="Z2043" t="s">
        <v>117</v>
      </c>
      <c r="AA2043" t="str">
        <f>"14221-6883"</f>
        <v>14221-6883</v>
      </c>
      <c r="AB2043" t="s">
        <v>118</v>
      </c>
      <c r="AC2043" t="s">
        <v>119</v>
      </c>
      <c r="AD2043" t="s">
        <v>113</v>
      </c>
      <c r="AE2043" t="s">
        <v>120</v>
      </c>
      <c r="AG2043" t="s">
        <v>121</v>
      </c>
    </row>
    <row r="2044" spans="1:33" x14ac:dyDescent="0.25">
      <c r="A2044" t="str">
        <f>"1508025768"</f>
        <v>1508025768</v>
      </c>
      <c r="B2044" t="str">
        <f>"03027465"</f>
        <v>03027465</v>
      </c>
      <c r="C2044" t="s">
        <v>11768</v>
      </c>
      <c r="D2044" t="s">
        <v>11769</v>
      </c>
      <c r="E2044" t="s">
        <v>11770</v>
      </c>
      <c r="G2044" t="s">
        <v>11768</v>
      </c>
      <c r="H2044" t="s">
        <v>11771</v>
      </c>
      <c r="J2044" t="s">
        <v>11772</v>
      </c>
      <c r="L2044" t="s">
        <v>112</v>
      </c>
      <c r="M2044" t="s">
        <v>113</v>
      </c>
      <c r="R2044" t="s">
        <v>11773</v>
      </c>
      <c r="W2044" t="s">
        <v>11770</v>
      </c>
      <c r="X2044" t="s">
        <v>216</v>
      </c>
      <c r="Y2044" t="s">
        <v>116</v>
      </c>
      <c r="Z2044" t="s">
        <v>117</v>
      </c>
      <c r="AA2044" t="str">
        <f>"14222-2006"</f>
        <v>14222-2006</v>
      </c>
      <c r="AB2044" t="s">
        <v>118</v>
      </c>
      <c r="AC2044" t="s">
        <v>119</v>
      </c>
      <c r="AD2044" t="s">
        <v>113</v>
      </c>
      <c r="AE2044" t="s">
        <v>120</v>
      </c>
      <c r="AG2044" t="s">
        <v>121</v>
      </c>
    </row>
    <row r="2045" spans="1:33" x14ac:dyDescent="0.25">
      <c r="A2045" t="str">
        <f>"1508026105"</f>
        <v>1508026105</v>
      </c>
      <c r="B2045" t="str">
        <f>"03036606"</f>
        <v>03036606</v>
      </c>
      <c r="C2045" t="s">
        <v>11774</v>
      </c>
      <c r="D2045" t="s">
        <v>11775</v>
      </c>
      <c r="E2045" t="s">
        <v>11776</v>
      </c>
      <c r="G2045" t="s">
        <v>11774</v>
      </c>
      <c r="H2045" t="s">
        <v>449</v>
      </c>
      <c r="J2045" t="s">
        <v>11777</v>
      </c>
      <c r="L2045" t="s">
        <v>112</v>
      </c>
      <c r="M2045" t="s">
        <v>113</v>
      </c>
      <c r="R2045" t="s">
        <v>11778</v>
      </c>
      <c r="W2045" t="s">
        <v>11776</v>
      </c>
      <c r="X2045" t="s">
        <v>11779</v>
      </c>
      <c r="Y2045" t="s">
        <v>129</v>
      </c>
      <c r="Z2045" t="s">
        <v>117</v>
      </c>
      <c r="AA2045" t="str">
        <f>"14224-2654"</f>
        <v>14224-2654</v>
      </c>
      <c r="AB2045" t="s">
        <v>118</v>
      </c>
      <c r="AC2045" t="s">
        <v>119</v>
      </c>
      <c r="AD2045" t="s">
        <v>113</v>
      </c>
      <c r="AE2045" t="s">
        <v>120</v>
      </c>
      <c r="AG2045" t="s">
        <v>121</v>
      </c>
    </row>
    <row r="2046" spans="1:33" x14ac:dyDescent="0.25">
      <c r="A2046" t="str">
        <f>"1144634569"</f>
        <v>1144634569</v>
      </c>
      <c r="B2046" t="str">
        <f>"03922098"</f>
        <v>03922098</v>
      </c>
      <c r="C2046" t="s">
        <v>11780</v>
      </c>
      <c r="D2046" t="s">
        <v>11781</v>
      </c>
      <c r="E2046" t="s">
        <v>11782</v>
      </c>
      <c r="G2046" t="s">
        <v>11783</v>
      </c>
      <c r="H2046" t="s">
        <v>272</v>
      </c>
      <c r="J2046" t="s">
        <v>11784</v>
      </c>
      <c r="L2046" t="s">
        <v>142</v>
      </c>
      <c r="M2046" t="s">
        <v>113</v>
      </c>
      <c r="R2046" t="s">
        <v>11785</v>
      </c>
      <c r="W2046" t="s">
        <v>11782</v>
      </c>
      <c r="X2046" t="s">
        <v>11786</v>
      </c>
      <c r="Y2046" t="s">
        <v>116</v>
      </c>
      <c r="Z2046" t="s">
        <v>117</v>
      </c>
      <c r="AA2046" t="str">
        <f>"14201-2135"</f>
        <v>14201-2135</v>
      </c>
      <c r="AB2046" t="s">
        <v>118</v>
      </c>
      <c r="AC2046" t="s">
        <v>119</v>
      </c>
      <c r="AD2046" t="s">
        <v>113</v>
      </c>
      <c r="AE2046" t="s">
        <v>120</v>
      </c>
      <c r="AG2046" t="s">
        <v>121</v>
      </c>
    </row>
    <row r="2047" spans="1:33" x14ac:dyDescent="0.25">
      <c r="A2047" t="str">
        <f>"1144643974"</f>
        <v>1144643974</v>
      </c>
      <c r="C2047" t="s">
        <v>11787</v>
      </c>
      <c r="G2047" t="s">
        <v>11788</v>
      </c>
      <c r="H2047" t="s">
        <v>590</v>
      </c>
      <c r="J2047" t="s">
        <v>11789</v>
      </c>
      <c r="K2047" t="s">
        <v>303</v>
      </c>
      <c r="L2047" t="s">
        <v>229</v>
      </c>
      <c r="M2047" t="s">
        <v>113</v>
      </c>
      <c r="R2047" t="s">
        <v>11790</v>
      </c>
      <c r="S2047" t="s">
        <v>651</v>
      </c>
      <c r="T2047" t="s">
        <v>116</v>
      </c>
      <c r="U2047" t="s">
        <v>117</v>
      </c>
      <c r="V2047" t="str">
        <f>"142091912"</f>
        <v>142091912</v>
      </c>
      <c r="AC2047" t="s">
        <v>119</v>
      </c>
      <c r="AD2047" t="s">
        <v>113</v>
      </c>
      <c r="AE2047" t="s">
        <v>306</v>
      </c>
      <c r="AG2047" t="s">
        <v>121</v>
      </c>
    </row>
    <row r="2048" spans="1:33" x14ac:dyDescent="0.25">
      <c r="A2048" t="str">
        <f>"1154303196"</f>
        <v>1154303196</v>
      </c>
      <c r="B2048" t="str">
        <f>"01544563"</f>
        <v>01544563</v>
      </c>
      <c r="C2048" t="s">
        <v>11791</v>
      </c>
      <c r="D2048" t="s">
        <v>11792</v>
      </c>
      <c r="E2048" t="s">
        <v>11793</v>
      </c>
      <c r="G2048" t="s">
        <v>859</v>
      </c>
      <c r="H2048" t="s">
        <v>2347</v>
      </c>
      <c r="J2048" t="s">
        <v>861</v>
      </c>
      <c r="L2048" t="s">
        <v>728</v>
      </c>
      <c r="M2048" t="s">
        <v>113</v>
      </c>
      <c r="R2048" t="s">
        <v>11794</v>
      </c>
      <c r="W2048" t="s">
        <v>11793</v>
      </c>
      <c r="X2048" t="s">
        <v>11795</v>
      </c>
      <c r="Y2048" t="s">
        <v>116</v>
      </c>
      <c r="Z2048" t="s">
        <v>117</v>
      </c>
      <c r="AA2048" t="str">
        <f>"14215-3021"</f>
        <v>14215-3021</v>
      </c>
      <c r="AB2048" t="s">
        <v>118</v>
      </c>
      <c r="AC2048" t="s">
        <v>119</v>
      </c>
      <c r="AD2048" t="s">
        <v>113</v>
      </c>
      <c r="AE2048" t="s">
        <v>120</v>
      </c>
      <c r="AG2048" t="s">
        <v>121</v>
      </c>
    </row>
    <row r="2049" spans="1:33" x14ac:dyDescent="0.25">
      <c r="A2049" t="str">
        <f>"1154321396"</f>
        <v>1154321396</v>
      </c>
      <c r="B2049" t="str">
        <f>"01789160"</f>
        <v>01789160</v>
      </c>
      <c r="C2049" t="s">
        <v>11796</v>
      </c>
      <c r="D2049" t="s">
        <v>11797</v>
      </c>
      <c r="E2049" t="s">
        <v>11798</v>
      </c>
      <c r="G2049" t="s">
        <v>11796</v>
      </c>
      <c r="H2049" t="s">
        <v>236</v>
      </c>
      <c r="J2049" t="s">
        <v>11799</v>
      </c>
      <c r="L2049" t="s">
        <v>142</v>
      </c>
      <c r="M2049" t="s">
        <v>113</v>
      </c>
      <c r="R2049" t="s">
        <v>11800</v>
      </c>
      <c r="W2049" t="s">
        <v>11798</v>
      </c>
      <c r="X2049" t="s">
        <v>136</v>
      </c>
      <c r="Y2049" t="s">
        <v>116</v>
      </c>
      <c r="Z2049" t="s">
        <v>117</v>
      </c>
      <c r="AA2049" t="str">
        <f>"14209-1120"</f>
        <v>14209-1120</v>
      </c>
      <c r="AB2049" t="s">
        <v>118</v>
      </c>
      <c r="AC2049" t="s">
        <v>119</v>
      </c>
      <c r="AD2049" t="s">
        <v>113</v>
      </c>
      <c r="AE2049" t="s">
        <v>120</v>
      </c>
      <c r="AG2049" t="s">
        <v>121</v>
      </c>
    </row>
    <row r="2050" spans="1:33" x14ac:dyDescent="0.25">
      <c r="A2050" t="str">
        <f>"1154335560"</f>
        <v>1154335560</v>
      </c>
      <c r="B2050" t="str">
        <f>"02741179"</f>
        <v>02741179</v>
      </c>
      <c r="C2050" t="s">
        <v>11801</v>
      </c>
      <c r="D2050" t="s">
        <v>11802</v>
      </c>
      <c r="E2050" t="s">
        <v>11803</v>
      </c>
      <c r="G2050" t="s">
        <v>11801</v>
      </c>
      <c r="H2050" t="s">
        <v>437</v>
      </c>
      <c r="J2050" t="s">
        <v>11804</v>
      </c>
      <c r="L2050" t="s">
        <v>112</v>
      </c>
      <c r="M2050" t="s">
        <v>113</v>
      </c>
      <c r="R2050" t="s">
        <v>11803</v>
      </c>
      <c r="W2050" t="s">
        <v>11803</v>
      </c>
      <c r="X2050" t="s">
        <v>1218</v>
      </c>
      <c r="Y2050" t="s">
        <v>318</v>
      </c>
      <c r="Z2050" t="s">
        <v>117</v>
      </c>
      <c r="AA2050" t="str">
        <f>"14225-4985"</f>
        <v>14225-4985</v>
      </c>
      <c r="AB2050" t="s">
        <v>118</v>
      </c>
      <c r="AC2050" t="s">
        <v>119</v>
      </c>
      <c r="AD2050" t="s">
        <v>113</v>
      </c>
      <c r="AE2050" t="s">
        <v>120</v>
      </c>
      <c r="AG2050" t="s">
        <v>121</v>
      </c>
    </row>
    <row r="2051" spans="1:33" x14ac:dyDescent="0.25">
      <c r="A2051" t="str">
        <f>"1154335834"</f>
        <v>1154335834</v>
      </c>
      <c r="B2051" t="str">
        <f>"02341528"</f>
        <v>02341528</v>
      </c>
      <c r="C2051" t="s">
        <v>11805</v>
      </c>
      <c r="D2051" t="s">
        <v>11806</v>
      </c>
      <c r="E2051" t="s">
        <v>11807</v>
      </c>
      <c r="L2051" t="s">
        <v>142</v>
      </c>
      <c r="M2051" t="s">
        <v>113</v>
      </c>
      <c r="R2051" t="s">
        <v>11805</v>
      </c>
      <c r="W2051" t="s">
        <v>11807</v>
      </c>
      <c r="X2051" t="s">
        <v>1766</v>
      </c>
      <c r="Y2051" t="s">
        <v>1767</v>
      </c>
      <c r="Z2051" t="s">
        <v>117</v>
      </c>
      <c r="AA2051" t="str">
        <f>"14779-9625"</f>
        <v>14779-9625</v>
      </c>
      <c r="AB2051" t="s">
        <v>118</v>
      </c>
      <c r="AC2051" t="s">
        <v>119</v>
      </c>
      <c r="AD2051" t="s">
        <v>113</v>
      </c>
      <c r="AE2051" t="s">
        <v>120</v>
      </c>
      <c r="AG2051" t="s">
        <v>121</v>
      </c>
    </row>
    <row r="2052" spans="1:33" x14ac:dyDescent="0.25">
      <c r="A2052" t="str">
        <f>"1154354140"</f>
        <v>1154354140</v>
      </c>
      <c r="B2052" t="str">
        <f>"01746432"</f>
        <v>01746432</v>
      </c>
      <c r="C2052" t="s">
        <v>11808</v>
      </c>
      <c r="D2052" t="s">
        <v>11809</v>
      </c>
      <c r="E2052" t="s">
        <v>11810</v>
      </c>
      <c r="G2052" t="s">
        <v>11811</v>
      </c>
      <c r="H2052" t="s">
        <v>3464</v>
      </c>
      <c r="J2052" t="s">
        <v>11812</v>
      </c>
      <c r="L2052" t="s">
        <v>69</v>
      </c>
      <c r="M2052" t="s">
        <v>113</v>
      </c>
      <c r="R2052" t="s">
        <v>11808</v>
      </c>
      <c r="W2052" t="s">
        <v>11813</v>
      </c>
      <c r="X2052" t="s">
        <v>916</v>
      </c>
      <c r="Y2052" t="s">
        <v>116</v>
      </c>
      <c r="Z2052" t="s">
        <v>117</v>
      </c>
      <c r="AA2052" t="str">
        <f>"14203-1154"</f>
        <v>14203-1154</v>
      </c>
      <c r="AB2052" t="s">
        <v>872</v>
      </c>
      <c r="AC2052" t="s">
        <v>119</v>
      </c>
      <c r="AD2052" t="s">
        <v>113</v>
      </c>
      <c r="AE2052" t="s">
        <v>120</v>
      </c>
      <c r="AG2052" t="s">
        <v>121</v>
      </c>
    </row>
    <row r="2053" spans="1:33" x14ac:dyDescent="0.25">
      <c r="A2053" t="str">
        <f>"1154358901"</f>
        <v>1154358901</v>
      </c>
      <c r="B2053" t="str">
        <f>"01604719"</f>
        <v>01604719</v>
      </c>
      <c r="C2053" t="s">
        <v>11814</v>
      </c>
      <c r="D2053" t="s">
        <v>11815</v>
      </c>
      <c r="E2053" t="s">
        <v>11816</v>
      </c>
      <c r="G2053" t="s">
        <v>11814</v>
      </c>
      <c r="H2053" t="s">
        <v>11471</v>
      </c>
      <c r="J2053" t="s">
        <v>11817</v>
      </c>
      <c r="L2053" t="s">
        <v>150</v>
      </c>
      <c r="M2053" t="s">
        <v>113</v>
      </c>
      <c r="R2053" t="s">
        <v>11818</v>
      </c>
      <c r="W2053" t="s">
        <v>11816</v>
      </c>
      <c r="Y2053" t="s">
        <v>116</v>
      </c>
      <c r="Z2053" t="s">
        <v>117</v>
      </c>
      <c r="AA2053" t="str">
        <f>"14209-2027"</f>
        <v>14209-2027</v>
      </c>
      <c r="AB2053" t="s">
        <v>118</v>
      </c>
      <c r="AC2053" t="s">
        <v>119</v>
      </c>
      <c r="AD2053" t="s">
        <v>113</v>
      </c>
      <c r="AE2053" t="s">
        <v>120</v>
      </c>
      <c r="AG2053" t="s">
        <v>121</v>
      </c>
    </row>
    <row r="2054" spans="1:33" x14ac:dyDescent="0.25">
      <c r="A2054" t="str">
        <f>"1154365559"</f>
        <v>1154365559</v>
      </c>
      <c r="B2054" t="str">
        <f>"01821012"</f>
        <v>01821012</v>
      </c>
      <c r="C2054" t="s">
        <v>11819</v>
      </c>
      <c r="D2054" t="s">
        <v>11820</v>
      </c>
      <c r="E2054" t="s">
        <v>11821</v>
      </c>
      <c r="G2054" t="s">
        <v>11819</v>
      </c>
      <c r="H2054" t="s">
        <v>11822</v>
      </c>
      <c r="J2054" t="s">
        <v>11823</v>
      </c>
      <c r="L2054" t="s">
        <v>150</v>
      </c>
      <c r="M2054" t="s">
        <v>113</v>
      </c>
      <c r="R2054" t="s">
        <v>11824</v>
      </c>
      <c r="W2054" t="s">
        <v>11825</v>
      </c>
      <c r="AB2054" t="s">
        <v>118</v>
      </c>
      <c r="AC2054" t="s">
        <v>119</v>
      </c>
      <c r="AD2054" t="s">
        <v>113</v>
      </c>
      <c r="AE2054" t="s">
        <v>120</v>
      </c>
      <c r="AG2054" t="s">
        <v>121</v>
      </c>
    </row>
    <row r="2055" spans="1:33" x14ac:dyDescent="0.25">
      <c r="A2055" t="str">
        <f>"1154369197"</f>
        <v>1154369197</v>
      </c>
      <c r="B2055" t="str">
        <f>"02628260"</f>
        <v>02628260</v>
      </c>
      <c r="C2055" t="s">
        <v>11826</v>
      </c>
      <c r="D2055" t="s">
        <v>11827</v>
      </c>
      <c r="E2055" t="s">
        <v>11828</v>
      </c>
      <c r="G2055" t="s">
        <v>11826</v>
      </c>
      <c r="H2055" t="s">
        <v>1478</v>
      </c>
      <c r="J2055" t="s">
        <v>11829</v>
      </c>
      <c r="L2055" t="s">
        <v>142</v>
      </c>
      <c r="M2055" t="s">
        <v>113</v>
      </c>
      <c r="R2055" t="s">
        <v>11830</v>
      </c>
      <c r="W2055" t="s">
        <v>11831</v>
      </c>
      <c r="X2055" t="s">
        <v>838</v>
      </c>
      <c r="Y2055" t="s">
        <v>240</v>
      </c>
      <c r="Z2055" t="s">
        <v>117</v>
      </c>
      <c r="AA2055" t="str">
        <f>"14221-3647"</f>
        <v>14221-3647</v>
      </c>
      <c r="AB2055" t="s">
        <v>118</v>
      </c>
      <c r="AC2055" t="s">
        <v>119</v>
      </c>
      <c r="AD2055" t="s">
        <v>113</v>
      </c>
      <c r="AE2055" t="s">
        <v>120</v>
      </c>
      <c r="AG2055" t="s">
        <v>121</v>
      </c>
    </row>
    <row r="2056" spans="1:33" x14ac:dyDescent="0.25">
      <c r="A2056" t="str">
        <f>"1265424899"</f>
        <v>1265424899</v>
      </c>
      <c r="B2056" t="str">
        <f>"03537006"</f>
        <v>03537006</v>
      </c>
      <c r="C2056" t="s">
        <v>11832</v>
      </c>
      <c r="D2056" t="s">
        <v>11833</v>
      </c>
      <c r="E2056" t="s">
        <v>11834</v>
      </c>
      <c r="G2056" t="s">
        <v>11832</v>
      </c>
      <c r="H2056" t="s">
        <v>4300</v>
      </c>
      <c r="J2056" t="s">
        <v>11835</v>
      </c>
      <c r="L2056" t="s">
        <v>150</v>
      </c>
      <c r="M2056" t="s">
        <v>113</v>
      </c>
      <c r="R2056" t="s">
        <v>11836</v>
      </c>
      <c r="W2056" t="s">
        <v>11834</v>
      </c>
      <c r="X2056" t="s">
        <v>216</v>
      </c>
      <c r="Y2056" t="s">
        <v>116</v>
      </c>
      <c r="Z2056" t="s">
        <v>117</v>
      </c>
      <c r="AA2056" t="str">
        <f>"14222-2006"</f>
        <v>14222-2006</v>
      </c>
      <c r="AB2056" t="s">
        <v>118</v>
      </c>
      <c r="AC2056" t="s">
        <v>119</v>
      </c>
      <c r="AD2056" t="s">
        <v>113</v>
      </c>
      <c r="AE2056" t="s">
        <v>120</v>
      </c>
      <c r="AG2056" t="s">
        <v>121</v>
      </c>
    </row>
    <row r="2057" spans="1:33" x14ac:dyDescent="0.25">
      <c r="A2057" t="str">
        <f>"1265431332"</f>
        <v>1265431332</v>
      </c>
      <c r="B2057" t="str">
        <f>"00828313"</f>
        <v>00828313</v>
      </c>
      <c r="C2057" t="s">
        <v>11837</v>
      </c>
      <c r="D2057" t="s">
        <v>11838</v>
      </c>
      <c r="E2057" t="s">
        <v>11839</v>
      </c>
      <c r="H2057" t="s">
        <v>11840</v>
      </c>
      <c r="L2057" t="s">
        <v>112</v>
      </c>
      <c r="M2057" t="s">
        <v>113</v>
      </c>
      <c r="R2057" t="s">
        <v>11841</v>
      </c>
      <c r="W2057" t="s">
        <v>11839</v>
      </c>
      <c r="X2057" t="s">
        <v>11842</v>
      </c>
      <c r="Y2057" t="s">
        <v>305</v>
      </c>
      <c r="Z2057" t="s">
        <v>117</v>
      </c>
      <c r="AA2057" t="str">
        <f>"14760-1938"</f>
        <v>14760-1938</v>
      </c>
      <c r="AB2057" t="s">
        <v>118</v>
      </c>
      <c r="AC2057" t="s">
        <v>119</v>
      </c>
      <c r="AD2057" t="s">
        <v>113</v>
      </c>
      <c r="AE2057" t="s">
        <v>120</v>
      </c>
      <c r="AG2057" t="s">
        <v>121</v>
      </c>
    </row>
    <row r="2058" spans="1:33" x14ac:dyDescent="0.25">
      <c r="A2058" t="str">
        <f>"1184815839"</f>
        <v>1184815839</v>
      </c>
      <c r="B2058" t="str">
        <f>"02911526"</f>
        <v>02911526</v>
      </c>
      <c r="C2058" t="s">
        <v>11843</v>
      </c>
      <c r="D2058" t="s">
        <v>11844</v>
      </c>
      <c r="E2058" t="s">
        <v>11845</v>
      </c>
      <c r="G2058" t="s">
        <v>11843</v>
      </c>
      <c r="H2058" t="s">
        <v>1964</v>
      </c>
      <c r="J2058" t="s">
        <v>11846</v>
      </c>
      <c r="L2058" t="s">
        <v>112</v>
      </c>
      <c r="M2058" t="s">
        <v>113</v>
      </c>
      <c r="R2058" t="s">
        <v>11847</v>
      </c>
      <c r="W2058" t="s">
        <v>11845</v>
      </c>
      <c r="X2058" t="s">
        <v>11848</v>
      </c>
      <c r="Y2058" t="s">
        <v>116</v>
      </c>
      <c r="Z2058" t="s">
        <v>117</v>
      </c>
      <c r="AA2058" t="str">
        <f>"14267-0001"</f>
        <v>14267-0001</v>
      </c>
      <c r="AB2058" t="s">
        <v>118</v>
      </c>
      <c r="AC2058" t="s">
        <v>119</v>
      </c>
      <c r="AD2058" t="s">
        <v>113</v>
      </c>
      <c r="AE2058" t="s">
        <v>120</v>
      </c>
      <c r="AG2058" t="s">
        <v>121</v>
      </c>
    </row>
    <row r="2059" spans="1:33" x14ac:dyDescent="0.25">
      <c r="A2059" t="str">
        <f>"1184824047"</f>
        <v>1184824047</v>
      </c>
      <c r="C2059" t="s">
        <v>11849</v>
      </c>
      <c r="G2059" t="s">
        <v>11850</v>
      </c>
      <c r="H2059" t="s">
        <v>11851</v>
      </c>
      <c r="J2059" t="s">
        <v>11852</v>
      </c>
      <c r="K2059" t="s">
        <v>303</v>
      </c>
      <c r="L2059" t="s">
        <v>112</v>
      </c>
      <c r="M2059" t="s">
        <v>113</v>
      </c>
      <c r="R2059" t="s">
        <v>11853</v>
      </c>
      <c r="S2059" t="s">
        <v>11854</v>
      </c>
      <c r="T2059" t="s">
        <v>116</v>
      </c>
      <c r="U2059" t="s">
        <v>117</v>
      </c>
      <c r="V2059" t="str">
        <f>"142221164"</f>
        <v>142221164</v>
      </c>
      <c r="AC2059" t="s">
        <v>119</v>
      </c>
      <c r="AD2059" t="s">
        <v>113</v>
      </c>
      <c r="AE2059" t="s">
        <v>306</v>
      </c>
      <c r="AG2059" t="s">
        <v>121</v>
      </c>
    </row>
    <row r="2060" spans="1:33" x14ac:dyDescent="0.25">
      <c r="A2060" t="str">
        <f>"1184833964"</f>
        <v>1184833964</v>
      </c>
      <c r="B2060" t="str">
        <f>"02904630"</f>
        <v>02904630</v>
      </c>
      <c r="C2060" t="s">
        <v>11855</v>
      </c>
      <c r="D2060" t="s">
        <v>11856</v>
      </c>
      <c r="E2060" t="s">
        <v>11857</v>
      </c>
      <c r="G2060" t="s">
        <v>11855</v>
      </c>
      <c r="H2060" t="s">
        <v>11858</v>
      </c>
      <c r="J2060" t="s">
        <v>11859</v>
      </c>
      <c r="L2060" t="s">
        <v>112</v>
      </c>
      <c r="M2060" t="s">
        <v>113</v>
      </c>
      <c r="R2060" t="s">
        <v>11860</v>
      </c>
      <c r="W2060" t="s">
        <v>11861</v>
      </c>
      <c r="X2060" t="s">
        <v>176</v>
      </c>
      <c r="Y2060" t="s">
        <v>116</v>
      </c>
      <c r="Z2060" t="s">
        <v>117</v>
      </c>
      <c r="AA2060" t="str">
        <f>"14203-1126"</f>
        <v>14203-1126</v>
      </c>
      <c r="AB2060" t="s">
        <v>118</v>
      </c>
      <c r="AC2060" t="s">
        <v>119</v>
      </c>
      <c r="AD2060" t="s">
        <v>113</v>
      </c>
      <c r="AE2060" t="s">
        <v>120</v>
      </c>
      <c r="AG2060" t="s">
        <v>121</v>
      </c>
    </row>
    <row r="2061" spans="1:33" x14ac:dyDescent="0.25">
      <c r="A2061" t="str">
        <f>"1184858458"</f>
        <v>1184858458</v>
      </c>
      <c r="B2061" t="str">
        <f>"03590310"</f>
        <v>03590310</v>
      </c>
      <c r="C2061" t="s">
        <v>11862</v>
      </c>
      <c r="D2061" t="s">
        <v>11863</v>
      </c>
      <c r="E2061" t="s">
        <v>11864</v>
      </c>
      <c r="G2061" t="s">
        <v>11862</v>
      </c>
      <c r="H2061" t="s">
        <v>11865</v>
      </c>
      <c r="J2061" t="s">
        <v>11866</v>
      </c>
      <c r="L2061" t="s">
        <v>112</v>
      </c>
      <c r="M2061" t="s">
        <v>113</v>
      </c>
      <c r="R2061" t="s">
        <v>11867</v>
      </c>
      <c r="W2061" t="s">
        <v>11864</v>
      </c>
      <c r="X2061" t="s">
        <v>11868</v>
      </c>
      <c r="Y2061" t="s">
        <v>958</v>
      </c>
      <c r="Z2061" t="s">
        <v>117</v>
      </c>
      <c r="AA2061" t="str">
        <f>"14226-1206"</f>
        <v>14226-1206</v>
      </c>
      <c r="AB2061" t="s">
        <v>118</v>
      </c>
      <c r="AC2061" t="s">
        <v>119</v>
      </c>
      <c r="AD2061" t="s">
        <v>113</v>
      </c>
      <c r="AE2061" t="s">
        <v>120</v>
      </c>
      <c r="AG2061" t="s">
        <v>121</v>
      </c>
    </row>
    <row r="2062" spans="1:33" x14ac:dyDescent="0.25">
      <c r="A2062" t="str">
        <f>"1184858789"</f>
        <v>1184858789</v>
      </c>
      <c r="B2062" t="str">
        <f>"03884273"</f>
        <v>03884273</v>
      </c>
      <c r="C2062" t="s">
        <v>11869</v>
      </c>
      <c r="D2062" t="s">
        <v>11870</v>
      </c>
      <c r="E2062" t="s">
        <v>11871</v>
      </c>
      <c r="G2062" t="s">
        <v>11872</v>
      </c>
      <c r="J2062" t="s">
        <v>11873</v>
      </c>
      <c r="L2062" t="s">
        <v>112</v>
      </c>
      <c r="M2062" t="s">
        <v>113</v>
      </c>
      <c r="R2062" t="s">
        <v>11874</v>
      </c>
      <c r="W2062" t="s">
        <v>11871</v>
      </c>
      <c r="X2062" t="s">
        <v>176</v>
      </c>
      <c r="Y2062" t="s">
        <v>116</v>
      </c>
      <c r="Z2062" t="s">
        <v>117</v>
      </c>
      <c r="AA2062" t="str">
        <f>"14203-1126"</f>
        <v>14203-1126</v>
      </c>
      <c r="AB2062" t="s">
        <v>118</v>
      </c>
      <c r="AC2062" t="s">
        <v>119</v>
      </c>
      <c r="AD2062" t="s">
        <v>113</v>
      </c>
      <c r="AE2062" t="s">
        <v>120</v>
      </c>
      <c r="AG2062" t="s">
        <v>121</v>
      </c>
    </row>
    <row r="2063" spans="1:33" x14ac:dyDescent="0.25">
      <c r="A2063" t="str">
        <f>"1184864738"</f>
        <v>1184864738</v>
      </c>
      <c r="B2063" t="str">
        <f>"03218540"</f>
        <v>03218540</v>
      </c>
      <c r="C2063" t="s">
        <v>11875</v>
      </c>
      <c r="D2063" t="s">
        <v>11876</v>
      </c>
      <c r="E2063" t="s">
        <v>11877</v>
      </c>
      <c r="G2063" t="s">
        <v>11878</v>
      </c>
      <c r="H2063" t="s">
        <v>11879</v>
      </c>
      <c r="J2063" t="s">
        <v>11880</v>
      </c>
      <c r="L2063" t="s">
        <v>142</v>
      </c>
      <c r="M2063" t="s">
        <v>113</v>
      </c>
      <c r="R2063" t="s">
        <v>11881</v>
      </c>
      <c r="W2063" t="s">
        <v>11877</v>
      </c>
      <c r="X2063" t="s">
        <v>216</v>
      </c>
      <c r="Y2063" t="s">
        <v>116</v>
      </c>
      <c r="Z2063" t="s">
        <v>117</v>
      </c>
      <c r="AA2063" t="str">
        <f>"14222-2006"</f>
        <v>14222-2006</v>
      </c>
      <c r="AB2063" t="s">
        <v>118</v>
      </c>
      <c r="AC2063" t="s">
        <v>119</v>
      </c>
      <c r="AD2063" t="s">
        <v>113</v>
      </c>
      <c r="AE2063" t="s">
        <v>120</v>
      </c>
      <c r="AG2063" t="s">
        <v>121</v>
      </c>
    </row>
    <row r="2064" spans="1:33" x14ac:dyDescent="0.25">
      <c r="A2064" t="str">
        <f>"1184886004"</f>
        <v>1184886004</v>
      </c>
      <c r="B2064" t="str">
        <f>"02597102"</f>
        <v>02597102</v>
      </c>
      <c r="C2064" t="s">
        <v>11882</v>
      </c>
      <c r="D2064" t="s">
        <v>11883</v>
      </c>
      <c r="E2064" t="s">
        <v>11884</v>
      </c>
      <c r="G2064" t="s">
        <v>11885</v>
      </c>
      <c r="H2064" t="s">
        <v>11886</v>
      </c>
      <c r="J2064" t="s">
        <v>1387</v>
      </c>
      <c r="L2064" t="s">
        <v>112</v>
      </c>
      <c r="M2064" t="s">
        <v>113</v>
      </c>
      <c r="R2064" t="s">
        <v>11887</v>
      </c>
      <c r="W2064" t="s">
        <v>11884</v>
      </c>
      <c r="X2064" t="s">
        <v>4771</v>
      </c>
      <c r="Y2064" t="s">
        <v>2762</v>
      </c>
      <c r="Z2064" t="s">
        <v>117</v>
      </c>
      <c r="AA2064" t="str">
        <f>"14621-3001"</f>
        <v>14621-3001</v>
      </c>
      <c r="AB2064" t="s">
        <v>118</v>
      </c>
      <c r="AC2064" t="s">
        <v>119</v>
      </c>
      <c r="AD2064" t="s">
        <v>113</v>
      </c>
      <c r="AE2064" t="s">
        <v>120</v>
      </c>
      <c r="AG2064" t="s">
        <v>121</v>
      </c>
    </row>
    <row r="2065" spans="1:33" x14ac:dyDescent="0.25">
      <c r="A2065" t="str">
        <f>"1538180286"</f>
        <v>1538180286</v>
      </c>
      <c r="B2065" t="str">
        <f>"00356038"</f>
        <v>00356038</v>
      </c>
      <c r="C2065" t="s">
        <v>23962</v>
      </c>
      <c r="D2065" t="s">
        <v>23963</v>
      </c>
      <c r="E2065" t="s">
        <v>23964</v>
      </c>
      <c r="G2065" t="s">
        <v>23950</v>
      </c>
      <c r="H2065" t="s">
        <v>23951</v>
      </c>
      <c r="J2065" t="s">
        <v>23952</v>
      </c>
      <c r="L2065" t="s">
        <v>280</v>
      </c>
      <c r="M2065" t="s">
        <v>199</v>
      </c>
      <c r="R2065" t="s">
        <v>23962</v>
      </c>
      <c r="W2065" t="s">
        <v>23947</v>
      </c>
      <c r="X2065" t="s">
        <v>23953</v>
      </c>
      <c r="Y2065" t="s">
        <v>192</v>
      </c>
      <c r="Z2065" t="s">
        <v>117</v>
      </c>
      <c r="AA2065" t="str">
        <f>"14020-1616"</f>
        <v>14020-1616</v>
      </c>
      <c r="AB2065" t="s">
        <v>282</v>
      </c>
      <c r="AC2065" t="s">
        <v>119</v>
      </c>
      <c r="AD2065" t="s">
        <v>113</v>
      </c>
      <c r="AE2065" t="s">
        <v>120</v>
      </c>
      <c r="AG2065" t="s">
        <v>121</v>
      </c>
    </row>
    <row r="2066" spans="1:33" x14ac:dyDescent="0.25">
      <c r="A2066" t="str">
        <f>"1184903379"</f>
        <v>1184903379</v>
      </c>
      <c r="B2066" t="str">
        <f>"03378489"</f>
        <v>03378489</v>
      </c>
      <c r="C2066" t="s">
        <v>11888</v>
      </c>
      <c r="D2066" t="s">
        <v>11889</v>
      </c>
      <c r="E2066" t="s">
        <v>11890</v>
      </c>
      <c r="G2066" t="s">
        <v>11891</v>
      </c>
      <c r="H2066" t="s">
        <v>707</v>
      </c>
      <c r="J2066" t="s">
        <v>11892</v>
      </c>
      <c r="L2066" t="s">
        <v>112</v>
      </c>
      <c r="M2066" t="s">
        <v>113</v>
      </c>
      <c r="R2066" t="s">
        <v>11893</v>
      </c>
      <c r="W2066" t="s">
        <v>11894</v>
      </c>
      <c r="X2066" t="s">
        <v>709</v>
      </c>
      <c r="Y2066" t="s">
        <v>116</v>
      </c>
      <c r="Z2066" t="s">
        <v>117</v>
      </c>
      <c r="AA2066" t="str">
        <f>"14263-0001"</f>
        <v>14263-0001</v>
      </c>
      <c r="AB2066" t="s">
        <v>118</v>
      </c>
      <c r="AC2066" t="s">
        <v>119</v>
      </c>
      <c r="AD2066" t="s">
        <v>113</v>
      </c>
      <c r="AE2066" t="s">
        <v>120</v>
      </c>
      <c r="AG2066" t="s">
        <v>121</v>
      </c>
    </row>
    <row r="2067" spans="1:33" x14ac:dyDescent="0.25">
      <c r="A2067" t="str">
        <f>"1164463279"</f>
        <v>1164463279</v>
      </c>
      <c r="B2067" t="str">
        <f>"01637549"</f>
        <v>01637549</v>
      </c>
      <c r="C2067" t="s">
        <v>11895</v>
      </c>
      <c r="D2067" t="s">
        <v>11896</v>
      </c>
      <c r="E2067" t="s">
        <v>11897</v>
      </c>
      <c r="G2067" t="s">
        <v>11895</v>
      </c>
      <c r="H2067" t="s">
        <v>1478</v>
      </c>
      <c r="J2067" t="s">
        <v>11898</v>
      </c>
      <c r="L2067" t="s">
        <v>142</v>
      </c>
      <c r="M2067" t="s">
        <v>113</v>
      </c>
      <c r="R2067" t="s">
        <v>11899</v>
      </c>
      <c r="W2067" t="s">
        <v>11900</v>
      </c>
      <c r="X2067" t="s">
        <v>11901</v>
      </c>
      <c r="Y2067" t="s">
        <v>663</v>
      </c>
      <c r="Z2067" t="s">
        <v>117</v>
      </c>
      <c r="AA2067" t="str">
        <f>"14094-3299"</f>
        <v>14094-3299</v>
      </c>
      <c r="AB2067" t="s">
        <v>118</v>
      </c>
      <c r="AC2067" t="s">
        <v>119</v>
      </c>
      <c r="AD2067" t="s">
        <v>113</v>
      </c>
      <c r="AE2067" t="s">
        <v>120</v>
      </c>
      <c r="AG2067" t="s">
        <v>121</v>
      </c>
    </row>
    <row r="2068" spans="1:33" x14ac:dyDescent="0.25">
      <c r="A2068" t="str">
        <f>"1164464038"</f>
        <v>1164464038</v>
      </c>
      <c r="B2068" t="str">
        <f>"02209685"</f>
        <v>02209685</v>
      </c>
      <c r="C2068" t="s">
        <v>11902</v>
      </c>
      <c r="D2068" t="s">
        <v>11903</v>
      </c>
      <c r="E2068" t="s">
        <v>11904</v>
      </c>
      <c r="G2068" t="s">
        <v>11905</v>
      </c>
      <c r="H2068" t="s">
        <v>11906</v>
      </c>
      <c r="J2068" t="s">
        <v>11907</v>
      </c>
      <c r="L2068" t="s">
        <v>229</v>
      </c>
      <c r="M2068" t="s">
        <v>113</v>
      </c>
      <c r="R2068" t="s">
        <v>11908</v>
      </c>
      <c r="W2068" t="s">
        <v>11909</v>
      </c>
      <c r="X2068" t="s">
        <v>11910</v>
      </c>
      <c r="Y2068" t="s">
        <v>1562</v>
      </c>
      <c r="Z2068" t="s">
        <v>117</v>
      </c>
      <c r="AA2068" t="str">
        <f>"14047-9306"</f>
        <v>14047-9306</v>
      </c>
      <c r="AB2068" t="s">
        <v>118</v>
      </c>
      <c r="AC2068" t="s">
        <v>119</v>
      </c>
      <c r="AD2068" t="s">
        <v>113</v>
      </c>
      <c r="AE2068" t="s">
        <v>120</v>
      </c>
      <c r="AG2068" t="s">
        <v>121</v>
      </c>
    </row>
    <row r="2069" spans="1:33" x14ac:dyDescent="0.25">
      <c r="A2069" t="str">
        <f>"1275509960"</f>
        <v>1275509960</v>
      </c>
      <c r="B2069" t="str">
        <f>"02564001"</f>
        <v>02564001</v>
      </c>
      <c r="C2069" t="s">
        <v>11911</v>
      </c>
      <c r="D2069" t="s">
        <v>11912</v>
      </c>
      <c r="E2069" t="s">
        <v>11913</v>
      </c>
      <c r="G2069" t="s">
        <v>11911</v>
      </c>
      <c r="H2069" t="s">
        <v>630</v>
      </c>
      <c r="J2069" t="s">
        <v>11914</v>
      </c>
      <c r="L2069" t="s">
        <v>142</v>
      </c>
      <c r="M2069" t="s">
        <v>113</v>
      </c>
      <c r="R2069" t="s">
        <v>11915</v>
      </c>
      <c r="W2069" t="s">
        <v>11913</v>
      </c>
      <c r="X2069" t="s">
        <v>11916</v>
      </c>
      <c r="Y2069" t="s">
        <v>116</v>
      </c>
      <c r="Z2069" t="s">
        <v>117</v>
      </c>
      <c r="AA2069" t="str">
        <f>"14215-3021"</f>
        <v>14215-3021</v>
      </c>
      <c r="AB2069" t="s">
        <v>118</v>
      </c>
      <c r="AC2069" t="s">
        <v>119</v>
      </c>
      <c r="AD2069" t="s">
        <v>113</v>
      </c>
      <c r="AE2069" t="s">
        <v>120</v>
      </c>
      <c r="AG2069" t="s">
        <v>121</v>
      </c>
    </row>
    <row r="2070" spans="1:33" x14ac:dyDescent="0.25">
      <c r="A2070" t="str">
        <f>"1275515611"</f>
        <v>1275515611</v>
      </c>
      <c r="B2070" t="str">
        <f>"03255630"</f>
        <v>03255630</v>
      </c>
      <c r="C2070" t="s">
        <v>11917</v>
      </c>
      <c r="D2070" t="s">
        <v>11918</v>
      </c>
      <c r="E2070" t="s">
        <v>11919</v>
      </c>
      <c r="G2070" t="s">
        <v>11917</v>
      </c>
      <c r="H2070" t="s">
        <v>227</v>
      </c>
      <c r="J2070" t="s">
        <v>11920</v>
      </c>
      <c r="L2070" t="s">
        <v>142</v>
      </c>
      <c r="M2070" t="s">
        <v>113</v>
      </c>
      <c r="R2070" t="s">
        <v>11921</v>
      </c>
      <c r="W2070" t="s">
        <v>11919</v>
      </c>
      <c r="X2070" t="s">
        <v>2689</v>
      </c>
      <c r="Y2070" t="s">
        <v>2690</v>
      </c>
      <c r="Z2070" t="s">
        <v>117</v>
      </c>
      <c r="AA2070" t="str">
        <f>"10451"</f>
        <v>10451</v>
      </c>
      <c r="AB2070" t="s">
        <v>118</v>
      </c>
      <c r="AC2070" t="s">
        <v>119</v>
      </c>
      <c r="AD2070" t="s">
        <v>113</v>
      </c>
      <c r="AE2070" t="s">
        <v>120</v>
      </c>
      <c r="AG2070" t="s">
        <v>121</v>
      </c>
    </row>
    <row r="2071" spans="1:33" x14ac:dyDescent="0.25">
      <c r="A2071" t="str">
        <f>"1275523482"</f>
        <v>1275523482</v>
      </c>
      <c r="B2071" t="str">
        <f>"01277590"</f>
        <v>01277590</v>
      </c>
      <c r="C2071" t="s">
        <v>11922</v>
      </c>
      <c r="D2071" t="s">
        <v>11923</v>
      </c>
      <c r="E2071" t="s">
        <v>11924</v>
      </c>
      <c r="G2071" t="s">
        <v>11925</v>
      </c>
      <c r="H2071" t="s">
        <v>11926</v>
      </c>
      <c r="J2071" t="s">
        <v>302</v>
      </c>
      <c r="L2071" t="s">
        <v>2697</v>
      </c>
      <c r="M2071" t="s">
        <v>113</v>
      </c>
      <c r="R2071" t="s">
        <v>11922</v>
      </c>
      <c r="W2071" t="s">
        <v>11924</v>
      </c>
      <c r="X2071" t="s">
        <v>11927</v>
      </c>
      <c r="Y2071" t="s">
        <v>305</v>
      </c>
      <c r="Z2071" t="s">
        <v>117</v>
      </c>
      <c r="AA2071" t="str">
        <f>"14760-2135"</f>
        <v>14760-2135</v>
      </c>
      <c r="AB2071" t="s">
        <v>1146</v>
      </c>
      <c r="AC2071" t="s">
        <v>119</v>
      </c>
      <c r="AD2071" t="s">
        <v>113</v>
      </c>
      <c r="AE2071" t="s">
        <v>120</v>
      </c>
      <c r="AG2071" t="s">
        <v>121</v>
      </c>
    </row>
    <row r="2072" spans="1:33" x14ac:dyDescent="0.25">
      <c r="A2072" t="str">
        <f>"1295723278"</f>
        <v>1295723278</v>
      </c>
      <c r="B2072" t="str">
        <f>"01132916"</f>
        <v>01132916</v>
      </c>
      <c r="C2072" t="s">
        <v>11928</v>
      </c>
      <c r="D2072" t="s">
        <v>11929</v>
      </c>
      <c r="E2072" t="s">
        <v>11930</v>
      </c>
      <c r="G2072" t="s">
        <v>11928</v>
      </c>
      <c r="H2072" t="s">
        <v>11931</v>
      </c>
      <c r="J2072" t="s">
        <v>11932</v>
      </c>
      <c r="L2072" t="s">
        <v>112</v>
      </c>
      <c r="M2072" t="s">
        <v>113</v>
      </c>
      <c r="R2072" t="s">
        <v>11933</v>
      </c>
      <c r="W2072" t="s">
        <v>11930</v>
      </c>
      <c r="X2072" t="s">
        <v>11934</v>
      </c>
      <c r="Y2072" t="s">
        <v>116</v>
      </c>
      <c r="Z2072" t="s">
        <v>117</v>
      </c>
      <c r="AA2072" t="str">
        <f>"14209-1652"</f>
        <v>14209-1652</v>
      </c>
      <c r="AB2072" t="s">
        <v>634</v>
      </c>
      <c r="AC2072" t="s">
        <v>119</v>
      </c>
      <c r="AD2072" t="s">
        <v>113</v>
      </c>
      <c r="AE2072" t="s">
        <v>120</v>
      </c>
      <c r="AG2072" t="s">
        <v>121</v>
      </c>
    </row>
    <row r="2073" spans="1:33" x14ac:dyDescent="0.25">
      <c r="A2073" t="str">
        <f>"1295726958"</f>
        <v>1295726958</v>
      </c>
      <c r="B2073" t="str">
        <f>"02148552"</f>
        <v>02148552</v>
      </c>
      <c r="C2073" t="s">
        <v>11935</v>
      </c>
      <c r="D2073" t="s">
        <v>11936</v>
      </c>
      <c r="E2073" t="s">
        <v>11937</v>
      </c>
      <c r="G2073" t="s">
        <v>11938</v>
      </c>
      <c r="H2073" t="s">
        <v>707</v>
      </c>
      <c r="J2073" t="s">
        <v>11939</v>
      </c>
      <c r="L2073" t="s">
        <v>142</v>
      </c>
      <c r="M2073" t="s">
        <v>113</v>
      </c>
      <c r="R2073" t="s">
        <v>11940</v>
      </c>
      <c r="W2073" t="s">
        <v>11937</v>
      </c>
      <c r="X2073" t="s">
        <v>11941</v>
      </c>
      <c r="Y2073" t="s">
        <v>116</v>
      </c>
      <c r="Z2073" t="s">
        <v>117</v>
      </c>
      <c r="AA2073" t="str">
        <f>"14263-0001"</f>
        <v>14263-0001</v>
      </c>
      <c r="AB2073" t="s">
        <v>118</v>
      </c>
      <c r="AC2073" t="s">
        <v>119</v>
      </c>
      <c r="AD2073" t="s">
        <v>113</v>
      </c>
      <c r="AE2073" t="s">
        <v>120</v>
      </c>
      <c r="AG2073" t="s">
        <v>121</v>
      </c>
    </row>
    <row r="2074" spans="1:33" x14ac:dyDescent="0.25">
      <c r="A2074" t="str">
        <f>"1295741312"</f>
        <v>1295741312</v>
      </c>
      <c r="B2074" t="str">
        <f>"01092891"</f>
        <v>01092891</v>
      </c>
      <c r="C2074" t="s">
        <v>11942</v>
      </c>
      <c r="D2074" t="s">
        <v>11943</v>
      </c>
      <c r="E2074" t="s">
        <v>11944</v>
      </c>
      <c r="G2074" t="s">
        <v>11945</v>
      </c>
      <c r="H2074" t="s">
        <v>937</v>
      </c>
      <c r="J2074" t="s">
        <v>11946</v>
      </c>
      <c r="L2074" t="s">
        <v>142</v>
      </c>
      <c r="M2074" t="s">
        <v>113</v>
      </c>
      <c r="R2074" t="s">
        <v>11947</v>
      </c>
      <c r="W2074" t="s">
        <v>11944</v>
      </c>
      <c r="X2074" t="s">
        <v>11948</v>
      </c>
      <c r="Y2074" t="s">
        <v>116</v>
      </c>
      <c r="Z2074" t="s">
        <v>117</v>
      </c>
      <c r="AA2074" t="str">
        <f>"14209-1120"</f>
        <v>14209-1120</v>
      </c>
      <c r="AB2074" t="s">
        <v>118</v>
      </c>
      <c r="AC2074" t="s">
        <v>119</v>
      </c>
      <c r="AD2074" t="s">
        <v>113</v>
      </c>
      <c r="AE2074" t="s">
        <v>120</v>
      </c>
      <c r="AG2074" t="s">
        <v>121</v>
      </c>
    </row>
    <row r="2075" spans="1:33" x14ac:dyDescent="0.25">
      <c r="A2075" t="str">
        <f>"1053752626"</f>
        <v>1053752626</v>
      </c>
      <c r="B2075" t="str">
        <f>"03685687"</f>
        <v>03685687</v>
      </c>
      <c r="C2075" t="s">
        <v>11949</v>
      </c>
      <c r="D2075" t="s">
        <v>11950</v>
      </c>
      <c r="E2075" t="s">
        <v>11951</v>
      </c>
      <c r="G2075" t="s">
        <v>11952</v>
      </c>
      <c r="H2075" t="s">
        <v>11953</v>
      </c>
      <c r="J2075" t="s">
        <v>11954</v>
      </c>
      <c r="L2075" t="s">
        <v>112</v>
      </c>
      <c r="M2075" t="s">
        <v>113</v>
      </c>
      <c r="R2075" t="s">
        <v>11955</v>
      </c>
      <c r="W2075" t="s">
        <v>11951</v>
      </c>
      <c r="X2075" t="s">
        <v>740</v>
      </c>
      <c r="Y2075" t="s">
        <v>116</v>
      </c>
      <c r="Z2075" t="s">
        <v>117</v>
      </c>
      <c r="AA2075" t="str">
        <f>"14202-1804"</f>
        <v>14202-1804</v>
      </c>
      <c r="AB2075" t="s">
        <v>118</v>
      </c>
      <c r="AC2075" t="s">
        <v>119</v>
      </c>
      <c r="AD2075" t="s">
        <v>113</v>
      </c>
      <c r="AE2075" t="s">
        <v>120</v>
      </c>
      <c r="AG2075" t="s">
        <v>121</v>
      </c>
    </row>
    <row r="2076" spans="1:33" x14ac:dyDescent="0.25">
      <c r="A2076" t="str">
        <f>"1700825262"</f>
        <v>1700825262</v>
      </c>
      <c r="B2076" t="str">
        <f>"03001787"</f>
        <v>03001787</v>
      </c>
      <c r="C2076" t="s">
        <v>1516</v>
      </c>
      <c r="D2076" t="s">
        <v>1517</v>
      </c>
      <c r="E2076" t="s">
        <v>1518</v>
      </c>
      <c r="H2076" t="s">
        <v>1519</v>
      </c>
      <c r="L2076" t="s">
        <v>1520</v>
      </c>
      <c r="M2076" t="s">
        <v>199</v>
      </c>
      <c r="R2076" t="s">
        <v>1516</v>
      </c>
      <c r="W2076" t="s">
        <v>1518</v>
      </c>
      <c r="X2076" t="s">
        <v>1098</v>
      </c>
      <c r="Y2076" t="s">
        <v>305</v>
      </c>
      <c r="Z2076" t="s">
        <v>117</v>
      </c>
      <c r="AA2076" t="str">
        <f>"14760-1513"</f>
        <v>14760-1513</v>
      </c>
      <c r="AB2076" t="s">
        <v>979</v>
      </c>
      <c r="AC2076" t="s">
        <v>119</v>
      </c>
      <c r="AD2076" t="s">
        <v>113</v>
      </c>
      <c r="AE2076" t="s">
        <v>120</v>
      </c>
      <c r="AG2076" t="s">
        <v>121</v>
      </c>
    </row>
    <row r="2077" spans="1:33" x14ac:dyDescent="0.25">
      <c r="A2077" t="str">
        <f>"1063410066"</f>
        <v>1063410066</v>
      </c>
      <c r="B2077" t="str">
        <f>"01543333"</f>
        <v>01543333</v>
      </c>
      <c r="C2077" t="s">
        <v>11963</v>
      </c>
      <c r="D2077" t="s">
        <v>11964</v>
      </c>
      <c r="E2077" t="s">
        <v>11965</v>
      </c>
      <c r="G2077" t="s">
        <v>1203</v>
      </c>
      <c r="H2077" t="s">
        <v>1204</v>
      </c>
      <c r="J2077" t="s">
        <v>1205</v>
      </c>
      <c r="L2077" t="s">
        <v>150</v>
      </c>
      <c r="M2077" t="s">
        <v>113</v>
      </c>
      <c r="R2077" t="s">
        <v>11966</v>
      </c>
      <c r="W2077" t="s">
        <v>11965</v>
      </c>
      <c r="X2077" t="s">
        <v>11732</v>
      </c>
      <c r="Y2077" t="s">
        <v>153</v>
      </c>
      <c r="Z2077" t="s">
        <v>117</v>
      </c>
      <c r="AA2077" t="str">
        <f>"14304-3081"</f>
        <v>14304-3081</v>
      </c>
      <c r="AB2077" t="s">
        <v>118</v>
      </c>
      <c r="AC2077" t="s">
        <v>119</v>
      </c>
      <c r="AD2077" t="s">
        <v>113</v>
      </c>
      <c r="AE2077" t="s">
        <v>120</v>
      </c>
      <c r="AG2077" t="s">
        <v>121</v>
      </c>
    </row>
    <row r="2078" spans="1:33" x14ac:dyDescent="0.25">
      <c r="A2078" t="str">
        <f>"1063410108"</f>
        <v>1063410108</v>
      </c>
      <c r="B2078" t="str">
        <f>"00826137"</f>
        <v>00826137</v>
      </c>
      <c r="C2078" t="s">
        <v>11967</v>
      </c>
      <c r="D2078" t="s">
        <v>11968</v>
      </c>
      <c r="E2078" t="s">
        <v>11969</v>
      </c>
      <c r="G2078" t="s">
        <v>1203</v>
      </c>
      <c r="H2078" t="s">
        <v>1204</v>
      </c>
      <c r="J2078" t="s">
        <v>1205</v>
      </c>
      <c r="L2078" t="s">
        <v>150</v>
      </c>
      <c r="M2078" t="s">
        <v>113</v>
      </c>
      <c r="R2078" t="s">
        <v>11970</v>
      </c>
      <c r="W2078" t="s">
        <v>11969</v>
      </c>
      <c r="X2078" t="s">
        <v>10633</v>
      </c>
      <c r="Y2078" t="s">
        <v>153</v>
      </c>
      <c r="Z2078" t="s">
        <v>117</v>
      </c>
      <c r="AA2078" t="str">
        <f>"14304-5705"</f>
        <v>14304-5705</v>
      </c>
      <c r="AB2078" t="s">
        <v>118</v>
      </c>
      <c r="AC2078" t="s">
        <v>119</v>
      </c>
      <c r="AD2078" t="s">
        <v>113</v>
      </c>
      <c r="AE2078" t="s">
        <v>120</v>
      </c>
      <c r="AG2078" t="s">
        <v>121</v>
      </c>
    </row>
    <row r="2079" spans="1:33" x14ac:dyDescent="0.25">
      <c r="A2079" t="str">
        <f>"1063412963"</f>
        <v>1063412963</v>
      </c>
      <c r="B2079" t="str">
        <f>"02063129"</f>
        <v>02063129</v>
      </c>
      <c r="C2079" t="s">
        <v>11971</v>
      </c>
      <c r="D2079" t="s">
        <v>11972</v>
      </c>
      <c r="E2079" t="s">
        <v>11973</v>
      </c>
      <c r="G2079" t="s">
        <v>1816</v>
      </c>
      <c r="H2079" t="s">
        <v>11974</v>
      </c>
      <c r="J2079" t="s">
        <v>1818</v>
      </c>
      <c r="L2079" t="s">
        <v>142</v>
      </c>
      <c r="M2079" t="s">
        <v>113</v>
      </c>
      <c r="R2079" t="s">
        <v>11975</v>
      </c>
      <c r="W2079" t="s">
        <v>11976</v>
      </c>
      <c r="X2079" t="s">
        <v>11977</v>
      </c>
      <c r="Y2079" t="s">
        <v>305</v>
      </c>
      <c r="Z2079" t="s">
        <v>117</v>
      </c>
      <c r="AA2079" t="str">
        <f>"14760-1840"</f>
        <v>14760-1840</v>
      </c>
      <c r="AB2079" t="s">
        <v>118</v>
      </c>
      <c r="AC2079" t="s">
        <v>119</v>
      </c>
      <c r="AD2079" t="s">
        <v>113</v>
      </c>
      <c r="AE2079" t="s">
        <v>120</v>
      </c>
      <c r="AG2079" t="s">
        <v>121</v>
      </c>
    </row>
    <row r="2080" spans="1:33" x14ac:dyDescent="0.25">
      <c r="A2080" t="str">
        <f>"1063422020"</f>
        <v>1063422020</v>
      </c>
      <c r="B2080" t="str">
        <f>"01446464"</f>
        <v>01446464</v>
      </c>
      <c r="C2080" t="s">
        <v>11978</v>
      </c>
      <c r="D2080" t="s">
        <v>11979</v>
      </c>
      <c r="E2080" t="s">
        <v>11980</v>
      </c>
      <c r="G2080" t="s">
        <v>11978</v>
      </c>
      <c r="H2080" t="s">
        <v>532</v>
      </c>
      <c r="J2080" t="s">
        <v>11981</v>
      </c>
      <c r="L2080" t="s">
        <v>112</v>
      </c>
      <c r="M2080" t="s">
        <v>113</v>
      </c>
      <c r="R2080" t="s">
        <v>11982</v>
      </c>
      <c r="W2080" t="s">
        <v>11980</v>
      </c>
      <c r="Y2080" t="s">
        <v>116</v>
      </c>
      <c r="Z2080" t="s">
        <v>117</v>
      </c>
      <c r="AA2080" t="str">
        <f>"14215-3021"</f>
        <v>14215-3021</v>
      </c>
      <c r="AB2080" t="s">
        <v>118</v>
      </c>
      <c r="AC2080" t="s">
        <v>119</v>
      </c>
      <c r="AD2080" t="s">
        <v>113</v>
      </c>
      <c r="AE2080" t="s">
        <v>120</v>
      </c>
      <c r="AG2080" t="s">
        <v>121</v>
      </c>
    </row>
    <row r="2081" spans="1:33" x14ac:dyDescent="0.25">
      <c r="A2081" t="str">
        <f>"1063427656"</f>
        <v>1063427656</v>
      </c>
      <c r="B2081" t="str">
        <f>"02728921"</f>
        <v>02728921</v>
      </c>
      <c r="C2081" t="s">
        <v>11983</v>
      </c>
      <c r="D2081" t="s">
        <v>11984</v>
      </c>
      <c r="E2081" t="s">
        <v>11983</v>
      </c>
      <c r="G2081" t="s">
        <v>11985</v>
      </c>
      <c r="H2081" t="s">
        <v>11986</v>
      </c>
      <c r="J2081" t="s">
        <v>11987</v>
      </c>
      <c r="L2081" t="s">
        <v>20</v>
      </c>
      <c r="M2081" t="s">
        <v>113</v>
      </c>
      <c r="R2081" t="s">
        <v>11983</v>
      </c>
      <c r="W2081" t="s">
        <v>11983</v>
      </c>
      <c r="X2081" t="s">
        <v>11988</v>
      </c>
      <c r="Y2081" t="s">
        <v>153</v>
      </c>
      <c r="Z2081" t="s">
        <v>117</v>
      </c>
      <c r="AA2081" t="str">
        <f>"14304-4683"</f>
        <v>14304-4683</v>
      </c>
      <c r="AB2081" t="s">
        <v>5777</v>
      </c>
      <c r="AC2081" t="s">
        <v>119</v>
      </c>
      <c r="AD2081" t="s">
        <v>113</v>
      </c>
      <c r="AE2081" t="s">
        <v>120</v>
      </c>
      <c r="AG2081" t="s">
        <v>121</v>
      </c>
    </row>
    <row r="2082" spans="1:33" x14ac:dyDescent="0.25">
      <c r="A2082" t="str">
        <f>"1063443414"</f>
        <v>1063443414</v>
      </c>
      <c r="B2082" t="str">
        <f>"04038024"</f>
        <v>04038024</v>
      </c>
      <c r="C2082" t="s">
        <v>11989</v>
      </c>
      <c r="D2082" t="s">
        <v>11990</v>
      </c>
      <c r="E2082" t="s">
        <v>11991</v>
      </c>
      <c r="G2082" t="s">
        <v>11989</v>
      </c>
      <c r="H2082" t="s">
        <v>11992</v>
      </c>
      <c r="J2082" t="s">
        <v>11993</v>
      </c>
      <c r="L2082" t="s">
        <v>1033</v>
      </c>
      <c r="M2082" t="s">
        <v>113</v>
      </c>
      <c r="R2082" t="s">
        <v>11994</v>
      </c>
      <c r="W2082" t="s">
        <v>11991</v>
      </c>
      <c r="X2082" t="s">
        <v>11995</v>
      </c>
      <c r="Y2082" t="s">
        <v>268</v>
      </c>
      <c r="Z2082" t="s">
        <v>117</v>
      </c>
      <c r="AA2082" t="str">
        <f>"14150-8169"</f>
        <v>14150-8169</v>
      </c>
      <c r="AB2082" t="s">
        <v>621</v>
      </c>
      <c r="AC2082" t="s">
        <v>119</v>
      </c>
      <c r="AD2082" t="s">
        <v>113</v>
      </c>
      <c r="AE2082" t="s">
        <v>120</v>
      </c>
      <c r="AG2082" t="s">
        <v>121</v>
      </c>
    </row>
    <row r="2083" spans="1:33" x14ac:dyDescent="0.25">
      <c r="A2083" t="str">
        <f>"1063445658"</f>
        <v>1063445658</v>
      </c>
      <c r="B2083" t="str">
        <f>"02685692"</f>
        <v>02685692</v>
      </c>
      <c r="C2083" t="s">
        <v>11996</v>
      </c>
      <c r="D2083" t="s">
        <v>11997</v>
      </c>
      <c r="E2083" t="s">
        <v>11998</v>
      </c>
      <c r="G2083" t="s">
        <v>11996</v>
      </c>
      <c r="H2083" t="s">
        <v>1157</v>
      </c>
      <c r="J2083" t="s">
        <v>11999</v>
      </c>
      <c r="L2083" t="s">
        <v>142</v>
      </c>
      <c r="M2083" t="s">
        <v>113</v>
      </c>
      <c r="R2083" t="s">
        <v>12000</v>
      </c>
      <c r="W2083" t="s">
        <v>11998</v>
      </c>
      <c r="X2083" t="s">
        <v>176</v>
      </c>
      <c r="Y2083" t="s">
        <v>116</v>
      </c>
      <c r="Z2083" t="s">
        <v>117</v>
      </c>
      <c r="AA2083" t="str">
        <f>"14203-1126"</f>
        <v>14203-1126</v>
      </c>
      <c r="AB2083" t="s">
        <v>118</v>
      </c>
      <c r="AC2083" t="s">
        <v>119</v>
      </c>
      <c r="AD2083" t="s">
        <v>113</v>
      </c>
      <c r="AE2083" t="s">
        <v>120</v>
      </c>
      <c r="AG2083" t="s">
        <v>121</v>
      </c>
    </row>
    <row r="2084" spans="1:33" x14ac:dyDescent="0.25">
      <c r="A2084" t="str">
        <f>"1063466878"</f>
        <v>1063466878</v>
      </c>
      <c r="B2084" t="str">
        <f>"02238815"</f>
        <v>02238815</v>
      </c>
      <c r="C2084" t="s">
        <v>12001</v>
      </c>
      <c r="D2084" t="s">
        <v>12002</v>
      </c>
      <c r="E2084" t="s">
        <v>12003</v>
      </c>
      <c r="G2084" t="s">
        <v>12001</v>
      </c>
      <c r="H2084" t="s">
        <v>6352</v>
      </c>
      <c r="J2084" t="s">
        <v>12004</v>
      </c>
      <c r="L2084" t="s">
        <v>142</v>
      </c>
      <c r="M2084" t="s">
        <v>113</v>
      </c>
      <c r="R2084" t="s">
        <v>12005</v>
      </c>
      <c r="W2084" t="s">
        <v>12006</v>
      </c>
      <c r="X2084" t="s">
        <v>3963</v>
      </c>
      <c r="Y2084" t="s">
        <v>240</v>
      </c>
      <c r="Z2084" t="s">
        <v>117</v>
      </c>
      <c r="AA2084" t="str">
        <f>"14221-5771"</f>
        <v>14221-5771</v>
      </c>
      <c r="AB2084" t="s">
        <v>118</v>
      </c>
      <c r="AC2084" t="s">
        <v>119</v>
      </c>
      <c r="AD2084" t="s">
        <v>113</v>
      </c>
      <c r="AE2084" t="s">
        <v>120</v>
      </c>
      <c r="AG2084" t="s">
        <v>121</v>
      </c>
    </row>
    <row r="2085" spans="1:33" x14ac:dyDescent="0.25">
      <c r="A2085" t="str">
        <f>"1063481042"</f>
        <v>1063481042</v>
      </c>
      <c r="B2085" t="str">
        <f>"02023090"</f>
        <v>02023090</v>
      </c>
      <c r="C2085" t="s">
        <v>12007</v>
      </c>
      <c r="D2085" t="s">
        <v>12008</v>
      </c>
      <c r="E2085" t="s">
        <v>12009</v>
      </c>
      <c r="G2085" t="s">
        <v>12010</v>
      </c>
      <c r="H2085" t="s">
        <v>579</v>
      </c>
      <c r="J2085" t="s">
        <v>12011</v>
      </c>
      <c r="L2085" t="s">
        <v>142</v>
      </c>
      <c r="M2085" t="s">
        <v>113</v>
      </c>
      <c r="R2085" t="s">
        <v>12012</v>
      </c>
      <c r="W2085" t="s">
        <v>12009</v>
      </c>
      <c r="X2085" t="s">
        <v>838</v>
      </c>
      <c r="Y2085" t="s">
        <v>240</v>
      </c>
      <c r="Z2085" t="s">
        <v>117</v>
      </c>
      <c r="AA2085" t="str">
        <f>"14221-3647"</f>
        <v>14221-3647</v>
      </c>
      <c r="AB2085" t="s">
        <v>118</v>
      </c>
      <c r="AC2085" t="s">
        <v>119</v>
      </c>
      <c r="AD2085" t="s">
        <v>113</v>
      </c>
      <c r="AE2085" t="s">
        <v>120</v>
      </c>
      <c r="AG2085" t="s">
        <v>121</v>
      </c>
    </row>
    <row r="2086" spans="1:33" x14ac:dyDescent="0.25">
      <c r="A2086" t="str">
        <f>"1063481455"</f>
        <v>1063481455</v>
      </c>
      <c r="B2086" t="str">
        <f>"00616528"</f>
        <v>00616528</v>
      </c>
      <c r="C2086" t="s">
        <v>12013</v>
      </c>
      <c r="D2086" t="s">
        <v>12014</v>
      </c>
      <c r="E2086" t="s">
        <v>12015</v>
      </c>
      <c r="G2086" t="s">
        <v>12016</v>
      </c>
      <c r="H2086" t="s">
        <v>12017</v>
      </c>
      <c r="L2086" t="s">
        <v>112</v>
      </c>
      <c r="M2086" t="s">
        <v>113</v>
      </c>
      <c r="R2086" t="s">
        <v>12016</v>
      </c>
      <c r="W2086" t="s">
        <v>12015</v>
      </c>
      <c r="X2086" t="s">
        <v>12018</v>
      </c>
      <c r="Y2086" t="s">
        <v>541</v>
      </c>
      <c r="Z2086" t="s">
        <v>117</v>
      </c>
      <c r="AA2086" t="str">
        <f>"14048-2539"</f>
        <v>14048-2539</v>
      </c>
      <c r="AB2086" t="s">
        <v>118</v>
      </c>
      <c r="AC2086" t="s">
        <v>119</v>
      </c>
      <c r="AD2086" t="s">
        <v>113</v>
      </c>
      <c r="AE2086" t="s">
        <v>120</v>
      </c>
      <c r="AG2086" t="s">
        <v>121</v>
      </c>
    </row>
    <row r="2087" spans="1:33" x14ac:dyDescent="0.25">
      <c r="A2087" t="str">
        <f>"1174817183"</f>
        <v>1174817183</v>
      </c>
      <c r="B2087" t="str">
        <f>"03385444"</f>
        <v>03385444</v>
      </c>
      <c r="C2087" t="s">
        <v>12019</v>
      </c>
      <c r="D2087" t="s">
        <v>12020</v>
      </c>
      <c r="E2087" t="s">
        <v>12021</v>
      </c>
      <c r="G2087" t="s">
        <v>12022</v>
      </c>
      <c r="J2087" t="s">
        <v>12023</v>
      </c>
      <c r="L2087" t="s">
        <v>142</v>
      </c>
      <c r="M2087" t="s">
        <v>113</v>
      </c>
      <c r="R2087" t="s">
        <v>12024</v>
      </c>
      <c r="W2087" t="s">
        <v>12021</v>
      </c>
      <c r="X2087" t="s">
        <v>12025</v>
      </c>
      <c r="Y2087" t="s">
        <v>240</v>
      </c>
      <c r="Z2087" t="s">
        <v>117</v>
      </c>
      <c r="AA2087" t="str">
        <f>"14221-6060"</f>
        <v>14221-6060</v>
      </c>
      <c r="AB2087" t="s">
        <v>118</v>
      </c>
      <c r="AC2087" t="s">
        <v>119</v>
      </c>
      <c r="AD2087" t="s">
        <v>113</v>
      </c>
      <c r="AE2087" t="s">
        <v>120</v>
      </c>
      <c r="AG2087" t="s">
        <v>121</v>
      </c>
    </row>
    <row r="2088" spans="1:33" x14ac:dyDescent="0.25">
      <c r="A2088" t="str">
        <f>"1174841506"</f>
        <v>1174841506</v>
      </c>
      <c r="C2088" t="s">
        <v>12026</v>
      </c>
      <c r="G2088" t="s">
        <v>12027</v>
      </c>
      <c r="H2088" t="s">
        <v>1538</v>
      </c>
      <c r="J2088" t="s">
        <v>352</v>
      </c>
      <c r="K2088" t="s">
        <v>303</v>
      </c>
      <c r="L2088" t="s">
        <v>112</v>
      </c>
      <c r="M2088" t="s">
        <v>113</v>
      </c>
      <c r="R2088" t="s">
        <v>12028</v>
      </c>
      <c r="S2088" t="s">
        <v>8308</v>
      </c>
      <c r="T2088" t="s">
        <v>116</v>
      </c>
      <c r="U2088" t="s">
        <v>117</v>
      </c>
      <c r="V2088" t="str">
        <f>"142132116"</f>
        <v>142132116</v>
      </c>
      <c r="AC2088" t="s">
        <v>119</v>
      </c>
      <c r="AD2088" t="s">
        <v>113</v>
      </c>
      <c r="AE2088" t="s">
        <v>306</v>
      </c>
      <c r="AG2088" t="s">
        <v>121</v>
      </c>
    </row>
    <row r="2089" spans="1:33" x14ac:dyDescent="0.25">
      <c r="A2089" t="str">
        <f>"1174922405"</f>
        <v>1174922405</v>
      </c>
      <c r="B2089" t="str">
        <f>"03948996"</f>
        <v>03948996</v>
      </c>
      <c r="C2089" t="s">
        <v>12029</v>
      </c>
      <c r="D2089" t="s">
        <v>12030</v>
      </c>
      <c r="E2089" t="s">
        <v>12031</v>
      </c>
      <c r="G2089" t="s">
        <v>12029</v>
      </c>
      <c r="H2089" t="s">
        <v>2125</v>
      </c>
      <c r="J2089" t="s">
        <v>12032</v>
      </c>
      <c r="L2089" t="s">
        <v>1033</v>
      </c>
      <c r="M2089" t="s">
        <v>113</v>
      </c>
      <c r="R2089" t="s">
        <v>12033</v>
      </c>
      <c r="W2089" t="s">
        <v>12031</v>
      </c>
      <c r="X2089" t="s">
        <v>2128</v>
      </c>
      <c r="Y2089" t="s">
        <v>986</v>
      </c>
      <c r="Z2089" t="s">
        <v>117</v>
      </c>
      <c r="AA2089" t="str">
        <f>"14701-5502"</f>
        <v>14701-5502</v>
      </c>
      <c r="AB2089" t="s">
        <v>621</v>
      </c>
      <c r="AC2089" t="s">
        <v>119</v>
      </c>
      <c r="AD2089" t="s">
        <v>113</v>
      </c>
      <c r="AE2089" t="s">
        <v>120</v>
      </c>
      <c r="AG2089" t="s">
        <v>121</v>
      </c>
    </row>
    <row r="2090" spans="1:33" x14ac:dyDescent="0.25">
      <c r="A2090" t="str">
        <f>"1376698936"</f>
        <v>1376698936</v>
      </c>
      <c r="B2090" t="str">
        <f>"00746901"</f>
        <v>00746901</v>
      </c>
      <c r="C2090" t="s">
        <v>12034</v>
      </c>
      <c r="D2090" t="s">
        <v>12035</v>
      </c>
      <c r="E2090" t="s">
        <v>12036</v>
      </c>
      <c r="G2090" t="s">
        <v>12037</v>
      </c>
      <c r="H2090" t="s">
        <v>12038</v>
      </c>
      <c r="J2090" t="s">
        <v>12039</v>
      </c>
      <c r="L2090" t="s">
        <v>150</v>
      </c>
      <c r="M2090" t="s">
        <v>113</v>
      </c>
      <c r="R2090" t="s">
        <v>12040</v>
      </c>
      <c r="W2090" t="s">
        <v>12036</v>
      </c>
      <c r="Y2090" t="s">
        <v>116</v>
      </c>
      <c r="Z2090" t="s">
        <v>117</v>
      </c>
      <c r="AA2090" t="str">
        <f>"14214-2692"</f>
        <v>14214-2692</v>
      </c>
      <c r="AB2090" t="s">
        <v>118</v>
      </c>
      <c r="AC2090" t="s">
        <v>119</v>
      </c>
      <c r="AD2090" t="s">
        <v>113</v>
      </c>
      <c r="AE2090" t="s">
        <v>120</v>
      </c>
      <c r="AG2090" t="s">
        <v>121</v>
      </c>
    </row>
    <row r="2091" spans="1:33" x14ac:dyDescent="0.25">
      <c r="A2091" t="str">
        <f>"1376709469"</f>
        <v>1376709469</v>
      </c>
      <c r="B2091" t="str">
        <f>"03112838"</f>
        <v>03112838</v>
      </c>
      <c r="C2091" t="s">
        <v>12041</v>
      </c>
      <c r="D2091" t="s">
        <v>12042</v>
      </c>
      <c r="E2091" t="s">
        <v>12043</v>
      </c>
      <c r="G2091" t="s">
        <v>12041</v>
      </c>
      <c r="H2091" t="s">
        <v>12044</v>
      </c>
      <c r="J2091" t="s">
        <v>12045</v>
      </c>
      <c r="L2091" t="s">
        <v>142</v>
      </c>
      <c r="M2091" t="s">
        <v>113</v>
      </c>
      <c r="R2091" t="s">
        <v>12046</v>
      </c>
      <c r="W2091" t="s">
        <v>12047</v>
      </c>
      <c r="X2091" t="s">
        <v>176</v>
      </c>
      <c r="Y2091" t="s">
        <v>116</v>
      </c>
      <c r="Z2091" t="s">
        <v>117</v>
      </c>
      <c r="AA2091" t="str">
        <f>"14203-1126"</f>
        <v>14203-1126</v>
      </c>
      <c r="AB2091" t="s">
        <v>118</v>
      </c>
      <c r="AC2091" t="s">
        <v>119</v>
      </c>
      <c r="AD2091" t="s">
        <v>113</v>
      </c>
      <c r="AE2091" t="s">
        <v>120</v>
      </c>
      <c r="AG2091" t="s">
        <v>121</v>
      </c>
    </row>
    <row r="2092" spans="1:33" x14ac:dyDescent="0.25">
      <c r="A2092" t="str">
        <f>"1376741157"</f>
        <v>1376741157</v>
      </c>
      <c r="B2092" t="str">
        <f>"02921117"</f>
        <v>02921117</v>
      </c>
      <c r="C2092" t="s">
        <v>12048</v>
      </c>
      <c r="D2092" t="s">
        <v>12049</v>
      </c>
      <c r="E2092" t="s">
        <v>12050</v>
      </c>
      <c r="G2092" t="s">
        <v>12048</v>
      </c>
      <c r="H2092" t="s">
        <v>227</v>
      </c>
      <c r="J2092" t="s">
        <v>12051</v>
      </c>
      <c r="L2092" t="s">
        <v>142</v>
      </c>
      <c r="M2092" t="s">
        <v>113</v>
      </c>
      <c r="R2092" t="s">
        <v>12052</v>
      </c>
      <c r="W2092" t="s">
        <v>12050</v>
      </c>
      <c r="X2092" t="s">
        <v>12053</v>
      </c>
      <c r="Y2092" t="s">
        <v>232</v>
      </c>
      <c r="Z2092" t="s">
        <v>117</v>
      </c>
      <c r="AA2092" t="str">
        <f>"10075-1850"</f>
        <v>10075-1850</v>
      </c>
      <c r="AB2092" t="s">
        <v>118</v>
      </c>
      <c r="AC2092" t="s">
        <v>119</v>
      </c>
      <c r="AD2092" t="s">
        <v>113</v>
      </c>
      <c r="AE2092" t="s">
        <v>120</v>
      </c>
      <c r="AG2092" t="s">
        <v>121</v>
      </c>
    </row>
    <row r="2093" spans="1:33" x14ac:dyDescent="0.25">
      <c r="A2093" t="str">
        <f>"1639218845"</f>
        <v>1639218845</v>
      </c>
      <c r="B2093" t="str">
        <f>"00604664"</f>
        <v>00604664</v>
      </c>
      <c r="C2093" t="s">
        <v>12054</v>
      </c>
      <c r="D2093" t="s">
        <v>12055</v>
      </c>
      <c r="E2093" t="s">
        <v>12056</v>
      </c>
      <c r="G2093" t="s">
        <v>12054</v>
      </c>
      <c r="H2093" t="s">
        <v>12057</v>
      </c>
      <c r="J2093" t="s">
        <v>12058</v>
      </c>
      <c r="L2093" t="s">
        <v>150</v>
      </c>
      <c r="M2093" t="s">
        <v>113</v>
      </c>
      <c r="R2093" t="s">
        <v>12059</v>
      </c>
      <c r="W2093" t="s">
        <v>12056</v>
      </c>
      <c r="X2093" t="s">
        <v>12060</v>
      </c>
      <c r="Y2093" t="s">
        <v>12061</v>
      </c>
      <c r="Z2093" t="s">
        <v>117</v>
      </c>
      <c r="AA2093" t="str">
        <f>"14031-1934"</f>
        <v>14031-1934</v>
      </c>
      <c r="AB2093" t="s">
        <v>118</v>
      </c>
      <c r="AC2093" t="s">
        <v>119</v>
      </c>
      <c r="AD2093" t="s">
        <v>113</v>
      </c>
      <c r="AE2093" t="s">
        <v>120</v>
      </c>
      <c r="AG2093" t="s">
        <v>121</v>
      </c>
    </row>
    <row r="2094" spans="1:33" x14ac:dyDescent="0.25">
      <c r="A2094" t="str">
        <f>"1639221666"</f>
        <v>1639221666</v>
      </c>
      <c r="C2094" t="s">
        <v>12062</v>
      </c>
      <c r="G2094" t="s">
        <v>12063</v>
      </c>
      <c r="H2094" t="s">
        <v>1071</v>
      </c>
      <c r="J2094" t="s">
        <v>12064</v>
      </c>
      <c r="K2094" t="s">
        <v>303</v>
      </c>
      <c r="L2094" t="s">
        <v>112</v>
      </c>
      <c r="M2094" t="s">
        <v>113</v>
      </c>
      <c r="R2094" t="s">
        <v>12065</v>
      </c>
      <c r="S2094" t="s">
        <v>12066</v>
      </c>
      <c r="T2094" t="s">
        <v>116</v>
      </c>
      <c r="U2094" t="s">
        <v>117</v>
      </c>
      <c r="V2094" t="str">
        <f>"14214"</f>
        <v>14214</v>
      </c>
      <c r="AC2094" t="s">
        <v>119</v>
      </c>
      <c r="AD2094" t="s">
        <v>113</v>
      </c>
      <c r="AE2094" t="s">
        <v>306</v>
      </c>
      <c r="AG2094" t="s">
        <v>121</v>
      </c>
    </row>
    <row r="2095" spans="1:33" x14ac:dyDescent="0.25">
      <c r="A2095" t="str">
        <f>"1639238272"</f>
        <v>1639238272</v>
      </c>
      <c r="C2095" t="s">
        <v>12067</v>
      </c>
      <c r="G2095" t="s">
        <v>12068</v>
      </c>
      <c r="H2095" t="s">
        <v>937</v>
      </c>
      <c r="J2095" t="s">
        <v>12069</v>
      </c>
      <c r="K2095" t="s">
        <v>303</v>
      </c>
      <c r="L2095" t="s">
        <v>229</v>
      </c>
      <c r="M2095" t="s">
        <v>113</v>
      </c>
      <c r="R2095" t="s">
        <v>12070</v>
      </c>
      <c r="S2095" t="s">
        <v>3739</v>
      </c>
      <c r="T2095" t="s">
        <v>240</v>
      </c>
      <c r="U2095" t="s">
        <v>117</v>
      </c>
      <c r="V2095" t="str">
        <f>"142216728"</f>
        <v>142216728</v>
      </c>
      <c r="AC2095" t="s">
        <v>119</v>
      </c>
      <c r="AD2095" t="s">
        <v>113</v>
      </c>
      <c r="AE2095" t="s">
        <v>306</v>
      </c>
      <c r="AG2095" t="s">
        <v>121</v>
      </c>
    </row>
    <row r="2096" spans="1:33" x14ac:dyDescent="0.25">
      <c r="A2096" t="str">
        <f>"1639251366"</f>
        <v>1639251366</v>
      </c>
      <c r="C2096" t="s">
        <v>12071</v>
      </c>
      <c r="G2096" t="s">
        <v>12072</v>
      </c>
      <c r="H2096" t="s">
        <v>4553</v>
      </c>
      <c r="J2096" t="s">
        <v>12073</v>
      </c>
      <c r="K2096" t="s">
        <v>303</v>
      </c>
      <c r="L2096" t="s">
        <v>112</v>
      </c>
      <c r="M2096" t="s">
        <v>113</v>
      </c>
      <c r="R2096" t="s">
        <v>12074</v>
      </c>
      <c r="S2096" t="s">
        <v>8278</v>
      </c>
      <c r="T2096" t="s">
        <v>116</v>
      </c>
      <c r="U2096" t="s">
        <v>117</v>
      </c>
      <c r="V2096" t="str">
        <f>"142031536"</f>
        <v>142031536</v>
      </c>
      <c r="AC2096" t="s">
        <v>119</v>
      </c>
      <c r="AD2096" t="s">
        <v>113</v>
      </c>
      <c r="AE2096" t="s">
        <v>306</v>
      </c>
      <c r="AG2096" t="s">
        <v>121</v>
      </c>
    </row>
    <row r="2097" spans="1:33" x14ac:dyDescent="0.25">
      <c r="A2097" t="str">
        <f>"1639255250"</f>
        <v>1639255250</v>
      </c>
      <c r="B2097" t="str">
        <f>"01406284"</f>
        <v>01406284</v>
      </c>
      <c r="C2097" t="s">
        <v>12075</v>
      </c>
      <c r="D2097" t="s">
        <v>12076</v>
      </c>
      <c r="E2097" t="s">
        <v>12077</v>
      </c>
      <c r="H2097" t="s">
        <v>12078</v>
      </c>
      <c r="L2097" t="s">
        <v>21</v>
      </c>
      <c r="M2097" t="s">
        <v>113</v>
      </c>
      <c r="R2097" t="s">
        <v>12079</v>
      </c>
      <c r="W2097" t="s">
        <v>12077</v>
      </c>
      <c r="X2097" t="s">
        <v>12080</v>
      </c>
      <c r="Y2097" t="s">
        <v>10987</v>
      </c>
      <c r="Z2097" t="s">
        <v>117</v>
      </c>
      <c r="AA2097" t="str">
        <f>"14750-1702"</f>
        <v>14750-1702</v>
      </c>
      <c r="AB2097" t="s">
        <v>1146</v>
      </c>
      <c r="AC2097" t="s">
        <v>119</v>
      </c>
      <c r="AD2097" t="s">
        <v>113</v>
      </c>
      <c r="AE2097" t="s">
        <v>120</v>
      </c>
      <c r="AG2097" t="s">
        <v>121</v>
      </c>
    </row>
    <row r="2098" spans="1:33" x14ac:dyDescent="0.25">
      <c r="A2098" t="str">
        <f>"1639267933"</f>
        <v>1639267933</v>
      </c>
      <c r="B2098" t="str">
        <f>"02996638"</f>
        <v>02996638</v>
      </c>
      <c r="C2098" t="s">
        <v>12081</v>
      </c>
      <c r="D2098" t="s">
        <v>12082</v>
      </c>
      <c r="E2098" t="s">
        <v>12083</v>
      </c>
      <c r="G2098" t="s">
        <v>12084</v>
      </c>
      <c r="H2098" t="s">
        <v>12085</v>
      </c>
      <c r="J2098" t="s">
        <v>12086</v>
      </c>
      <c r="L2098" t="s">
        <v>12087</v>
      </c>
      <c r="M2098" t="s">
        <v>199</v>
      </c>
      <c r="R2098" t="s">
        <v>12081</v>
      </c>
      <c r="W2098" t="s">
        <v>12088</v>
      </c>
      <c r="X2098" t="s">
        <v>12089</v>
      </c>
      <c r="Y2098" t="s">
        <v>2762</v>
      </c>
      <c r="Z2098" t="s">
        <v>117</v>
      </c>
      <c r="AA2098" t="str">
        <f>"14620-1662"</f>
        <v>14620-1662</v>
      </c>
      <c r="AB2098" t="s">
        <v>1460</v>
      </c>
      <c r="AC2098" t="s">
        <v>119</v>
      </c>
      <c r="AD2098" t="s">
        <v>113</v>
      </c>
      <c r="AE2098" t="s">
        <v>120</v>
      </c>
      <c r="AG2098" t="s">
        <v>121</v>
      </c>
    </row>
    <row r="2099" spans="1:33" x14ac:dyDescent="0.25">
      <c r="A2099" t="str">
        <f>"1639304041"</f>
        <v>1639304041</v>
      </c>
      <c r="B2099" t="str">
        <f>"00619943"</f>
        <v>00619943</v>
      </c>
      <c r="C2099" t="s">
        <v>12090</v>
      </c>
      <c r="D2099" t="s">
        <v>12091</v>
      </c>
      <c r="E2099" t="s">
        <v>12092</v>
      </c>
      <c r="G2099" t="s">
        <v>330</v>
      </c>
      <c r="H2099" t="s">
        <v>12093</v>
      </c>
      <c r="J2099" t="s">
        <v>332</v>
      </c>
      <c r="L2099" t="s">
        <v>112</v>
      </c>
      <c r="M2099" t="s">
        <v>113</v>
      </c>
      <c r="R2099" t="s">
        <v>12094</v>
      </c>
      <c r="W2099" t="s">
        <v>12092</v>
      </c>
      <c r="X2099" t="s">
        <v>5047</v>
      </c>
      <c r="Y2099" t="s">
        <v>153</v>
      </c>
      <c r="Z2099" t="s">
        <v>117</v>
      </c>
      <c r="AA2099" t="str">
        <f>"14301-1118"</f>
        <v>14301-1118</v>
      </c>
      <c r="AB2099" t="s">
        <v>118</v>
      </c>
      <c r="AC2099" t="s">
        <v>119</v>
      </c>
      <c r="AD2099" t="s">
        <v>113</v>
      </c>
      <c r="AE2099" t="s">
        <v>120</v>
      </c>
      <c r="AG2099" t="s">
        <v>121</v>
      </c>
    </row>
    <row r="2100" spans="1:33" x14ac:dyDescent="0.25">
      <c r="A2100" t="str">
        <f>"1639330376"</f>
        <v>1639330376</v>
      </c>
      <c r="B2100" t="str">
        <f>"03822786"</f>
        <v>03822786</v>
      </c>
      <c r="C2100" t="s">
        <v>12095</v>
      </c>
      <c r="D2100" t="s">
        <v>12096</v>
      </c>
      <c r="E2100" t="s">
        <v>12097</v>
      </c>
      <c r="G2100" t="s">
        <v>12098</v>
      </c>
      <c r="H2100" t="s">
        <v>12099</v>
      </c>
      <c r="J2100" t="s">
        <v>12100</v>
      </c>
      <c r="L2100" t="s">
        <v>112</v>
      </c>
      <c r="M2100" t="s">
        <v>113</v>
      </c>
      <c r="R2100" t="s">
        <v>12101</v>
      </c>
      <c r="W2100" t="s">
        <v>12097</v>
      </c>
      <c r="X2100" t="s">
        <v>216</v>
      </c>
      <c r="Y2100" t="s">
        <v>116</v>
      </c>
      <c r="Z2100" t="s">
        <v>117</v>
      </c>
      <c r="AA2100" t="str">
        <f>"14222-2006"</f>
        <v>14222-2006</v>
      </c>
      <c r="AB2100" t="s">
        <v>118</v>
      </c>
      <c r="AC2100" t="s">
        <v>119</v>
      </c>
      <c r="AD2100" t="s">
        <v>113</v>
      </c>
      <c r="AE2100" t="s">
        <v>120</v>
      </c>
      <c r="AG2100" t="s">
        <v>121</v>
      </c>
    </row>
    <row r="2101" spans="1:33" x14ac:dyDescent="0.25">
      <c r="A2101" t="str">
        <f>"1639331218"</f>
        <v>1639331218</v>
      </c>
      <c r="B2101" t="str">
        <f>"03460033"</f>
        <v>03460033</v>
      </c>
      <c r="C2101" t="s">
        <v>12102</v>
      </c>
      <c r="D2101" t="s">
        <v>12103</v>
      </c>
      <c r="E2101" t="s">
        <v>12104</v>
      </c>
      <c r="G2101" t="s">
        <v>12102</v>
      </c>
      <c r="H2101" t="s">
        <v>12105</v>
      </c>
      <c r="J2101" t="s">
        <v>12106</v>
      </c>
      <c r="L2101" t="s">
        <v>142</v>
      </c>
      <c r="M2101" t="s">
        <v>113</v>
      </c>
      <c r="R2101" t="s">
        <v>12107</v>
      </c>
      <c r="W2101" t="s">
        <v>12104</v>
      </c>
      <c r="X2101" t="s">
        <v>216</v>
      </c>
      <c r="Y2101" t="s">
        <v>116</v>
      </c>
      <c r="Z2101" t="s">
        <v>117</v>
      </c>
      <c r="AA2101" t="str">
        <f>"14222-2006"</f>
        <v>14222-2006</v>
      </c>
      <c r="AB2101" t="s">
        <v>118</v>
      </c>
      <c r="AC2101" t="s">
        <v>119</v>
      </c>
      <c r="AD2101" t="s">
        <v>113</v>
      </c>
      <c r="AE2101" t="s">
        <v>120</v>
      </c>
      <c r="AG2101" t="s">
        <v>121</v>
      </c>
    </row>
    <row r="2102" spans="1:33" x14ac:dyDescent="0.25">
      <c r="A2102" t="str">
        <f>"1639337553"</f>
        <v>1639337553</v>
      </c>
      <c r="C2102" t="s">
        <v>12108</v>
      </c>
      <c r="G2102" t="s">
        <v>12109</v>
      </c>
      <c r="J2102" t="s">
        <v>12110</v>
      </c>
      <c r="K2102" t="s">
        <v>303</v>
      </c>
      <c r="L2102" t="s">
        <v>112</v>
      </c>
      <c r="M2102" t="s">
        <v>113</v>
      </c>
      <c r="R2102" t="s">
        <v>12111</v>
      </c>
      <c r="S2102" t="s">
        <v>474</v>
      </c>
      <c r="T2102" t="s">
        <v>116</v>
      </c>
      <c r="U2102" t="s">
        <v>117</v>
      </c>
      <c r="V2102" t="str">
        <f>"142141316"</f>
        <v>142141316</v>
      </c>
      <c r="AC2102" t="s">
        <v>119</v>
      </c>
      <c r="AD2102" t="s">
        <v>113</v>
      </c>
      <c r="AE2102" t="s">
        <v>306</v>
      </c>
      <c r="AG2102" t="s">
        <v>121</v>
      </c>
    </row>
    <row r="2103" spans="1:33" x14ac:dyDescent="0.25">
      <c r="A2103" t="str">
        <f>"1639339716"</f>
        <v>1639339716</v>
      </c>
      <c r="B2103" t="str">
        <f>"02992556"</f>
        <v>02992556</v>
      </c>
      <c r="C2103" t="s">
        <v>12112</v>
      </c>
      <c r="D2103" t="s">
        <v>12113</v>
      </c>
      <c r="E2103" t="s">
        <v>12114</v>
      </c>
      <c r="G2103" t="s">
        <v>12112</v>
      </c>
      <c r="H2103" t="s">
        <v>2156</v>
      </c>
      <c r="J2103" t="s">
        <v>12115</v>
      </c>
      <c r="L2103" t="s">
        <v>142</v>
      </c>
      <c r="M2103" t="s">
        <v>113</v>
      </c>
      <c r="R2103" t="s">
        <v>12116</v>
      </c>
      <c r="W2103" t="s">
        <v>12117</v>
      </c>
      <c r="X2103" t="s">
        <v>4642</v>
      </c>
      <c r="Y2103" t="s">
        <v>240</v>
      </c>
      <c r="Z2103" t="s">
        <v>117</v>
      </c>
      <c r="AA2103" t="str">
        <f>"14221-6800"</f>
        <v>14221-6800</v>
      </c>
      <c r="AB2103" t="s">
        <v>118</v>
      </c>
      <c r="AC2103" t="s">
        <v>119</v>
      </c>
      <c r="AD2103" t="s">
        <v>113</v>
      </c>
      <c r="AE2103" t="s">
        <v>120</v>
      </c>
      <c r="AG2103" t="s">
        <v>121</v>
      </c>
    </row>
    <row r="2104" spans="1:33" x14ac:dyDescent="0.25">
      <c r="A2104" t="str">
        <f>"1326317389"</f>
        <v>1326317389</v>
      </c>
      <c r="B2104" t="str">
        <f>"03690402"</f>
        <v>03690402</v>
      </c>
      <c r="C2104" t="s">
        <v>12118</v>
      </c>
      <c r="D2104" t="s">
        <v>12119</v>
      </c>
      <c r="E2104" t="s">
        <v>12120</v>
      </c>
      <c r="G2104" t="s">
        <v>12121</v>
      </c>
      <c r="H2104" t="s">
        <v>2396</v>
      </c>
      <c r="J2104" t="s">
        <v>12122</v>
      </c>
      <c r="L2104" t="s">
        <v>112</v>
      </c>
      <c r="M2104" t="s">
        <v>113</v>
      </c>
      <c r="R2104" t="s">
        <v>12123</v>
      </c>
      <c r="W2104" t="s">
        <v>12120</v>
      </c>
      <c r="X2104" t="s">
        <v>176</v>
      </c>
      <c r="Y2104" t="s">
        <v>116</v>
      </c>
      <c r="Z2104" t="s">
        <v>117</v>
      </c>
      <c r="AA2104" t="str">
        <f>"14203-1126"</f>
        <v>14203-1126</v>
      </c>
      <c r="AB2104" t="s">
        <v>118</v>
      </c>
      <c r="AC2104" t="s">
        <v>119</v>
      </c>
      <c r="AD2104" t="s">
        <v>113</v>
      </c>
      <c r="AE2104" t="s">
        <v>120</v>
      </c>
      <c r="AG2104" t="s">
        <v>121</v>
      </c>
    </row>
    <row r="2105" spans="1:33" x14ac:dyDescent="0.25">
      <c r="A2105" t="str">
        <f>"1326325614"</f>
        <v>1326325614</v>
      </c>
      <c r="C2105" t="s">
        <v>12124</v>
      </c>
      <c r="G2105" t="s">
        <v>12124</v>
      </c>
      <c r="H2105" t="s">
        <v>937</v>
      </c>
      <c r="J2105" t="s">
        <v>12125</v>
      </c>
      <c r="K2105" t="s">
        <v>303</v>
      </c>
      <c r="L2105" t="s">
        <v>229</v>
      </c>
      <c r="M2105" t="s">
        <v>113</v>
      </c>
      <c r="R2105" t="s">
        <v>12126</v>
      </c>
      <c r="S2105" t="s">
        <v>3739</v>
      </c>
      <c r="T2105" t="s">
        <v>240</v>
      </c>
      <c r="U2105" t="s">
        <v>117</v>
      </c>
      <c r="V2105" t="str">
        <f>"142216728"</f>
        <v>142216728</v>
      </c>
      <c r="AC2105" t="s">
        <v>119</v>
      </c>
      <c r="AD2105" t="s">
        <v>113</v>
      </c>
      <c r="AE2105" t="s">
        <v>306</v>
      </c>
      <c r="AG2105" t="s">
        <v>121</v>
      </c>
    </row>
    <row r="2106" spans="1:33" x14ac:dyDescent="0.25">
      <c r="A2106" t="str">
        <f>"1326359126"</f>
        <v>1326359126</v>
      </c>
      <c r="B2106" t="str">
        <f>"03735095"</f>
        <v>03735095</v>
      </c>
      <c r="C2106" t="s">
        <v>12127</v>
      </c>
      <c r="D2106" t="s">
        <v>12128</v>
      </c>
      <c r="E2106" t="s">
        <v>12129</v>
      </c>
      <c r="G2106" t="s">
        <v>1252</v>
      </c>
      <c r="H2106" t="s">
        <v>1253</v>
      </c>
      <c r="J2106" t="s">
        <v>1254</v>
      </c>
      <c r="L2106" t="s">
        <v>150</v>
      </c>
      <c r="M2106" t="s">
        <v>113</v>
      </c>
      <c r="R2106" t="s">
        <v>12129</v>
      </c>
      <c r="W2106" t="s">
        <v>12129</v>
      </c>
      <c r="X2106" t="s">
        <v>6840</v>
      </c>
      <c r="Y2106" t="s">
        <v>2946</v>
      </c>
      <c r="Z2106" t="s">
        <v>117</v>
      </c>
      <c r="AA2106" t="str">
        <f>"14075-4231"</f>
        <v>14075-4231</v>
      </c>
      <c r="AB2106" t="s">
        <v>118</v>
      </c>
      <c r="AC2106" t="s">
        <v>119</v>
      </c>
      <c r="AD2106" t="s">
        <v>113</v>
      </c>
      <c r="AE2106" t="s">
        <v>120</v>
      </c>
      <c r="AG2106" t="s">
        <v>121</v>
      </c>
    </row>
    <row r="2107" spans="1:33" x14ac:dyDescent="0.25">
      <c r="A2107" t="str">
        <f>"1326374448"</f>
        <v>1326374448</v>
      </c>
      <c r="B2107" t="str">
        <f>"03832900"</f>
        <v>03832900</v>
      </c>
      <c r="C2107" t="s">
        <v>12130</v>
      </c>
      <c r="D2107" t="s">
        <v>12131</v>
      </c>
      <c r="E2107" t="s">
        <v>12132</v>
      </c>
      <c r="G2107" t="s">
        <v>12133</v>
      </c>
      <c r="J2107" t="s">
        <v>12134</v>
      </c>
      <c r="L2107" t="s">
        <v>112</v>
      </c>
      <c r="M2107" t="s">
        <v>113</v>
      </c>
      <c r="R2107" t="s">
        <v>12132</v>
      </c>
      <c r="W2107" t="s">
        <v>12132</v>
      </c>
      <c r="X2107" t="s">
        <v>740</v>
      </c>
      <c r="Y2107" t="s">
        <v>116</v>
      </c>
      <c r="Z2107" t="s">
        <v>117</v>
      </c>
      <c r="AA2107" t="str">
        <f>"14202-1804"</f>
        <v>14202-1804</v>
      </c>
      <c r="AB2107" t="s">
        <v>621</v>
      </c>
      <c r="AC2107" t="s">
        <v>119</v>
      </c>
      <c r="AD2107" t="s">
        <v>113</v>
      </c>
      <c r="AE2107" t="s">
        <v>120</v>
      </c>
      <c r="AG2107" t="s">
        <v>121</v>
      </c>
    </row>
    <row r="2108" spans="1:33" x14ac:dyDescent="0.25">
      <c r="A2108" t="str">
        <f>"1710328968"</f>
        <v>1710328968</v>
      </c>
      <c r="B2108" t="str">
        <f>"04027818"</f>
        <v>04027818</v>
      </c>
      <c r="C2108" t="s">
        <v>12135</v>
      </c>
      <c r="D2108" t="s">
        <v>12136</v>
      </c>
      <c r="E2108" t="s">
        <v>12137</v>
      </c>
      <c r="G2108" t="s">
        <v>12138</v>
      </c>
      <c r="H2108" t="s">
        <v>12139</v>
      </c>
      <c r="J2108" t="s">
        <v>12140</v>
      </c>
      <c r="L2108" t="s">
        <v>112</v>
      </c>
      <c r="M2108" t="s">
        <v>113</v>
      </c>
      <c r="R2108" t="s">
        <v>12141</v>
      </c>
      <c r="W2108" t="s">
        <v>12137</v>
      </c>
      <c r="X2108" t="s">
        <v>1207</v>
      </c>
      <c r="Y2108" t="s">
        <v>153</v>
      </c>
      <c r="Z2108" t="s">
        <v>117</v>
      </c>
      <c r="AA2108" t="str">
        <f>"14304-5716"</f>
        <v>14304-5716</v>
      </c>
      <c r="AB2108" t="s">
        <v>118</v>
      </c>
      <c r="AC2108" t="s">
        <v>119</v>
      </c>
      <c r="AD2108" t="s">
        <v>113</v>
      </c>
      <c r="AE2108" t="s">
        <v>120</v>
      </c>
      <c r="AG2108" t="s">
        <v>121</v>
      </c>
    </row>
    <row r="2109" spans="1:33" x14ac:dyDescent="0.25">
      <c r="A2109" t="str">
        <f>"1720036593"</f>
        <v>1720036593</v>
      </c>
      <c r="B2109" t="str">
        <f>"02997079"</f>
        <v>02997079</v>
      </c>
      <c r="C2109" t="s">
        <v>7433</v>
      </c>
      <c r="D2109" t="s">
        <v>12142</v>
      </c>
      <c r="E2109" t="s">
        <v>12143</v>
      </c>
      <c r="G2109" t="s">
        <v>1077</v>
      </c>
      <c r="H2109" t="s">
        <v>1078</v>
      </c>
      <c r="J2109" t="s">
        <v>1079</v>
      </c>
      <c r="L2109" t="s">
        <v>12144</v>
      </c>
      <c r="M2109" t="s">
        <v>113</v>
      </c>
      <c r="R2109" t="s">
        <v>7433</v>
      </c>
      <c r="W2109" t="s">
        <v>7433</v>
      </c>
      <c r="X2109" t="s">
        <v>12145</v>
      </c>
      <c r="Y2109" t="s">
        <v>116</v>
      </c>
      <c r="Z2109" t="s">
        <v>117</v>
      </c>
      <c r="AA2109" t="str">
        <f>"14263-0001"</f>
        <v>14263-0001</v>
      </c>
      <c r="AB2109" t="s">
        <v>1460</v>
      </c>
      <c r="AC2109" t="s">
        <v>119</v>
      </c>
      <c r="AD2109" t="s">
        <v>113</v>
      </c>
      <c r="AE2109" t="s">
        <v>120</v>
      </c>
      <c r="AG2109" t="s">
        <v>121</v>
      </c>
    </row>
    <row r="2110" spans="1:33" x14ac:dyDescent="0.25">
      <c r="A2110" t="str">
        <f>"1720045065"</f>
        <v>1720045065</v>
      </c>
      <c r="B2110" t="str">
        <f>"01480148"</f>
        <v>01480148</v>
      </c>
      <c r="C2110" t="s">
        <v>12146</v>
      </c>
      <c r="D2110" t="s">
        <v>12147</v>
      </c>
      <c r="E2110" t="s">
        <v>12148</v>
      </c>
      <c r="H2110" t="s">
        <v>10057</v>
      </c>
      <c r="L2110" t="s">
        <v>150</v>
      </c>
      <c r="M2110" t="s">
        <v>113</v>
      </c>
      <c r="R2110" t="s">
        <v>12149</v>
      </c>
      <c r="W2110" t="s">
        <v>12148</v>
      </c>
      <c r="X2110" t="s">
        <v>216</v>
      </c>
      <c r="Y2110" t="s">
        <v>116</v>
      </c>
      <c r="Z2110" t="s">
        <v>117</v>
      </c>
      <c r="AA2110" t="str">
        <f>"14222-2006"</f>
        <v>14222-2006</v>
      </c>
      <c r="AB2110" t="s">
        <v>528</v>
      </c>
      <c r="AC2110" t="s">
        <v>119</v>
      </c>
      <c r="AD2110" t="s">
        <v>113</v>
      </c>
      <c r="AE2110" t="s">
        <v>120</v>
      </c>
      <c r="AG2110" t="s">
        <v>121</v>
      </c>
    </row>
    <row r="2111" spans="1:33" x14ac:dyDescent="0.25">
      <c r="A2111" t="str">
        <f>"1720045339"</f>
        <v>1720045339</v>
      </c>
      <c r="B2111" t="str">
        <f>"00978987"</f>
        <v>00978987</v>
      </c>
      <c r="C2111" t="s">
        <v>12150</v>
      </c>
      <c r="D2111" t="s">
        <v>12151</v>
      </c>
      <c r="E2111" t="s">
        <v>12152</v>
      </c>
      <c r="G2111" t="s">
        <v>12150</v>
      </c>
      <c r="H2111" t="s">
        <v>12153</v>
      </c>
      <c r="J2111" t="s">
        <v>12154</v>
      </c>
      <c r="L2111" t="s">
        <v>728</v>
      </c>
      <c r="M2111" t="s">
        <v>113</v>
      </c>
      <c r="R2111" t="s">
        <v>12155</v>
      </c>
      <c r="W2111" t="s">
        <v>12152</v>
      </c>
      <c r="X2111" t="s">
        <v>784</v>
      </c>
      <c r="Y2111" t="s">
        <v>116</v>
      </c>
      <c r="Z2111" t="s">
        <v>117</v>
      </c>
      <c r="AA2111" t="str">
        <f>"14209-1194"</f>
        <v>14209-1194</v>
      </c>
      <c r="AB2111" t="s">
        <v>118</v>
      </c>
      <c r="AC2111" t="s">
        <v>119</v>
      </c>
      <c r="AD2111" t="s">
        <v>113</v>
      </c>
      <c r="AE2111" t="s">
        <v>120</v>
      </c>
      <c r="AG2111" t="s">
        <v>121</v>
      </c>
    </row>
    <row r="2112" spans="1:33" x14ac:dyDescent="0.25">
      <c r="A2112" t="str">
        <f>"1720045941"</f>
        <v>1720045941</v>
      </c>
      <c r="B2112" t="str">
        <f>"01172650"</f>
        <v>01172650</v>
      </c>
      <c r="C2112" t="s">
        <v>12156</v>
      </c>
      <c r="D2112" t="s">
        <v>12157</v>
      </c>
      <c r="E2112" t="s">
        <v>12158</v>
      </c>
      <c r="G2112" t="s">
        <v>12156</v>
      </c>
      <c r="H2112" t="s">
        <v>205</v>
      </c>
      <c r="J2112" t="s">
        <v>12159</v>
      </c>
      <c r="L2112" t="s">
        <v>142</v>
      </c>
      <c r="M2112" t="s">
        <v>113</v>
      </c>
      <c r="R2112" t="s">
        <v>12160</v>
      </c>
      <c r="W2112" t="s">
        <v>12158</v>
      </c>
      <c r="X2112" t="s">
        <v>376</v>
      </c>
      <c r="Y2112" t="s">
        <v>377</v>
      </c>
      <c r="Z2112" t="s">
        <v>117</v>
      </c>
      <c r="AA2112" t="str">
        <f>"14217-1390"</f>
        <v>14217-1390</v>
      </c>
      <c r="AB2112" t="s">
        <v>118</v>
      </c>
      <c r="AC2112" t="s">
        <v>119</v>
      </c>
      <c r="AD2112" t="s">
        <v>113</v>
      </c>
      <c r="AE2112" t="s">
        <v>120</v>
      </c>
      <c r="AG2112" t="s">
        <v>121</v>
      </c>
    </row>
    <row r="2113" spans="1:33" x14ac:dyDescent="0.25">
      <c r="A2113" t="str">
        <f>"1720050792"</f>
        <v>1720050792</v>
      </c>
      <c r="B2113" t="str">
        <f>"00619109"</f>
        <v>00619109</v>
      </c>
      <c r="C2113" t="s">
        <v>12161</v>
      </c>
      <c r="D2113" t="s">
        <v>12162</v>
      </c>
      <c r="E2113" t="s">
        <v>12163</v>
      </c>
      <c r="G2113" t="s">
        <v>12161</v>
      </c>
      <c r="H2113" t="s">
        <v>5415</v>
      </c>
      <c r="J2113" t="s">
        <v>12164</v>
      </c>
      <c r="L2113" t="s">
        <v>142</v>
      </c>
      <c r="M2113" t="s">
        <v>113</v>
      </c>
      <c r="R2113" t="s">
        <v>12165</v>
      </c>
      <c r="W2113" t="s">
        <v>12163</v>
      </c>
      <c r="X2113" t="s">
        <v>12166</v>
      </c>
      <c r="Y2113" t="s">
        <v>116</v>
      </c>
      <c r="Z2113" t="s">
        <v>117</v>
      </c>
      <c r="AA2113" t="str">
        <f>"14209-1120"</f>
        <v>14209-1120</v>
      </c>
      <c r="AB2113" t="s">
        <v>118</v>
      </c>
      <c r="AC2113" t="s">
        <v>119</v>
      </c>
      <c r="AD2113" t="s">
        <v>113</v>
      </c>
      <c r="AE2113" t="s">
        <v>120</v>
      </c>
      <c r="AG2113" t="s">
        <v>121</v>
      </c>
    </row>
    <row r="2114" spans="1:33" x14ac:dyDescent="0.25">
      <c r="A2114" t="str">
        <f>"1366448367"</f>
        <v>1366448367</v>
      </c>
      <c r="B2114" t="str">
        <f>"00964021"</f>
        <v>00964021</v>
      </c>
      <c r="C2114" t="s">
        <v>12167</v>
      </c>
      <c r="D2114" t="s">
        <v>12168</v>
      </c>
      <c r="E2114" t="s">
        <v>12169</v>
      </c>
      <c r="G2114" t="s">
        <v>12167</v>
      </c>
      <c r="H2114" t="s">
        <v>12170</v>
      </c>
      <c r="J2114" t="s">
        <v>12171</v>
      </c>
      <c r="L2114" t="s">
        <v>142</v>
      </c>
      <c r="M2114" t="s">
        <v>113</v>
      </c>
      <c r="R2114" t="s">
        <v>12172</v>
      </c>
      <c r="W2114" t="s">
        <v>12169</v>
      </c>
      <c r="X2114" t="s">
        <v>136</v>
      </c>
      <c r="Y2114" t="s">
        <v>116</v>
      </c>
      <c r="Z2114" t="s">
        <v>117</v>
      </c>
      <c r="AA2114" t="str">
        <f>"14209-1120"</f>
        <v>14209-1120</v>
      </c>
      <c r="AB2114" t="s">
        <v>118</v>
      </c>
      <c r="AC2114" t="s">
        <v>119</v>
      </c>
      <c r="AD2114" t="s">
        <v>113</v>
      </c>
      <c r="AE2114" t="s">
        <v>120</v>
      </c>
      <c r="AG2114" t="s">
        <v>121</v>
      </c>
    </row>
    <row r="2115" spans="1:33" x14ac:dyDescent="0.25">
      <c r="A2115" t="str">
        <f>"1366470254"</f>
        <v>1366470254</v>
      </c>
      <c r="B2115" t="str">
        <f>"00603329"</f>
        <v>00603329</v>
      </c>
      <c r="C2115" t="s">
        <v>12173</v>
      </c>
      <c r="D2115" t="s">
        <v>12174</v>
      </c>
      <c r="E2115" t="s">
        <v>12175</v>
      </c>
      <c r="G2115" t="s">
        <v>12173</v>
      </c>
      <c r="H2115" t="s">
        <v>9873</v>
      </c>
      <c r="J2115" t="s">
        <v>12176</v>
      </c>
      <c r="L2115" t="s">
        <v>142</v>
      </c>
      <c r="M2115" t="s">
        <v>113</v>
      </c>
      <c r="R2115" t="s">
        <v>12177</v>
      </c>
      <c r="W2115" t="s">
        <v>12175</v>
      </c>
      <c r="X2115" t="s">
        <v>12178</v>
      </c>
      <c r="Y2115" t="s">
        <v>268</v>
      </c>
      <c r="Z2115" t="s">
        <v>117</v>
      </c>
      <c r="AA2115" t="str">
        <f>"14150-6964"</f>
        <v>14150-6964</v>
      </c>
      <c r="AB2115" t="s">
        <v>118</v>
      </c>
      <c r="AC2115" t="s">
        <v>119</v>
      </c>
      <c r="AD2115" t="s">
        <v>113</v>
      </c>
      <c r="AE2115" t="s">
        <v>120</v>
      </c>
      <c r="AG2115" t="s">
        <v>121</v>
      </c>
    </row>
    <row r="2116" spans="1:33" x14ac:dyDescent="0.25">
      <c r="A2116" t="str">
        <f>"1366473183"</f>
        <v>1366473183</v>
      </c>
      <c r="B2116" t="str">
        <f>"02460593"</f>
        <v>02460593</v>
      </c>
      <c r="C2116" t="s">
        <v>869</v>
      </c>
      <c r="D2116" t="s">
        <v>12179</v>
      </c>
      <c r="E2116" t="s">
        <v>869</v>
      </c>
      <c r="G2116" t="s">
        <v>12180</v>
      </c>
      <c r="H2116" t="s">
        <v>2079</v>
      </c>
      <c r="J2116" t="s">
        <v>861</v>
      </c>
      <c r="L2116" t="s">
        <v>12181</v>
      </c>
      <c r="M2116" t="s">
        <v>113</v>
      </c>
      <c r="R2116" t="s">
        <v>869</v>
      </c>
      <c r="W2116" t="s">
        <v>869</v>
      </c>
      <c r="X2116" t="s">
        <v>176</v>
      </c>
      <c r="Y2116" t="s">
        <v>116</v>
      </c>
      <c r="Z2116" t="s">
        <v>117</v>
      </c>
      <c r="AA2116" t="str">
        <f>"14203-1126"</f>
        <v>14203-1126</v>
      </c>
      <c r="AB2116" t="s">
        <v>1460</v>
      </c>
      <c r="AC2116" t="s">
        <v>119</v>
      </c>
      <c r="AD2116" t="s">
        <v>113</v>
      </c>
      <c r="AE2116" t="s">
        <v>120</v>
      </c>
      <c r="AG2116" t="s">
        <v>121</v>
      </c>
    </row>
    <row r="2117" spans="1:33" x14ac:dyDescent="0.25">
      <c r="A2117" t="str">
        <f>"1366479289"</f>
        <v>1366479289</v>
      </c>
      <c r="B2117" t="str">
        <f>"01006711"</f>
        <v>01006711</v>
      </c>
      <c r="C2117" t="s">
        <v>12182</v>
      </c>
      <c r="D2117" t="s">
        <v>12183</v>
      </c>
      <c r="E2117" t="s">
        <v>12184</v>
      </c>
      <c r="G2117" t="s">
        <v>12185</v>
      </c>
      <c r="H2117" t="s">
        <v>539</v>
      </c>
      <c r="L2117" t="s">
        <v>142</v>
      </c>
      <c r="M2117" t="s">
        <v>113</v>
      </c>
      <c r="R2117" t="s">
        <v>12185</v>
      </c>
      <c r="W2117" t="s">
        <v>12184</v>
      </c>
      <c r="X2117" t="s">
        <v>6222</v>
      </c>
      <c r="Y2117" t="s">
        <v>541</v>
      </c>
      <c r="Z2117" t="s">
        <v>117</v>
      </c>
      <c r="AA2117" t="str">
        <f>"14048-2237"</f>
        <v>14048-2237</v>
      </c>
      <c r="AB2117" t="s">
        <v>118</v>
      </c>
      <c r="AC2117" t="s">
        <v>119</v>
      </c>
      <c r="AD2117" t="s">
        <v>113</v>
      </c>
      <c r="AE2117" t="s">
        <v>120</v>
      </c>
      <c r="AG2117" t="s">
        <v>121</v>
      </c>
    </row>
    <row r="2118" spans="1:33" x14ac:dyDescent="0.25">
      <c r="A2118" t="str">
        <f>"1366481657"</f>
        <v>1366481657</v>
      </c>
      <c r="B2118" t="str">
        <f>"02522952"</f>
        <v>02522952</v>
      </c>
      <c r="C2118" t="s">
        <v>12186</v>
      </c>
      <c r="D2118" t="s">
        <v>12187</v>
      </c>
      <c r="E2118" t="s">
        <v>12188</v>
      </c>
      <c r="G2118" t="s">
        <v>12189</v>
      </c>
      <c r="H2118" t="s">
        <v>2812</v>
      </c>
      <c r="J2118" t="s">
        <v>12190</v>
      </c>
      <c r="L2118" t="s">
        <v>142</v>
      </c>
      <c r="M2118" t="s">
        <v>113</v>
      </c>
      <c r="R2118" t="s">
        <v>12191</v>
      </c>
      <c r="W2118" t="s">
        <v>12188</v>
      </c>
      <c r="X2118" t="s">
        <v>2815</v>
      </c>
      <c r="Y2118" t="s">
        <v>240</v>
      </c>
      <c r="Z2118" t="s">
        <v>117</v>
      </c>
      <c r="AA2118" t="str">
        <f>"14221-6800"</f>
        <v>14221-6800</v>
      </c>
      <c r="AB2118" t="s">
        <v>118</v>
      </c>
      <c r="AC2118" t="s">
        <v>119</v>
      </c>
      <c r="AD2118" t="s">
        <v>113</v>
      </c>
      <c r="AE2118" t="s">
        <v>120</v>
      </c>
      <c r="AG2118" t="s">
        <v>121</v>
      </c>
    </row>
    <row r="2119" spans="1:33" x14ac:dyDescent="0.25">
      <c r="A2119" t="str">
        <f>"1588602064"</f>
        <v>1588602064</v>
      </c>
      <c r="B2119" t="str">
        <f>"02996358"</f>
        <v>02996358</v>
      </c>
      <c r="C2119" t="s">
        <v>20707</v>
      </c>
      <c r="D2119" t="s">
        <v>24129</v>
      </c>
      <c r="E2119" t="s">
        <v>24130</v>
      </c>
      <c r="G2119" t="s">
        <v>24131</v>
      </c>
      <c r="H2119" t="s">
        <v>617</v>
      </c>
      <c r="J2119" t="s">
        <v>24132</v>
      </c>
      <c r="L2119" t="s">
        <v>2585</v>
      </c>
      <c r="M2119" t="s">
        <v>199</v>
      </c>
      <c r="R2119" t="s">
        <v>20707</v>
      </c>
      <c r="W2119" t="s">
        <v>24133</v>
      </c>
      <c r="X2119" t="s">
        <v>24134</v>
      </c>
      <c r="Y2119" t="s">
        <v>192</v>
      </c>
      <c r="Z2119" t="s">
        <v>117</v>
      </c>
      <c r="AA2119" t="str">
        <f>"14020-3496"</f>
        <v>14020-3496</v>
      </c>
      <c r="AB2119" t="s">
        <v>1460</v>
      </c>
      <c r="AC2119" t="s">
        <v>119</v>
      </c>
      <c r="AD2119" t="s">
        <v>113</v>
      </c>
      <c r="AE2119" t="s">
        <v>120</v>
      </c>
      <c r="AG2119" t="s">
        <v>121</v>
      </c>
    </row>
    <row r="2120" spans="1:33" x14ac:dyDescent="0.25">
      <c r="A2120" t="str">
        <f>"1366493884"</f>
        <v>1366493884</v>
      </c>
      <c r="B2120" t="str">
        <f>"03529013"</f>
        <v>03529013</v>
      </c>
      <c r="C2120" t="s">
        <v>12196</v>
      </c>
      <c r="D2120" t="s">
        <v>12197</v>
      </c>
      <c r="E2120" t="s">
        <v>12198</v>
      </c>
      <c r="G2120" t="s">
        <v>12196</v>
      </c>
      <c r="H2120" t="s">
        <v>12199</v>
      </c>
      <c r="J2120" t="s">
        <v>12200</v>
      </c>
      <c r="L2120" t="s">
        <v>142</v>
      </c>
      <c r="M2120" t="s">
        <v>113</v>
      </c>
      <c r="R2120" t="s">
        <v>12201</v>
      </c>
      <c r="W2120" t="s">
        <v>12198</v>
      </c>
      <c r="X2120" t="s">
        <v>4408</v>
      </c>
      <c r="Y2120" t="s">
        <v>145</v>
      </c>
      <c r="Z2120" t="s">
        <v>117</v>
      </c>
      <c r="AA2120" t="str">
        <f>"14051-2606"</f>
        <v>14051-2606</v>
      </c>
      <c r="AB2120" t="s">
        <v>118</v>
      </c>
      <c r="AC2120" t="s">
        <v>119</v>
      </c>
      <c r="AD2120" t="s">
        <v>113</v>
      </c>
      <c r="AE2120" t="s">
        <v>120</v>
      </c>
      <c r="AG2120" t="s">
        <v>121</v>
      </c>
    </row>
    <row r="2121" spans="1:33" x14ac:dyDescent="0.25">
      <c r="A2121" t="str">
        <f>"1366545477"</f>
        <v>1366545477</v>
      </c>
      <c r="B2121" t="str">
        <f>"02209369"</f>
        <v>02209369</v>
      </c>
      <c r="C2121" t="s">
        <v>12202</v>
      </c>
      <c r="D2121" t="s">
        <v>12203</v>
      </c>
      <c r="E2121" t="s">
        <v>12204</v>
      </c>
      <c r="L2121" t="s">
        <v>142</v>
      </c>
      <c r="M2121" t="s">
        <v>113</v>
      </c>
      <c r="R2121" t="s">
        <v>12205</v>
      </c>
      <c r="W2121" t="s">
        <v>12204</v>
      </c>
      <c r="X2121" t="s">
        <v>12206</v>
      </c>
      <c r="Y2121" t="s">
        <v>153</v>
      </c>
      <c r="Z2121" t="s">
        <v>117</v>
      </c>
      <c r="AA2121" t="str">
        <f>"14301-1841"</f>
        <v>14301-1841</v>
      </c>
      <c r="AB2121" t="s">
        <v>118</v>
      </c>
      <c r="AC2121" t="s">
        <v>119</v>
      </c>
      <c r="AD2121" t="s">
        <v>113</v>
      </c>
      <c r="AE2121" t="s">
        <v>120</v>
      </c>
      <c r="AG2121" t="s">
        <v>121</v>
      </c>
    </row>
    <row r="2122" spans="1:33" x14ac:dyDescent="0.25">
      <c r="A2122" t="str">
        <f>"1366548364"</f>
        <v>1366548364</v>
      </c>
      <c r="B2122" t="str">
        <f>"03846715"</f>
        <v>03846715</v>
      </c>
      <c r="C2122" t="s">
        <v>12207</v>
      </c>
      <c r="D2122" t="s">
        <v>12208</v>
      </c>
      <c r="E2122" t="s">
        <v>12209</v>
      </c>
      <c r="G2122" t="s">
        <v>12207</v>
      </c>
      <c r="H2122" t="s">
        <v>12210</v>
      </c>
      <c r="J2122" t="s">
        <v>12211</v>
      </c>
      <c r="L2122" t="s">
        <v>142</v>
      </c>
      <c r="M2122" t="s">
        <v>113</v>
      </c>
      <c r="R2122" t="s">
        <v>12212</v>
      </c>
      <c r="W2122" t="s">
        <v>12209</v>
      </c>
      <c r="X2122" t="s">
        <v>176</v>
      </c>
      <c r="Y2122" t="s">
        <v>116</v>
      </c>
      <c r="Z2122" t="s">
        <v>117</v>
      </c>
      <c r="AA2122" t="str">
        <f>"14203-1126"</f>
        <v>14203-1126</v>
      </c>
      <c r="AB2122" t="s">
        <v>118</v>
      </c>
      <c r="AC2122" t="s">
        <v>119</v>
      </c>
      <c r="AD2122" t="s">
        <v>113</v>
      </c>
      <c r="AE2122" t="s">
        <v>120</v>
      </c>
      <c r="AG2122" t="s">
        <v>121</v>
      </c>
    </row>
    <row r="2123" spans="1:33" x14ac:dyDescent="0.25">
      <c r="A2123" t="str">
        <f>"1366568420"</f>
        <v>1366568420</v>
      </c>
      <c r="B2123" t="str">
        <f>"02884962"</f>
        <v>02884962</v>
      </c>
      <c r="C2123" t="s">
        <v>12213</v>
      </c>
      <c r="D2123" t="s">
        <v>12214</v>
      </c>
      <c r="E2123" t="s">
        <v>12215</v>
      </c>
      <c r="G2123" t="s">
        <v>12213</v>
      </c>
      <c r="H2123" t="s">
        <v>12216</v>
      </c>
      <c r="J2123" t="s">
        <v>12217</v>
      </c>
      <c r="L2123" t="s">
        <v>112</v>
      </c>
      <c r="M2123" t="s">
        <v>113</v>
      </c>
      <c r="R2123" t="s">
        <v>12218</v>
      </c>
      <c r="W2123" t="s">
        <v>12219</v>
      </c>
      <c r="X2123" t="s">
        <v>12220</v>
      </c>
      <c r="Y2123" t="s">
        <v>240</v>
      </c>
      <c r="Z2123" t="s">
        <v>117</v>
      </c>
      <c r="AA2123" t="str">
        <f>"14221-2700"</f>
        <v>14221-2700</v>
      </c>
      <c r="AB2123" t="s">
        <v>118</v>
      </c>
      <c r="AC2123" t="s">
        <v>119</v>
      </c>
      <c r="AD2123" t="s">
        <v>113</v>
      </c>
      <c r="AE2123" t="s">
        <v>120</v>
      </c>
      <c r="AG2123" t="s">
        <v>121</v>
      </c>
    </row>
    <row r="2124" spans="1:33" x14ac:dyDescent="0.25">
      <c r="A2124" t="str">
        <f>"1366583767"</f>
        <v>1366583767</v>
      </c>
      <c r="B2124" t="str">
        <f>"02897607"</f>
        <v>02897607</v>
      </c>
      <c r="C2124" t="s">
        <v>12221</v>
      </c>
      <c r="D2124" t="s">
        <v>12222</v>
      </c>
      <c r="E2124" t="s">
        <v>12223</v>
      </c>
      <c r="G2124" t="s">
        <v>12221</v>
      </c>
      <c r="H2124" t="s">
        <v>1006</v>
      </c>
      <c r="J2124" t="s">
        <v>12224</v>
      </c>
      <c r="L2124" t="s">
        <v>142</v>
      </c>
      <c r="M2124" t="s">
        <v>113</v>
      </c>
      <c r="R2124" t="s">
        <v>12225</v>
      </c>
      <c r="W2124" t="s">
        <v>12223</v>
      </c>
      <c r="X2124" t="s">
        <v>253</v>
      </c>
      <c r="Y2124" t="s">
        <v>116</v>
      </c>
      <c r="Z2124" t="s">
        <v>117</v>
      </c>
      <c r="AA2124" t="str">
        <f>"14215-3021"</f>
        <v>14215-3021</v>
      </c>
      <c r="AB2124" t="s">
        <v>118</v>
      </c>
      <c r="AC2124" t="s">
        <v>119</v>
      </c>
      <c r="AD2124" t="s">
        <v>113</v>
      </c>
      <c r="AE2124" t="s">
        <v>120</v>
      </c>
      <c r="AG2124" t="s">
        <v>121</v>
      </c>
    </row>
    <row r="2125" spans="1:33" x14ac:dyDescent="0.25">
      <c r="A2125" t="str">
        <f>"1366592032"</f>
        <v>1366592032</v>
      </c>
      <c r="B2125" t="str">
        <f>"02274275"</f>
        <v>02274275</v>
      </c>
      <c r="C2125" t="s">
        <v>12226</v>
      </c>
      <c r="D2125" t="s">
        <v>12227</v>
      </c>
      <c r="E2125" t="s">
        <v>12228</v>
      </c>
      <c r="G2125" t="s">
        <v>12226</v>
      </c>
      <c r="H2125" t="s">
        <v>12229</v>
      </c>
      <c r="J2125" t="s">
        <v>12230</v>
      </c>
      <c r="L2125" t="s">
        <v>112</v>
      </c>
      <c r="M2125" t="s">
        <v>113</v>
      </c>
      <c r="R2125" t="s">
        <v>12231</v>
      </c>
      <c r="W2125" t="s">
        <v>12228</v>
      </c>
      <c r="X2125" t="s">
        <v>12228</v>
      </c>
      <c r="Y2125" t="s">
        <v>116</v>
      </c>
      <c r="Z2125" t="s">
        <v>117</v>
      </c>
      <c r="AA2125" t="str">
        <f>"14209-2008"</f>
        <v>14209-2008</v>
      </c>
      <c r="AB2125" t="s">
        <v>2359</v>
      </c>
      <c r="AC2125" t="s">
        <v>119</v>
      </c>
      <c r="AD2125" t="s">
        <v>113</v>
      </c>
      <c r="AE2125" t="s">
        <v>120</v>
      </c>
      <c r="AG2125" t="s">
        <v>121</v>
      </c>
    </row>
    <row r="2126" spans="1:33" x14ac:dyDescent="0.25">
      <c r="A2126" t="str">
        <f>"1518939750"</f>
        <v>1518939750</v>
      </c>
      <c r="B2126" t="str">
        <f>"01608680"</f>
        <v>01608680</v>
      </c>
      <c r="C2126" t="s">
        <v>12232</v>
      </c>
      <c r="D2126" t="s">
        <v>12233</v>
      </c>
      <c r="E2126" t="s">
        <v>12234</v>
      </c>
      <c r="G2126" t="s">
        <v>859</v>
      </c>
      <c r="H2126" t="s">
        <v>478</v>
      </c>
      <c r="J2126" t="s">
        <v>861</v>
      </c>
      <c r="L2126" t="s">
        <v>728</v>
      </c>
      <c r="M2126" t="s">
        <v>113</v>
      </c>
      <c r="R2126" t="s">
        <v>12235</v>
      </c>
      <c r="W2126" t="s">
        <v>12235</v>
      </c>
      <c r="X2126" t="s">
        <v>253</v>
      </c>
      <c r="Y2126" t="s">
        <v>116</v>
      </c>
      <c r="Z2126" t="s">
        <v>117</v>
      </c>
      <c r="AA2126" t="str">
        <f>"14215-3021"</f>
        <v>14215-3021</v>
      </c>
      <c r="AB2126" t="s">
        <v>118</v>
      </c>
      <c r="AC2126" t="s">
        <v>119</v>
      </c>
      <c r="AD2126" t="s">
        <v>113</v>
      </c>
      <c r="AE2126" t="s">
        <v>120</v>
      </c>
      <c r="AG2126" t="s">
        <v>121</v>
      </c>
    </row>
    <row r="2127" spans="1:33" x14ac:dyDescent="0.25">
      <c r="A2127" t="str">
        <f>"1518939826"</f>
        <v>1518939826</v>
      </c>
      <c r="B2127" t="str">
        <f>"02146954"</f>
        <v>02146954</v>
      </c>
      <c r="C2127" t="s">
        <v>12236</v>
      </c>
      <c r="D2127" t="s">
        <v>12237</v>
      </c>
      <c r="E2127" t="s">
        <v>12238</v>
      </c>
      <c r="G2127" t="s">
        <v>12236</v>
      </c>
      <c r="H2127" t="s">
        <v>12239</v>
      </c>
      <c r="J2127" t="s">
        <v>12240</v>
      </c>
      <c r="L2127" t="s">
        <v>142</v>
      </c>
      <c r="M2127" t="s">
        <v>113</v>
      </c>
      <c r="R2127" t="s">
        <v>12241</v>
      </c>
      <c r="W2127" t="s">
        <v>12238</v>
      </c>
      <c r="X2127" t="s">
        <v>12242</v>
      </c>
      <c r="Y2127" t="s">
        <v>116</v>
      </c>
      <c r="Z2127" t="s">
        <v>117</v>
      </c>
      <c r="AA2127" t="str">
        <f>"14222-2006"</f>
        <v>14222-2006</v>
      </c>
      <c r="AB2127" t="s">
        <v>118</v>
      </c>
      <c r="AC2127" t="s">
        <v>119</v>
      </c>
      <c r="AD2127" t="s">
        <v>113</v>
      </c>
      <c r="AE2127" t="s">
        <v>120</v>
      </c>
      <c r="AG2127" t="s">
        <v>121</v>
      </c>
    </row>
    <row r="2128" spans="1:33" x14ac:dyDescent="0.25">
      <c r="A2128" t="str">
        <f>"1518944990"</f>
        <v>1518944990</v>
      </c>
      <c r="B2128" t="str">
        <f>"00682206"</f>
        <v>00682206</v>
      </c>
      <c r="C2128" t="s">
        <v>12243</v>
      </c>
      <c r="D2128" t="s">
        <v>12244</v>
      </c>
      <c r="E2128" t="s">
        <v>12245</v>
      </c>
      <c r="G2128" t="s">
        <v>12243</v>
      </c>
      <c r="H2128" t="s">
        <v>6210</v>
      </c>
      <c r="J2128" t="s">
        <v>12246</v>
      </c>
      <c r="L2128" t="s">
        <v>142</v>
      </c>
      <c r="M2128" t="s">
        <v>113</v>
      </c>
      <c r="R2128" t="s">
        <v>12247</v>
      </c>
      <c r="W2128" t="s">
        <v>12245</v>
      </c>
      <c r="X2128" t="s">
        <v>216</v>
      </c>
      <c r="Y2128" t="s">
        <v>116</v>
      </c>
      <c r="Z2128" t="s">
        <v>117</v>
      </c>
      <c r="AA2128" t="str">
        <f>"14222-2006"</f>
        <v>14222-2006</v>
      </c>
      <c r="AB2128" t="s">
        <v>118</v>
      </c>
      <c r="AC2128" t="s">
        <v>119</v>
      </c>
      <c r="AD2128" t="s">
        <v>113</v>
      </c>
      <c r="AE2128" t="s">
        <v>120</v>
      </c>
      <c r="AG2128" t="s">
        <v>121</v>
      </c>
    </row>
    <row r="2129" spans="1:33" x14ac:dyDescent="0.25">
      <c r="A2129" t="str">
        <f>"1518949379"</f>
        <v>1518949379</v>
      </c>
      <c r="B2129" t="str">
        <f>"01592910"</f>
        <v>01592910</v>
      </c>
      <c r="C2129" t="s">
        <v>12248</v>
      </c>
      <c r="D2129" t="s">
        <v>12249</v>
      </c>
      <c r="E2129" t="s">
        <v>12250</v>
      </c>
      <c r="G2129" t="s">
        <v>12248</v>
      </c>
      <c r="H2129" t="s">
        <v>2347</v>
      </c>
      <c r="J2129" t="s">
        <v>12251</v>
      </c>
      <c r="L2129" t="s">
        <v>150</v>
      </c>
      <c r="M2129" t="s">
        <v>113</v>
      </c>
      <c r="R2129" t="s">
        <v>12252</v>
      </c>
      <c r="W2129" t="s">
        <v>12250</v>
      </c>
      <c r="X2129" t="s">
        <v>253</v>
      </c>
      <c r="Y2129" t="s">
        <v>116</v>
      </c>
      <c r="Z2129" t="s">
        <v>117</v>
      </c>
      <c r="AA2129" t="str">
        <f>"14215-3021"</f>
        <v>14215-3021</v>
      </c>
      <c r="AB2129" t="s">
        <v>118</v>
      </c>
      <c r="AC2129" t="s">
        <v>119</v>
      </c>
      <c r="AD2129" t="s">
        <v>113</v>
      </c>
      <c r="AE2129" t="s">
        <v>120</v>
      </c>
      <c r="AG2129" t="s">
        <v>121</v>
      </c>
    </row>
    <row r="2130" spans="1:33" x14ac:dyDescent="0.25">
      <c r="A2130" t="str">
        <f>"1629482146"</f>
        <v>1629482146</v>
      </c>
      <c r="C2130" t="s">
        <v>12253</v>
      </c>
      <c r="G2130" t="s">
        <v>12254</v>
      </c>
      <c r="H2130" t="s">
        <v>471</v>
      </c>
      <c r="J2130" t="s">
        <v>12255</v>
      </c>
      <c r="K2130" t="s">
        <v>303</v>
      </c>
      <c r="L2130" t="s">
        <v>229</v>
      </c>
      <c r="M2130" t="s">
        <v>113</v>
      </c>
      <c r="R2130" t="s">
        <v>12256</v>
      </c>
      <c r="S2130" t="s">
        <v>474</v>
      </c>
      <c r="T2130" t="s">
        <v>116</v>
      </c>
      <c r="U2130" t="s">
        <v>117</v>
      </c>
      <c r="V2130" t="str">
        <f>"142141316"</f>
        <v>142141316</v>
      </c>
      <c r="AC2130" t="s">
        <v>119</v>
      </c>
      <c r="AD2130" t="s">
        <v>113</v>
      </c>
      <c r="AE2130" t="s">
        <v>306</v>
      </c>
      <c r="AG2130" t="s">
        <v>121</v>
      </c>
    </row>
    <row r="2131" spans="1:33" x14ac:dyDescent="0.25">
      <c r="A2131" t="str">
        <f>"1639105414"</f>
        <v>1639105414</v>
      </c>
      <c r="B2131" t="str">
        <f>"02672571"</f>
        <v>02672571</v>
      </c>
      <c r="C2131" t="s">
        <v>12257</v>
      </c>
      <c r="D2131" t="s">
        <v>12258</v>
      </c>
      <c r="E2131" t="s">
        <v>12259</v>
      </c>
      <c r="G2131" t="s">
        <v>12257</v>
      </c>
      <c r="H2131" t="s">
        <v>12260</v>
      </c>
      <c r="J2131" t="s">
        <v>12261</v>
      </c>
      <c r="L2131" t="s">
        <v>142</v>
      </c>
      <c r="M2131" t="s">
        <v>113</v>
      </c>
      <c r="R2131" t="s">
        <v>12262</v>
      </c>
      <c r="W2131" t="s">
        <v>12259</v>
      </c>
      <c r="X2131" t="s">
        <v>216</v>
      </c>
      <c r="Y2131" t="s">
        <v>116</v>
      </c>
      <c r="Z2131" t="s">
        <v>117</v>
      </c>
      <c r="AA2131" t="str">
        <f>"14222-2006"</f>
        <v>14222-2006</v>
      </c>
      <c r="AB2131" t="s">
        <v>118</v>
      </c>
      <c r="AC2131" t="s">
        <v>119</v>
      </c>
      <c r="AD2131" t="s">
        <v>113</v>
      </c>
      <c r="AE2131" t="s">
        <v>120</v>
      </c>
      <c r="AG2131" t="s">
        <v>121</v>
      </c>
    </row>
    <row r="2132" spans="1:33" x14ac:dyDescent="0.25">
      <c r="A2132" t="str">
        <f>"1639107196"</f>
        <v>1639107196</v>
      </c>
      <c r="B2132" t="str">
        <f>"02287185"</f>
        <v>02287185</v>
      </c>
      <c r="C2132" t="s">
        <v>12263</v>
      </c>
      <c r="D2132" t="s">
        <v>12264</v>
      </c>
      <c r="E2132" t="s">
        <v>12265</v>
      </c>
      <c r="G2132" t="s">
        <v>12266</v>
      </c>
      <c r="H2132" t="s">
        <v>1109</v>
      </c>
      <c r="J2132" t="s">
        <v>12267</v>
      </c>
      <c r="L2132" t="s">
        <v>112</v>
      </c>
      <c r="M2132" t="s">
        <v>113</v>
      </c>
      <c r="R2132" t="s">
        <v>12268</v>
      </c>
      <c r="W2132" t="s">
        <v>12265</v>
      </c>
      <c r="X2132" t="s">
        <v>11453</v>
      </c>
      <c r="Y2132" t="s">
        <v>116</v>
      </c>
      <c r="Z2132" t="s">
        <v>117</v>
      </c>
      <c r="AA2132" t="str">
        <f>"14226-1855"</f>
        <v>14226-1855</v>
      </c>
      <c r="AB2132" t="s">
        <v>118</v>
      </c>
      <c r="AC2132" t="s">
        <v>119</v>
      </c>
      <c r="AD2132" t="s">
        <v>113</v>
      </c>
      <c r="AE2132" t="s">
        <v>120</v>
      </c>
      <c r="AG2132" t="s">
        <v>121</v>
      </c>
    </row>
    <row r="2133" spans="1:33" x14ac:dyDescent="0.25">
      <c r="A2133" t="str">
        <f>"1639113129"</f>
        <v>1639113129</v>
      </c>
      <c r="B2133" t="str">
        <f>"02563871"</f>
        <v>02563871</v>
      </c>
      <c r="C2133" t="s">
        <v>12269</v>
      </c>
      <c r="D2133" t="s">
        <v>12270</v>
      </c>
      <c r="E2133" t="s">
        <v>12271</v>
      </c>
      <c r="G2133" t="s">
        <v>12269</v>
      </c>
      <c r="H2133" t="s">
        <v>12272</v>
      </c>
      <c r="J2133" t="s">
        <v>12273</v>
      </c>
      <c r="L2133" t="s">
        <v>142</v>
      </c>
      <c r="M2133" t="s">
        <v>113</v>
      </c>
      <c r="R2133" t="s">
        <v>12274</v>
      </c>
      <c r="W2133" t="s">
        <v>12271</v>
      </c>
      <c r="X2133" t="s">
        <v>12275</v>
      </c>
      <c r="Y2133" t="s">
        <v>3649</v>
      </c>
      <c r="Z2133" t="s">
        <v>117</v>
      </c>
      <c r="AA2133" t="str">
        <f>"14072-2249"</f>
        <v>14072-2249</v>
      </c>
      <c r="AB2133" t="s">
        <v>118</v>
      </c>
      <c r="AC2133" t="s">
        <v>119</v>
      </c>
      <c r="AD2133" t="s">
        <v>113</v>
      </c>
      <c r="AE2133" t="s">
        <v>120</v>
      </c>
      <c r="AG2133" t="s">
        <v>121</v>
      </c>
    </row>
    <row r="2134" spans="1:33" x14ac:dyDescent="0.25">
      <c r="A2134" t="str">
        <f>"1346489135"</f>
        <v>1346489135</v>
      </c>
      <c r="C2134" t="s">
        <v>12276</v>
      </c>
      <c r="G2134" t="s">
        <v>12277</v>
      </c>
      <c r="H2134" t="s">
        <v>1538</v>
      </c>
      <c r="J2134" t="s">
        <v>352</v>
      </c>
      <c r="K2134" t="s">
        <v>303</v>
      </c>
      <c r="L2134" t="s">
        <v>229</v>
      </c>
      <c r="M2134" t="s">
        <v>113</v>
      </c>
      <c r="R2134" t="s">
        <v>12278</v>
      </c>
      <c r="S2134" t="s">
        <v>405</v>
      </c>
      <c r="T2134" t="s">
        <v>116</v>
      </c>
      <c r="U2134" t="s">
        <v>117</v>
      </c>
      <c r="V2134" t="str">
        <f>"142151139"</f>
        <v>142151139</v>
      </c>
      <c r="AC2134" t="s">
        <v>119</v>
      </c>
      <c r="AD2134" t="s">
        <v>113</v>
      </c>
      <c r="AE2134" t="s">
        <v>306</v>
      </c>
      <c r="AG2134" t="s">
        <v>121</v>
      </c>
    </row>
    <row r="2135" spans="1:33" x14ac:dyDescent="0.25">
      <c r="A2135" t="str">
        <f>"1346517554"</f>
        <v>1346517554</v>
      </c>
      <c r="C2135" t="s">
        <v>12279</v>
      </c>
      <c r="G2135" t="s">
        <v>12280</v>
      </c>
      <c r="H2135" t="s">
        <v>351</v>
      </c>
      <c r="J2135" t="s">
        <v>352</v>
      </c>
      <c r="K2135" t="s">
        <v>303</v>
      </c>
      <c r="L2135" t="s">
        <v>112</v>
      </c>
      <c r="M2135" t="s">
        <v>113</v>
      </c>
      <c r="R2135" t="s">
        <v>12281</v>
      </c>
      <c r="S2135" t="s">
        <v>409</v>
      </c>
      <c r="T2135" t="s">
        <v>116</v>
      </c>
      <c r="U2135" t="s">
        <v>117</v>
      </c>
      <c r="V2135" t="str">
        <f>"142152814"</f>
        <v>142152814</v>
      </c>
      <c r="AC2135" t="s">
        <v>119</v>
      </c>
      <c r="AD2135" t="s">
        <v>113</v>
      </c>
      <c r="AE2135" t="s">
        <v>306</v>
      </c>
      <c r="AG2135" t="s">
        <v>121</v>
      </c>
    </row>
    <row r="2136" spans="1:33" x14ac:dyDescent="0.25">
      <c r="A2136" t="str">
        <f>"1346541695"</f>
        <v>1346541695</v>
      </c>
      <c r="B2136" t="str">
        <f>"03443170"</f>
        <v>03443170</v>
      </c>
      <c r="C2136" t="s">
        <v>12282</v>
      </c>
      <c r="D2136" t="s">
        <v>12283</v>
      </c>
      <c r="E2136" t="s">
        <v>12284</v>
      </c>
      <c r="G2136" t="s">
        <v>12282</v>
      </c>
      <c r="H2136" t="s">
        <v>7029</v>
      </c>
      <c r="J2136" t="s">
        <v>12285</v>
      </c>
      <c r="L2136" t="s">
        <v>142</v>
      </c>
      <c r="M2136" t="s">
        <v>113</v>
      </c>
      <c r="R2136" t="s">
        <v>12286</v>
      </c>
      <c r="W2136" t="s">
        <v>12284</v>
      </c>
      <c r="X2136" t="s">
        <v>3739</v>
      </c>
      <c r="Y2136" t="s">
        <v>240</v>
      </c>
      <c r="Z2136" t="s">
        <v>117</v>
      </c>
      <c r="AA2136" t="str">
        <f>"14221-6728"</f>
        <v>14221-6728</v>
      </c>
      <c r="AB2136" t="s">
        <v>118</v>
      </c>
      <c r="AC2136" t="s">
        <v>119</v>
      </c>
      <c r="AD2136" t="s">
        <v>113</v>
      </c>
      <c r="AE2136" t="s">
        <v>120</v>
      </c>
      <c r="AG2136" t="s">
        <v>121</v>
      </c>
    </row>
    <row r="2137" spans="1:33" x14ac:dyDescent="0.25">
      <c r="A2137" t="str">
        <f>"1346568227"</f>
        <v>1346568227</v>
      </c>
      <c r="B2137" t="str">
        <f>"03365657"</f>
        <v>03365657</v>
      </c>
      <c r="C2137" t="s">
        <v>12287</v>
      </c>
      <c r="D2137" t="s">
        <v>12288</v>
      </c>
      <c r="E2137" t="s">
        <v>12289</v>
      </c>
      <c r="G2137" t="s">
        <v>12287</v>
      </c>
      <c r="H2137" t="s">
        <v>227</v>
      </c>
      <c r="J2137" t="s">
        <v>12290</v>
      </c>
      <c r="L2137" t="s">
        <v>142</v>
      </c>
      <c r="M2137" t="s">
        <v>113</v>
      </c>
      <c r="R2137" t="s">
        <v>12289</v>
      </c>
      <c r="W2137" t="s">
        <v>12289</v>
      </c>
      <c r="X2137" t="s">
        <v>2689</v>
      </c>
      <c r="Y2137" t="s">
        <v>2690</v>
      </c>
      <c r="Z2137" t="s">
        <v>117</v>
      </c>
      <c r="AA2137" t="str">
        <f>"10451"</f>
        <v>10451</v>
      </c>
      <c r="AB2137" t="s">
        <v>118</v>
      </c>
      <c r="AC2137" t="s">
        <v>119</v>
      </c>
      <c r="AD2137" t="s">
        <v>113</v>
      </c>
      <c r="AE2137" t="s">
        <v>120</v>
      </c>
      <c r="AG2137" t="s">
        <v>121</v>
      </c>
    </row>
    <row r="2138" spans="1:33" x14ac:dyDescent="0.25">
      <c r="A2138" t="str">
        <f>"1346580800"</f>
        <v>1346580800</v>
      </c>
      <c r="B2138" t="str">
        <f>"03756714"</f>
        <v>03756714</v>
      </c>
      <c r="C2138" t="s">
        <v>12291</v>
      </c>
      <c r="D2138" t="s">
        <v>12292</v>
      </c>
      <c r="E2138" t="s">
        <v>12293</v>
      </c>
      <c r="G2138" t="s">
        <v>12294</v>
      </c>
      <c r="H2138" t="s">
        <v>1964</v>
      </c>
      <c r="J2138" t="s">
        <v>12295</v>
      </c>
      <c r="L2138" t="s">
        <v>112</v>
      </c>
      <c r="M2138" t="s">
        <v>113</v>
      </c>
      <c r="R2138" t="s">
        <v>12296</v>
      </c>
      <c r="W2138" t="s">
        <v>12293</v>
      </c>
      <c r="X2138" t="s">
        <v>176</v>
      </c>
      <c r="Y2138" t="s">
        <v>116</v>
      </c>
      <c r="Z2138" t="s">
        <v>117</v>
      </c>
      <c r="AA2138" t="str">
        <f>"14203-1126"</f>
        <v>14203-1126</v>
      </c>
      <c r="AB2138" t="s">
        <v>118</v>
      </c>
      <c r="AC2138" t="s">
        <v>119</v>
      </c>
      <c r="AD2138" t="s">
        <v>113</v>
      </c>
      <c r="AE2138" t="s">
        <v>120</v>
      </c>
      <c r="AG2138" t="s">
        <v>121</v>
      </c>
    </row>
    <row r="2139" spans="1:33" x14ac:dyDescent="0.25">
      <c r="A2139" t="str">
        <f>"1346587037"</f>
        <v>1346587037</v>
      </c>
      <c r="B2139" t="str">
        <f>"03776698"</f>
        <v>03776698</v>
      </c>
      <c r="C2139" t="s">
        <v>12297</v>
      </c>
      <c r="D2139" t="s">
        <v>12298</v>
      </c>
      <c r="E2139" t="s">
        <v>12299</v>
      </c>
      <c r="G2139" t="s">
        <v>12297</v>
      </c>
      <c r="H2139" t="s">
        <v>12300</v>
      </c>
      <c r="J2139" t="s">
        <v>12301</v>
      </c>
      <c r="L2139" t="s">
        <v>112</v>
      </c>
      <c r="M2139" t="s">
        <v>113</v>
      </c>
      <c r="R2139" t="s">
        <v>12302</v>
      </c>
      <c r="W2139" t="s">
        <v>12299</v>
      </c>
      <c r="X2139" t="s">
        <v>1845</v>
      </c>
      <c r="Y2139" t="s">
        <v>816</v>
      </c>
      <c r="Z2139" t="s">
        <v>117</v>
      </c>
      <c r="AA2139" t="str">
        <f>"14120-6150"</f>
        <v>14120-6150</v>
      </c>
      <c r="AB2139" t="s">
        <v>118</v>
      </c>
      <c r="AC2139" t="s">
        <v>119</v>
      </c>
      <c r="AD2139" t="s">
        <v>113</v>
      </c>
      <c r="AE2139" t="s">
        <v>120</v>
      </c>
      <c r="AG2139" t="s">
        <v>121</v>
      </c>
    </row>
    <row r="2140" spans="1:33" x14ac:dyDescent="0.25">
      <c r="A2140" t="str">
        <f>"1346663291"</f>
        <v>1346663291</v>
      </c>
      <c r="B2140" t="str">
        <f>"03794685"</f>
        <v>03794685</v>
      </c>
      <c r="C2140" t="s">
        <v>12303</v>
      </c>
      <c r="D2140" t="s">
        <v>12304</v>
      </c>
      <c r="E2140" t="s">
        <v>12305</v>
      </c>
      <c r="G2140" t="s">
        <v>12303</v>
      </c>
      <c r="H2140" t="s">
        <v>590</v>
      </c>
      <c r="J2140" t="s">
        <v>12306</v>
      </c>
      <c r="L2140" t="s">
        <v>112</v>
      </c>
      <c r="M2140" t="s">
        <v>113</v>
      </c>
      <c r="R2140" t="s">
        <v>12305</v>
      </c>
      <c r="W2140" t="s">
        <v>12307</v>
      </c>
      <c r="X2140" t="s">
        <v>651</v>
      </c>
      <c r="Y2140" t="s">
        <v>116</v>
      </c>
      <c r="Z2140" t="s">
        <v>117</v>
      </c>
      <c r="AA2140" t="str">
        <f>"14209-1912"</f>
        <v>14209-1912</v>
      </c>
      <c r="AB2140" t="s">
        <v>528</v>
      </c>
      <c r="AC2140" t="s">
        <v>119</v>
      </c>
      <c r="AD2140" t="s">
        <v>113</v>
      </c>
      <c r="AE2140" t="s">
        <v>120</v>
      </c>
      <c r="AG2140" t="s">
        <v>121</v>
      </c>
    </row>
    <row r="2141" spans="1:33" x14ac:dyDescent="0.25">
      <c r="A2141" t="str">
        <f>"1346689056"</f>
        <v>1346689056</v>
      </c>
      <c r="C2141" t="s">
        <v>12308</v>
      </c>
      <c r="G2141" t="s">
        <v>12309</v>
      </c>
      <c r="H2141" t="s">
        <v>351</v>
      </c>
      <c r="J2141" t="s">
        <v>352</v>
      </c>
      <c r="K2141" t="s">
        <v>303</v>
      </c>
      <c r="L2141" t="s">
        <v>229</v>
      </c>
      <c r="M2141" t="s">
        <v>113</v>
      </c>
      <c r="R2141" t="s">
        <v>12310</v>
      </c>
      <c r="S2141" t="s">
        <v>354</v>
      </c>
      <c r="T2141" t="s">
        <v>116</v>
      </c>
      <c r="U2141" t="s">
        <v>117</v>
      </c>
      <c r="V2141" t="str">
        <f>"142152814"</f>
        <v>142152814</v>
      </c>
      <c r="AC2141" t="s">
        <v>119</v>
      </c>
      <c r="AD2141" t="s">
        <v>113</v>
      </c>
      <c r="AE2141" t="s">
        <v>306</v>
      </c>
      <c r="AG2141" t="s">
        <v>121</v>
      </c>
    </row>
    <row r="2142" spans="1:33" x14ac:dyDescent="0.25">
      <c r="A2142" t="str">
        <f>"1356309835"</f>
        <v>1356309835</v>
      </c>
      <c r="B2142" t="str">
        <f>"01592089"</f>
        <v>01592089</v>
      </c>
      <c r="C2142" t="s">
        <v>12311</v>
      </c>
      <c r="D2142" t="s">
        <v>12312</v>
      </c>
      <c r="E2142" t="s">
        <v>12313</v>
      </c>
      <c r="G2142" t="s">
        <v>12311</v>
      </c>
      <c r="H2142" t="s">
        <v>2280</v>
      </c>
      <c r="J2142" t="s">
        <v>12314</v>
      </c>
      <c r="L2142" t="s">
        <v>142</v>
      </c>
      <c r="M2142" t="s">
        <v>113</v>
      </c>
      <c r="R2142" t="s">
        <v>12315</v>
      </c>
      <c r="W2142" t="s">
        <v>12313</v>
      </c>
      <c r="X2142" t="s">
        <v>10324</v>
      </c>
      <c r="Y2142" t="s">
        <v>116</v>
      </c>
      <c r="Z2142" t="s">
        <v>117</v>
      </c>
      <c r="AA2142" t="str">
        <f>"14222-2099"</f>
        <v>14222-2099</v>
      </c>
      <c r="AB2142" t="s">
        <v>118</v>
      </c>
      <c r="AC2142" t="s">
        <v>119</v>
      </c>
      <c r="AD2142" t="s">
        <v>113</v>
      </c>
      <c r="AE2142" t="s">
        <v>120</v>
      </c>
      <c r="AG2142" t="s">
        <v>121</v>
      </c>
    </row>
    <row r="2143" spans="1:33" x14ac:dyDescent="0.25">
      <c r="A2143" t="str">
        <f>"1356317341"</f>
        <v>1356317341</v>
      </c>
      <c r="B2143" t="str">
        <f>"03738869"</f>
        <v>03738869</v>
      </c>
      <c r="C2143" t="s">
        <v>12316</v>
      </c>
      <c r="D2143" t="s">
        <v>12317</v>
      </c>
      <c r="E2143" t="s">
        <v>12318</v>
      </c>
      <c r="G2143" t="s">
        <v>12319</v>
      </c>
      <c r="H2143" t="s">
        <v>1659</v>
      </c>
      <c r="J2143" t="s">
        <v>1660</v>
      </c>
      <c r="L2143" t="s">
        <v>142</v>
      </c>
      <c r="M2143" t="s">
        <v>113</v>
      </c>
      <c r="R2143" t="s">
        <v>12320</v>
      </c>
      <c r="W2143" t="s">
        <v>12318</v>
      </c>
      <c r="X2143" t="s">
        <v>7914</v>
      </c>
      <c r="Y2143" t="s">
        <v>541</v>
      </c>
      <c r="Z2143" t="s">
        <v>117</v>
      </c>
      <c r="AA2143" t="str">
        <f>"14048-2515"</f>
        <v>14048-2515</v>
      </c>
      <c r="AB2143" t="s">
        <v>118</v>
      </c>
      <c r="AC2143" t="s">
        <v>119</v>
      </c>
      <c r="AD2143" t="s">
        <v>113</v>
      </c>
      <c r="AE2143" t="s">
        <v>120</v>
      </c>
      <c r="AG2143" t="s">
        <v>121</v>
      </c>
    </row>
    <row r="2144" spans="1:33" x14ac:dyDescent="0.25">
      <c r="A2144" t="str">
        <f>"1356317481"</f>
        <v>1356317481</v>
      </c>
      <c r="B2144" t="str">
        <f>"02273403"</f>
        <v>02273403</v>
      </c>
      <c r="C2144" t="s">
        <v>12321</v>
      </c>
      <c r="D2144" t="s">
        <v>12322</v>
      </c>
      <c r="E2144" t="s">
        <v>12323</v>
      </c>
      <c r="G2144" t="s">
        <v>859</v>
      </c>
      <c r="H2144" t="s">
        <v>12324</v>
      </c>
      <c r="J2144" t="s">
        <v>861</v>
      </c>
      <c r="L2144" t="s">
        <v>142</v>
      </c>
      <c r="M2144" t="s">
        <v>113</v>
      </c>
      <c r="R2144" t="s">
        <v>12325</v>
      </c>
      <c r="W2144" t="s">
        <v>12326</v>
      </c>
      <c r="X2144" t="s">
        <v>12327</v>
      </c>
      <c r="Y2144" t="s">
        <v>116</v>
      </c>
      <c r="Z2144" t="s">
        <v>117</v>
      </c>
      <c r="AA2144" t="str">
        <f>"14220-2039"</f>
        <v>14220-2039</v>
      </c>
      <c r="AB2144" t="s">
        <v>118</v>
      </c>
      <c r="AC2144" t="s">
        <v>119</v>
      </c>
      <c r="AD2144" t="s">
        <v>113</v>
      </c>
      <c r="AE2144" t="s">
        <v>120</v>
      </c>
      <c r="AG2144" t="s">
        <v>121</v>
      </c>
    </row>
    <row r="2145" spans="1:33" x14ac:dyDescent="0.25">
      <c r="A2145" t="str">
        <f>"1356318703"</f>
        <v>1356318703</v>
      </c>
      <c r="B2145" t="str">
        <f>"01196836"</f>
        <v>01196836</v>
      </c>
      <c r="C2145" t="s">
        <v>12328</v>
      </c>
      <c r="D2145" t="s">
        <v>12329</v>
      </c>
      <c r="E2145" t="s">
        <v>12330</v>
      </c>
      <c r="G2145" t="s">
        <v>12328</v>
      </c>
      <c r="H2145" t="s">
        <v>579</v>
      </c>
      <c r="J2145" t="s">
        <v>12331</v>
      </c>
      <c r="L2145" t="s">
        <v>112</v>
      </c>
      <c r="M2145" t="s">
        <v>113</v>
      </c>
      <c r="R2145" t="s">
        <v>12332</v>
      </c>
      <c r="W2145" t="s">
        <v>12333</v>
      </c>
      <c r="Y2145" t="s">
        <v>116</v>
      </c>
      <c r="Z2145" t="s">
        <v>117</v>
      </c>
      <c r="AA2145" t="str">
        <f>"14215-3098"</f>
        <v>14215-3098</v>
      </c>
      <c r="AB2145" t="s">
        <v>118</v>
      </c>
      <c r="AC2145" t="s">
        <v>119</v>
      </c>
      <c r="AD2145" t="s">
        <v>113</v>
      </c>
      <c r="AE2145" t="s">
        <v>120</v>
      </c>
      <c r="AG2145" t="s">
        <v>121</v>
      </c>
    </row>
    <row r="2146" spans="1:33" x14ac:dyDescent="0.25">
      <c r="A2146" t="str">
        <f>"1356318992"</f>
        <v>1356318992</v>
      </c>
      <c r="B2146" t="str">
        <f>"01394412"</f>
        <v>01394412</v>
      </c>
      <c r="C2146" t="s">
        <v>12334</v>
      </c>
      <c r="D2146" t="s">
        <v>12335</v>
      </c>
      <c r="E2146" t="s">
        <v>12336</v>
      </c>
      <c r="G2146" t="s">
        <v>12337</v>
      </c>
      <c r="H2146" t="s">
        <v>7708</v>
      </c>
      <c r="L2146" t="s">
        <v>150</v>
      </c>
      <c r="M2146" t="s">
        <v>113</v>
      </c>
      <c r="R2146" t="s">
        <v>12337</v>
      </c>
      <c r="W2146" t="s">
        <v>12336</v>
      </c>
      <c r="X2146" t="s">
        <v>12338</v>
      </c>
      <c r="Y2146" t="s">
        <v>1628</v>
      </c>
      <c r="Z2146" t="s">
        <v>117</v>
      </c>
      <c r="AA2146" t="str">
        <f>"14411-1644"</f>
        <v>14411-1644</v>
      </c>
      <c r="AB2146" t="s">
        <v>118</v>
      </c>
      <c r="AC2146" t="s">
        <v>119</v>
      </c>
      <c r="AD2146" t="s">
        <v>113</v>
      </c>
      <c r="AE2146" t="s">
        <v>120</v>
      </c>
      <c r="AG2146" t="s">
        <v>121</v>
      </c>
    </row>
    <row r="2147" spans="1:33" x14ac:dyDescent="0.25">
      <c r="A2147" t="str">
        <f>"1356320345"</f>
        <v>1356320345</v>
      </c>
      <c r="B2147" t="str">
        <f>"02504772"</f>
        <v>02504772</v>
      </c>
      <c r="C2147" t="s">
        <v>12339</v>
      </c>
      <c r="D2147" t="s">
        <v>12340</v>
      </c>
      <c r="E2147" t="s">
        <v>12341</v>
      </c>
      <c r="G2147" t="s">
        <v>12339</v>
      </c>
      <c r="H2147" t="s">
        <v>12342</v>
      </c>
      <c r="J2147" t="s">
        <v>12343</v>
      </c>
      <c r="L2147" t="s">
        <v>142</v>
      </c>
      <c r="M2147" t="s">
        <v>113</v>
      </c>
      <c r="R2147" t="s">
        <v>12344</v>
      </c>
      <c r="W2147" t="s">
        <v>12341</v>
      </c>
      <c r="X2147" t="s">
        <v>216</v>
      </c>
      <c r="Y2147" t="s">
        <v>116</v>
      </c>
      <c r="Z2147" t="s">
        <v>117</v>
      </c>
      <c r="AA2147" t="str">
        <f>"14222-2006"</f>
        <v>14222-2006</v>
      </c>
      <c r="AB2147" t="s">
        <v>118</v>
      </c>
      <c r="AC2147" t="s">
        <v>119</v>
      </c>
      <c r="AD2147" t="s">
        <v>113</v>
      </c>
      <c r="AE2147" t="s">
        <v>120</v>
      </c>
      <c r="AG2147" t="s">
        <v>121</v>
      </c>
    </row>
    <row r="2148" spans="1:33" x14ac:dyDescent="0.25">
      <c r="A2148" t="str">
        <f>"1386766061"</f>
        <v>1386766061</v>
      </c>
      <c r="B2148" t="str">
        <f>"01899518"</f>
        <v>01899518</v>
      </c>
      <c r="C2148" t="s">
        <v>12345</v>
      </c>
      <c r="D2148" t="s">
        <v>6548</v>
      </c>
      <c r="E2148" t="s">
        <v>6549</v>
      </c>
      <c r="H2148" t="s">
        <v>1456</v>
      </c>
      <c r="J2148" t="s">
        <v>1457</v>
      </c>
      <c r="L2148" t="s">
        <v>13</v>
      </c>
      <c r="M2148" t="s">
        <v>199</v>
      </c>
      <c r="W2148" t="s">
        <v>6549</v>
      </c>
      <c r="X2148" t="s">
        <v>6551</v>
      </c>
      <c r="Y2148" t="s">
        <v>1545</v>
      </c>
      <c r="Z2148" t="s">
        <v>117</v>
      </c>
      <c r="AA2148" t="str">
        <f>"14218-1629"</f>
        <v>14218-1629</v>
      </c>
      <c r="AB2148" t="s">
        <v>1146</v>
      </c>
      <c r="AC2148" t="s">
        <v>119</v>
      </c>
      <c r="AD2148" t="s">
        <v>113</v>
      </c>
      <c r="AE2148" t="s">
        <v>120</v>
      </c>
      <c r="AG2148" t="s">
        <v>121</v>
      </c>
    </row>
    <row r="2149" spans="1:33" x14ac:dyDescent="0.25">
      <c r="A2149" t="str">
        <f>"1386776847"</f>
        <v>1386776847</v>
      </c>
      <c r="B2149" t="str">
        <f>"03594290"</f>
        <v>03594290</v>
      </c>
      <c r="C2149" t="s">
        <v>12346</v>
      </c>
      <c r="D2149" t="s">
        <v>12347</v>
      </c>
      <c r="E2149" t="s">
        <v>12348</v>
      </c>
      <c r="G2149" t="s">
        <v>12346</v>
      </c>
      <c r="H2149" t="s">
        <v>12349</v>
      </c>
      <c r="J2149" t="s">
        <v>12350</v>
      </c>
      <c r="L2149" t="s">
        <v>1033</v>
      </c>
      <c r="M2149" t="s">
        <v>113</v>
      </c>
      <c r="R2149" t="s">
        <v>12351</v>
      </c>
      <c r="W2149" t="s">
        <v>12348</v>
      </c>
      <c r="X2149" t="s">
        <v>12352</v>
      </c>
      <c r="Y2149" t="s">
        <v>958</v>
      </c>
      <c r="Z2149" t="s">
        <v>117</v>
      </c>
      <c r="AA2149" t="str">
        <f>"14226-1727"</f>
        <v>14226-1727</v>
      </c>
      <c r="AB2149" t="s">
        <v>118</v>
      </c>
      <c r="AC2149" t="s">
        <v>119</v>
      </c>
      <c r="AD2149" t="s">
        <v>113</v>
      </c>
      <c r="AE2149" t="s">
        <v>120</v>
      </c>
      <c r="AG2149" t="s">
        <v>121</v>
      </c>
    </row>
    <row r="2150" spans="1:33" x14ac:dyDescent="0.25">
      <c r="A2150" t="str">
        <f>"1386790517"</f>
        <v>1386790517</v>
      </c>
      <c r="B2150" t="str">
        <f>"02949342"</f>
        <v>02949342</v>
      </c>
      <c r="C2150" t="s">
        <v>12353</v>
      </c>
      <c r="D2150" t="s">
        <v>12354</v>
      </c>
      <c r="E2150" t="s">
        <v>12355</v>
      </c>
      <c r="G2150" t="s">
        <v>12356</v>
      </c>
      <c r="H2150" t="s">
        <v>707</v>
      </c>
      <c r="J2150" t="s">
        <v>12357</v>
      </c>
      <c r="L2150" t="s">
        <v>142</v>
      </c>
      <c r="M2150" t="s">
        <v>113</v>
      </c>
      <c r="R2150" t="s">
        <v>12358</v>
      </c>
      <c r="W2150" t="s">
        <v>12355</v>
      </c>
      <c r="X2150" t="s">
        <v>709</v>
      </c>
      <c r="Y2150" t="s">
        <v>116</v>
      </c>
      <c r="Z2150" t="s">
        <v>117</v>
      </c>
      <c r="AA2150" t="str">
        <f>"14263-0001"</f>
        <v>14263-0001</v>
      </c>
      <c r="AB2150" t="s">
        <v>118</v>
      </c>
      <c r="AC2150" t="s">
        <v>119</v>
      </c>
      <c r="AD2150" t="s">
        <v>113</v>
      </c>
      <c r="AE2150" t="s">
        <v>120</v>
      </c>
      <c r="AG2150" t="s">
        <v>121</v>
      </c>
    </row>
    <row r="2151" spans="1:33" x14ac:dyDescent="0.25">
      <c r="A2151" t="str">
        <f>"1386791945"</f>
        <v>1386791945</v>
      </c>
      <c r="C2151" t="s">
        <v>12359</v>
      </c>
      <c r="G2151" t="s">
        <v>12359</v>
      </c>
      <c r="H2151" t="s">
        <v>937</v>
      </c>
      <c r="J2151" t="s">
        <v>12360</v>
      </c>
      <c r="K2151" t="s">
        <v>303</v>
      </c>
      <c r="L2151" t="s">
        <v>229</v>
      </c>
      <c r="M2151" t="s">
        <v>113</v>
      </c>
      <c r="R2151" t="s">
        <v>12361</v>
      </c>
      <c r="S2151" t="s">
        <v>3739</v>
      </c>
      <c r="T2151" t="s">
        <v>240</v>
      </c>
      <c r="U2151" t="s">
        <v>117</v>
      </c>
      <c r="V2151" t="str">
        <f>"142216728"</f>
        <v>142216728</v>
      </c>
      <c r="AC2151" t="s">
        <v>119</v>
      </c>
      <c r="AD2151" t="s">
        <v>113</v>
      </c>
      <c r="AE2151" t="s">
        <v>306</v>
      </c>
      <c r="AG2151" t="s">
        <v>121</v>
      </c>
    </row>
    <row r="2152" spans="1:33" x14ac:dyDescent="0.25">
      <c r="A2152" t="str">
        <f>"1497833867"</f>
        <v>1497833867</v>
      </c>
      <c r="B2152" t="str">
        <f>"02376061"</f>
        <v>02376061</v>
      </c>
      <c r="C2152" t="s">
        <v>12362</v>
      </c>
      <c r="D2152" t="s">
        <v>12363</v>
      </c>
      <c r="E2152" t="s">
        <v>12364</v>
      </c>
      <c r="G2152" t="s">
        <v>12362</v>
      </c>
      <c r="H2152" t="s">
        <v>12365</v>
      </c>
      <c r="J2152" t="s">
        <v>12366</v>
      </c>
      <c r="L2152" t="s">
        <v>112</v>
      </c>
      <c r="M2152" t="s">
        <v>113</v>
      </c>
      <c r="R2152" t="s">
        <v>12367</v>
      </c>
      <c r="W2152" t="s">
        <v>12364</v>
      </c>
      <c r="X2152" t="s">
        <v>253</v>
      </c>
      <c r="Y2152" t="s">
        <v>116</v>
      </c>
      <c r="Z2152" t="s">
        <v>117</v>
      </c>
      <c r="AA2152" t="str">
        <f>"14215-3021"</f>
        <v>14215-3021</v>
      </c>
      <c r="AB2152" t="s">
        <v>634</v>
      </c>
      <c r="AC2152" t="s">
        <v>119</v>
      </c>
      <c r="AD2152" t="s">
        <v>113</v>
      </c>
      <c r="AE2152" t="s">
        <v>120</v>
      </c>
      <c r="AG2152" t="s">
        <v>121</v>
      </c>
    </row>
    <row r="2153" spans="1:33" x14ac:dyDescent="0.25">
      <c r="A2153" t="str">
        <f>"1497850911"</f>
        <v>1497850911</v>
      </c>
      <c r="B2153" t="str">
        <f>"03010331"</f>
        <v>03010331</v>
      </c>
      <c r="C2153" t="s">
        <v>12368</v>
      </c>
      <c r="D2153" t="s">
        <v>12369</v>
      </c>
      <c r="E2153" t="s">
        <v>12370</v>
      </c>
      <c r="H2153" t="s">
        <v>12371</v>
      </c>
      <c r="L2153" t="s">
        <v>69</v>
      </c>
      <c r="M2153" t="s">
        <v>113</v>
      </c>
      <c r="R2153" t="s">
        <v>12368</v>
      </c>
      <c r="W2153" t="s">
        <v>12370</v>
      </c>
      <c r="X2153" t="s">
        <v>136</v>
      </c>
      <c r="Y2153" t="s">
        <v>116</v>
      </c>
      <c r="Z2153" t="s">
        <v>117</v>
      </c>
      <c r="AA2153" t="str">
        <f>"14209-1120"</f>
        <v>14209-1120</v>
      </c>
      <c r="AB2153" t="s">
        <v>4180</v>
      </c>
      <c r="AC2153" t="s">
        <v>119</v>
      </c>
      <c r="AD2153" t="s">
        <v>113</v>
      </c>
      <c r="AE2153" t="s">
        <v>120</v>
      </c>
      <c r="AG2153" t="s">
        <v>121</v>
      </c>
    </row>
    <row r="2154" spans="1:33" x14ac:dyDescent="0.25">
      <c r="A2154" t="str">
        <f>"1497866131"</f>
        <v>1497866131</v>
      </c>
      <c r="B2154" t="str">
        <f>"03579504"</f>
        <v>03579504</v>
      </c>
      <c r="C2154" t="s">
        <v>12372</v>
      </c>
      <c r="D2154" t="s">
        <v>12373</v>
      </c>
      <c r="E2154" t="s">
        <v>12374</v>
      </c>
      <c r="G2154" t="s">
        <v>12375</v>
      </c>
      <c r="H2154" t="s">
        <v>12376</v>
      </c>
      <c r="J2154" t="s">
        <v>12377</v>
      </c>
      <c r="L2154" t="s">
        <v>150</v>
      </c>
      <c r="M2154" t="s">
        <v>113</v>
      </c>
      <c r="R2154" t="s">
        <v>12378</v>
      </c>
      <c r="W2154" t="s">
        <v>12374</v>
      </c>
      <c r="X2154" t="s">
        <v>2607</v>
      </c>
      <c r="Y2154" t="s">
        <v>116</v>
      </c>
      <c r="Z2154" t="s">
        <v>117</v>
      </c>
      <c r="AA2154" t="str">
        <f>"14203-1149"</f>
        <v>14203-1149</v>
      </c>
      <c r="AB2154" t="s">
        <v>118</v>
      </c>
      <c r="AC2154" t="s">
        <v>119</v>
      </c>
      <c r="AD2154" t="s">
        <v>113</v>
      </c>
      <c r="AE2154" t="s">
        <v>120</v>
      </c>
      <c r="AG2154" t="s">
        <v>121</v>
      </c>
    </row>
    <row r="2155" spans="1:33" x14ac:dyDescent="0.25">
      <c r="A2155" t="str">
        <f>"1497866214"</f>
        <v>1497866214</v>
      </c>
      <c r="B2155" t="str">
        <f>"03312470"</f>
        <v>03312470</v>
      </c>
      <c r="C2155" t="s">
        <v>12379</v>
      </c>
      <c r="D2155" t="s">
        <v>12380</v>
      </c>
      <c r="E2155" t="s">
        <v>12381</v>
      </c>
      <c r="G2155" t="s">
        <v>12379</v>
      </c>
      <c r="H2155" t="s">
        <v>227</v>
      </c>
      <c r="J2155" t="s">
        <v>12382</v>
      </c>
      <c r="L2155" t="s">
        <v>142</v>
      </c>
      <c r="M2155" t="s">
        <v>113</v>
      </c>
      <c r="R2155" t="s">
        <v>12383</v>
      </c>
      <c r="W2155" t="s">
        <v>12381</v>
      </c>
      <c r="X2155" t="s">
        <v>2317</v>
      </c>
      <c r="Y2155" t="s">
        <v>2318</v>
      </c>
      <c r="Z2155" t="s">
        <v>117</v>
      </c>
      <c r="AA2155" t="str">
        <f>"11706-8408"</f>
        <v>11706-8408</v>
      </c>
      <c r="AB2155" t="s">
        <v>118</v>
      </c>
      <c r="AC2155" t="s">
        <v>119</v>
      </c>
      <c r="AD2155" t="s">
        <v>113</v>
      </c>
      <c r="AE2155" t="s">
        <v>120</v>
      </c>
      <c r="AG2155" t="s">
        <v>121</v>
      </c>
    </row>
    <row r="2156" spans="1:33" x14ac:dyDescent="0.25">
      <c r="B2156" t="str">
        <f>"02734614"</f>
        <v>02734614</v>
      </c>
      <c r="C2156" t="s">
        <v>11695</v>
      </c>
      <c r="D2156" t="s">
        <v>11696</v>
      </c>
      <c r="E2156" t="s">
        <v>11695</v>
      </c>
      <c r="F2156">
        <v>202017098</v>
      </c>
      <c r="G2156" t="s">
        <v>7169</v>
      </c>
      <c r="H2156" t="s">
        <v>7170</v>
      </c>
      <c r="J2156" t="s">
        <v>7171</v>
      </c>
      <c r="L2156" t="s">
        <v>69</v>
      </c>
      <c r="M2156" t="s">
        <v>199</v>
      </c>
      <c r="W2156" t="s">
        <v>11697</v>
      </c>
      <c r="X2156" t="s">
        <v>11666</v>
      </c>
      <c r="Y2156" t="s">
        <v>2762</v>
      </c>
      <c r="Z2156" t="s">
        <v>117</v>
      </c>
      <c r="AA2156" t="str">
        <f>"14624-1535"</f>
        <v>14624-1535</v>
      </c>
      <c r="AB2156" t="s">
        <v>291</v>
      </c>
      <c r="AC2156" t="s">
        <v>119</v>
      </c>
      <c r="AD2156" t="s">
        <v>113</v>
      </c>
      <c r="AE2156" t="s">
        <v>120</v>
      </c>
      <c r="AG2156" t="s">
        <v>121</v>
      </c>
    </row>
    <row r="2157" spans="1:33" x14ac:dyDescent="0.25">
      <c r="A2157" t="str">
        <f>"1497942809"</f>
        <v>1497942809</v>
      </c>
      <c r="B2157" t="str">
        <f>"02949439"</f>
        <v>02949439</v>
      </c>
      <c r="C2157" t="s">
        <v>12388</v>
      </c>
      <c r="D2157" t="s">
        <v>12389</v>
      </c>
      <c r="E2157" t="s">
        <v>12390</v>
      </c>
      <c r="G2157" t="s">
        <v>12391</v>
      </c>
      <c r="H2157" t="s">
        <v>9164</v>
      </c>
      <c r="J2157" t="s">
        <v>12392</v>
      </c>
      <c r="L2157" t="s">
        <v>142</v>
      </c>
      <c r="M2157" t="s">
        <v>113</v>
      </c>
      <c r="R2157" t="s">
        <v>12393</v>
      </c>
      <c r="W2157" t="s">
        <v>12390</v>
      </c>
      <c r="X2157" t="s">
        <v>3705</v>
      </c>
      <c r="Y2157" t="s">
        <v>958</v>
      </c>
      <c r="Z2157" t="s">
        <v>117</v>
      </c>
      <c r="AA2157" t="str">
        <f>"14226-1727"</f>
        <v>14226-1727</v>
      </c>
      <c r="AB2157" t="s">
        <v>118</v>
      </c>
      <c r="AC2157" t="s">
        <v>119</v>
      </c>
      <c r="AD2157" t="s">
        <v>113</v>
      </c>
      <c r="AE2157" t="s">
        <v>120</v>
      </c>
      <c r="AG2157" t="s">
        <v>121</v>
      </c>
    </row>
    <row r="2158" spans="1:33" x14ac:dyDescent="0.25">
      <c r="A2158" t="str">
        <f>"1497954655"</f>
        <v>1497954655</v>
      </c>
      <c r="B2158" t="str">
        <f>"02915433"</f>
        <v>02915433</v>
      </c>
      <c r="C2158" t="s">
        <v>12394</v>
      </c>
      <c r="D2158" t="s">
        <v>12395</v>
      </c>
      <c r="E2158" t="s">
        <v>12396</v>
      </c>
      <c r="G2158" t="s">
        <v>12397</v>
      </c>
      <c r="H2158" t="s">
        <v>3800</v>
      </c>
      <c r="J2158" t="s">
        <v>12398</v>
      </c>
      <c r="L2158" t="s">
        <v>112</v>
      </c>
      <c r="M2158" t="s">
        <v>113</v>
      </c>
      <c r="R2158" t="s">
        <v>12399</v>
      </c>
      <c r="W2158" t="s">
        <v>12396</v>
      </c>
      <c r="X2158" t="s">
        <v>3963</v>
      </c>
      <c r="Y2158" t="s">
        <v>240</v>
      </c>
      <c r="Z2158" t="s">
        <v>117</v>
      </c>
      <c r="AA2158" t="str">
        <f>"14221-5760"</f>
        <v>14221-5760</v>
      </c>
      <c r="AB2158" t="s">
        <v>118</v>
      </c>
      <c r="AC2158" t="s">
        <v>119</v>
      </c>
      <c r="AD2158" t="s">
        <v>113</v>
      </c>
      <c r="AE2158" t="s">
        <v>120</v>
      </c>
      <c r="AG2158" t="s">
        <v>121</v>
      </c>
    </row>
    <row r="2159" spans="1:33" x14ac:dyDescent="0.25">
      <c r="A2159" t="str">
        <f>"1437365129"</f>
        <v>1437365129</v>
      </c>
      <c r="B2159" t="str">
        <f>"00575177"</f>
        <v>00575177</v>
      </c>
      <c r="C2159" t="s">
        <v>4063</v>
      </c>
      <c r="D2159" t="s">
        <v>4064</v>
      </c>
      <c r="E2159" t="s">
        <v>4065</v>
      </c>
      <c r="G2159" t="s">
        <v>4066</v>
      </c>
      <c r="H2159" t="s">
        <v>4067</v>
      </c>
      <c r="J2159" t="s">
        <v>4068</v>
      </c>
      <c r="L2159" t="s">
        <v>19</v>
      </c>
      <c r="M2159" t="s">
        <v>199</v>
      </c>
      <c r="R2159" t="s">
        <v>4069</v>
      </c>
      <c r="W2159" t="s">
        <v>4065</v>
      </c>
      <c r="X2159" t="s">
        <v>4070</v>
      </c>
      <c r="Y2159" t="s">
        <v>4071</v>
      </c>
      <c r="Z2159" t="s">
        <v>117</v>
      </c>
      <c r="AA2159" t="str">
        <f>"14070-1530"</f>
        <v>14070-1530</v>
      </c>
      <c r="AB2159" t="s">
        <v>282</v>
      </c>
      <c r="AC2159" t="s">
        <v>119</v>
      </c>
      <c r="AD2159" t="s">
        <v>113</v>
      </c>
      <c r="AE2159" t="s">
        <v>120</v>
      </c>
      <c r="AG2159" t="s">
        <v>121</v>
      </c>
    </row>
    <row r="2160" spans="1:33" x14ac:dyDescent="0.25">
      <c r="B2160" t="str">
        <f>"02734701"</f>
        <v>02734701</v>
      </c>
      <c r="C2160" t="s">
        <v>11698</v>
      </c>
      <c r="D2160" t="s">
        <v>11699</v>
      </c>
      <c r="E2160" t="s">
        <v>11698</v>
      </c>
      <c r="F2160">
        <v>202017098</v>
      </c>
      <c r="G2160" t="s">
        <v>7169</v>
      </c>
      <c r="H2160" t="s">
        <v>7170</v>
      </c>
      <c r="J2160" t="s">
        <v>7171</v>
      </c>
      <c r="L2160" t="s">
        <v>69</v>
      </c>
      <c r="M2160" t="s">
        <v>199</v>
      </c>
      <c r="W2160" t="s">
        <v>11700</v>
      </c>
      <c r="X2160" t="s">
        <v>11701</v>
      </c>
      <c r="Y2160" t="s">
        <v>2762</v>
      </c>
      <c r="Z2160" t="s">
        <v>117</v>
      </c>
      <c r="AA2160" t="str">
        <f>"14607-3650"</f>
        <v>14607-3650</v>
      </c>
      <c r="AB2160" t="s">
        <v>291</v>
      </c>
      <c r="AC2160" t="s">
        <v>119</v>
      </c>
      <c r="AD2160" t="s">
        <v>113</v>
      </c>
      <c r="AE2160" t="s">
        <v>120</v>
      </c>
      <c r="AG2160" t="s">
        <v>121</v>
      </c>
    </row>
    <row r="2161" spans="1:33" x14ac:dyDescent="0.25">
      <c r="A2161" t="str">
        <f>"1336178821"</f>
        <v>1336178821</v>
      </c>
      <c r="C2161" t="s">
        <v>12401</v>
      </c>
      <c r="G2161" t="s">
        <v>12401</v>
      </c>
      <c r="H2161" t="s">
        <v>12402</v>
      </c>
      <c r="J2161" t="s">
        <v>12403</v>
      </c>
      <c r="K2161" t="s">
        <v>303</v>
      </c>
      <c r="L2161" t="s">
        <v>229</v>
      </c>
      <c r="M2161" t="s">
        <v>113</v>
      </c>
      <c r="R2161" t="s">
        <v>12404</v>
      </c>
      <c r="S2161" t="s">
        <v>12405</v>
      </c>
      <c r="T2161" t="s">
        <v>377</v>
      </c>
      <c r="U2161" t="s">
        <v>117</v>
      </c>
      <c r="V2161" t="str">
        <f>"142171939"</f>
        <v>142171939</v>
      </c>
      <c r="AC2161" t="s">
        <v>119</v>
      </c>
      <c r="AD2161" t="s">
        <v>113</v>
      </c>
      <c r="AE2161" t="s">
        <v>306</v>
      </c>
      <c r="AG2161" t="s">
        <v>121</v>
      </c>
    </row>
    <row r="2162" spans="1:33" x14ac:dyDescent="0.25">
      <c r="A2162" t="str">
        <f>"1447457445"</f>
        <v>1447457445</v>
      </c>
      <c r="B2162" t="str">
        <f>"01597891"</f>
        <v>01597891</v>
      </c>
      <c r="C2162" t="s">
        <v>12406</v>
      </c>
      <c r="D2162" t="s">
        <v>12407</v>
      </c>
      <c r="E2162" t="s">
        <v>12408</v>
      </c>
      <c r="G2162" t="s">
        <v>12406</v>
      </c>
      <c r="H2162" t="s">
        <v>6928</v>
      </c>
      <c r="J2162" t="s">
        <v>12409</v>
      </c>
      <c r="L2162" t="s">
        <v>112</v>
      </c>
      <c r="M2162" t="s">
        <v>113</v>
      </c>
      <c r="R2162" t="s">
        <v>12410</v>
      </c>
      <c r="W2162" t="s">
        <v>12411</v>
      </c>
      <c r="X2162" t="s">
        <v>12412</v>
      </c>
      <c r="Y2162" t="s">
        <v>116</v>
      </c>
      <c r="Z2162" t="s">
        <v>117</v>
      </c>
      <c r="AA2162" t="str">
        <f>"14222-2113"</f>
        <v>14222-2113</v>
      </c>
      <c r="AB2162" t="s">
        <v>528</v>
      </c>
      <c r="AC2162" t="s">
        <v>119</v>
      </c>
      <c r="AD2162" t="s">
        <v>113</v>
      </c>
      <c r="AE2162" t="s">
        <v>120</v>
      </c>
      <c r="AG2162" t="s">
        <v>121</v>
      </c>
    </row>
    <row r="2163" spans="1:33" x14ac:dyDescent="0.25">
      <c r="A2163" t="str">
        <f>"1295755395"</f>
        <v>1295755395</v>
      </c>
      <c r="B2163" t="str">
        <f>"00638266"</f>
        <v>00638266</v>
      </c>
      <c r="C2163" t="s">
        <v>12413</v>
      </c>
      <c r="D2163" t="s">
        <v>12414</v>
      </c>
      <c r="E2163" t="s">
        <v>12415</v>
      </c>
      <c r="G2163" t="s">
        <v>12413</v>
      </c>
      <c r="H2163" t="s">
        <v>205</v>
      </c>
      <c r="J2163" t="s">
        <v>12416</v>
      </c>
      <c r="L2163" t="s">
        <v>142</v>
      </c>
      <c r="M2163" t="s">
        <v>113</v>
      </c>
      <c r="R2163" t="s">
        <v>12417</v>
      </c>
      <c r="W2163" t="s">
        <v>12415</v>
      </c>
      <c r="X2163" t="s">
        <v>12418</v>
      </c>
      <c r="Y2163" t="s">
        <v>116</v>
      </c>
      <c r="Z2163" t="s">
        <v>117</v>
      </c>
      <c r="AA2163" t="str">
        <f>"14203-1126"</f>
        <v>14203-1126</v>
      </c>
      <c r="AB2163" t="s">
        <v>118</v>
      </c>
      <c r="AC2163" t="s">
        <v>119</v>
      </c>
      <c r="AD2163" t="s">
        <v>113</v>
      </c>
      <c r="AE2163" t="s">
        <v>120</v>
      </c>
      <c r="AG2163" t="s">
        <v>121</v>
      </c>
    </row>
    <row r="2164" spans="1:33" x14ac:dyDescent="0.25">
      <c r="A2164" t="str">
        <f>"1295758860"</f>
        <v>1295758860</v>
      </c>
      <c r="B2164" t="str">
        <f>"01088522"</f>
        <v>01088522</v>
      </c>
      <c r="C2164" t="s">
        <v>12419</v>
      </c>
      <c r="D2164" t="s">
        <v>12420</v>
      </c>
      <c r="E2164" t="s">
        <v>12421</v>
      </c>
      <c r="G2164" t="s">
        <v>12422</v>
      </c>
      <c r="H2164" t="s">
        <v>4242</v>
      </c>
      <c r="J2164" t="s">
        <v>1660</v>
      </c>
      <c r="L2164" t="s">
        <v>150</v>
      </c>
      <c r="M2164" t="s">
        <v>113</v>
      </c>
      <c r="R2164" t="s">
        <v>12423</v>
      </c>
      <c r="W2164" t="s">
        <v>12421</v>
      </c>
      <c r="X2164" t="s">
        <v>6296</v>
      </c>
      <c r="Y2164" t="s">
        <v>3362</v>
      </c>
      <c r="Z2164" t="s">
        <v>117</v>
      </c>
      <c r="AA2164" t="str">
        <f>"14136-1452"</f>
        <v>14136-1452</v>
      </c>
      <c r="AB2164" t="s">
        <v>118</v>
      </c>
      <c r="AC2164" t="s">
        <v>119</v>
      </c>
      <c r="AD2164" t="s">
        <v>113</v>
      </c>
      <c r="AE2164" t="s">
        <v>120</v>
      </c>
      <c r="AG2164" t="s">
        <v>121</v>
      </c>
    </row>
    <row r="2165" spans="1:33" x14ac:dyDescent="0.25">
      <c r="A2165" t="str">
        <f>"1295763670"</f>
        <v>1295763670</v>
      </c>
      <c r="B2165" t="str">
        <f>"02563968"</f>
        <v>02563968</v>
      </c>
      <c r="C2165" t="s">
        <v>12424</v>
      </c>
      <c r="D2165" t="s">
        <v>12425</v>
      </c>
      <c r="E2165" t="s">
        <v>12426</v>
      </c>
      <c r="G2165" t="s">
        <v>12424</v>
      </c>
      <c r="H2165" t="s">
        <v>7389</v>
      </c>
      <c r="J2165" t="s">
        <v>12427</v>
      </c>
      <c r="L2165" t="s">
        <v>150</v>
      </c>
      <c r="M2165" t="s">
        <v>113</v>
      </c>
      <c r="R2165" t="s">
        <v>12428</v>
      </c>
      <c r="W2165" t="s">
        <v>12426</v>
      </c>
      <c r="X2165" t="s">
        <v>7392</v>
      </c>
      <c r="Y2165" t="s">
        <v>326</v>
      </c>
      <c r="Z2165" t="s">
        <v>117</v>
      </c>
      <c r="AA2165" t="str">
        <f>"14127-2604"</f>
        <v>14127-2604</v>
      </c>
      <c r="AB2165" t="s">
        <v>118</v>
      </c>
      <c r="AC2165" t="s">
        <v>119</v>
      </c>
      <c r="AD2165" t="s">
        <v>113</v>
      </c>
      <c r="AE2165" t="s">
        <v>120</v>
      </c>
      <c r="AG2165" t="s">
        <v>121</v>
      </c>
    </row>
    <row r="2166" spans="1:33" x14ac:dyDescent="0.25">
      <c r="A2166" t="str">
        <f>"1295764454"</f>
        <v>1295764454</v>
      </c>
      <c r="B2166" t="str">
        <f>"00608397"</f>
        <v>00608397</v>
      </c>
      <c r="C2166" t="s">
        <v>12429</v>
      </c>
      <c r="D2166" t="s">
        <v>12430</v>
      </c>
      <c r="E2166" t="s">
        <v>12431</v>
      </c>
      <c r="G2166" t="s">
        <v>12429</v>
      </c>
      <c r="H2166" t="s">
        <v>8266</v>
      </c>
      <c r="J2166" t="s">
        <v>12432</v>
      </c>
      <c r="L2166" t="s">
        <v>150</v>
      </c>
      <c r="M2166" t="s">
        <v>199</v>
      </c>
      <c r="R2166" t="s">
        <v>12433</v>
      </c>
      <c r="W2166" t="s">
        <v>12431</v>
      </c>
      <c r="X2166" t="s">
        <v>4095</v>
      </c>
      <c r="Y2166" t="s">
        <v>116</v>
      </c>
      <c r="Z2166" t="s">
        <v>117</v>
      </c>
      <c r="AA2166" t="str">
        <f>"14211-1217"</f>
        <v>14211-1217</v>
      </c>
      <c r="AB2166" t="s">
        <v>118</v>
      </c>
      <c r="AC2166" t="s">
        <v>119</v>
      </c>
      <c r="AD2166" t="s">
        <v>113</v>
      </c>
      <c r="AE2166" t="s">
        <v>120</v>
      </c>
      <c r="AG2166" t="s">
        <v>121</v>
      </c>
    </row>
    <row r="2167" spans="1:33" x14ac:dyDescent="0.25">
      <c r="A2167" t="str">
        <f>"1295786978"</f>
        <v>1295786978</v>
      </c>
      <c r="B2167" t="str">
        <f>"02414482"</f>
        <v>02414482</v>
      </c>
      <c r="C2167" t="s">
        <v>12434</v>
      </c>
      <c r="D2167" t="s">
        <v>12435</v>
      </c>
      <c r="E2167" t="s">
        <v>12436</v>
      </c>
      <c r="G2167" t="s">
        <v>12437</v>
      </c>
      <c r="H2167" t="s">
        <v>213</v>
      </c>
      <c r="J2167" t="s">
        <v>12438</v>
      </c>
      <c r="L2167" t="s">
        <v>150</v>
      </c>
      <c r="M2167" t="s">
        <v>113</v>
      </c>
      <c r="R2167" t="s">
        <v>12439</v>
      </c>
      <c r="W2167" t="s">
        <v>12436</v>
      </c>
      <c r="X2167" t="s">
        <v>216</v>
      </c>
      <c r="Y2167" t="s">
        <v>116</v>
      </c>
      <c r="Z2167" t="s">
        <v>117</v>
      </c>
      <c r="AA2167" t="str">
        <f>"14222-2006"</f>
        <v>14222-2006</v>
      </c>
      <c r="AB2167" t="s">
        <v>118</v>
      </c>
      <c r="AC2167" t="s">
        <v>119</v>
      </c>
      <c r="AD2167" t="s">
        <v>113</v>
      </c>
      <c r="AE2167" t="s">
        <v>120</v>
      </c>
      <c r="AG2167" t="s">
        <v>121</v>
      </c>
    </row>
    <row r="2168" spans="1:33" x14ac:dyDescent="0.25">
      <c r="A2168" t="str">
        <f>"1295790491"</f>
        <v>1295790491</v>
      </c>
      <c r="B2168" t="str">
        <f>"01188105"</f>
        <v>01188105</v>
      </c>
      <c r="C2168" t="s">
        <v>12440</v>
      </c>
      <c r="D2168" t="s">
        <v>12441</v>
      </c>
      <c r="E2168" t="s">
        <v>12442</v>
      </c>
      <c r="G2168" t="s">
        <v>12443</v>
      </c>
      <c r="H2168" t="s">
        <v>205</v>
      </c>
      <c r="J2168" t="s">
        <v>12444</v>
      </c>
      <c r="L2168" t="s">
        <v>142</v>
      </c>
      <c r="M2168" t="s">
        <v>113</v>
      </c>
      <c r="R2168" t="s">
        <v>12445</v>
      </c>
      <c r="W2168" t="s">
        <v>12442</v>
      </c>
      <c r="X2168" t="s">
        <v>2607</v>
      </c>
      <c r="Y2168" t="s">
        <v>116</v>
      </c>
      <c r="Z2168" t="s">
        <v>117</v>
      </c>
      <c r="AA2168" t="str">
        <f>"14203-1149"</f>
        <v>14203-1149</v>
      </c>
      <c r="AB2168" t="s">
        <v>118</v>
      </c>
      <c r="AC2168" t="s">
        <v>119</v>
      </c>
      <c r="AD2168" t="s">
        <v>113</v>
      </c>
      <c r="AE2168" t="s">
        <v>120</v>
      </c>
      <c r="AG2168" t="s">
        <v>121</v>
      </c>
    </row>
    <row r="2169" spans="1:33" x14ac:dyDescent="0.25">
      <c r="A2169" t="str">
        <f>"1295792414"</f>
        <v>1295792414</v>
      </c>
      <c r="B2169" t="str">
        <f>"01273367"</f>
        <v>01273367</v>
      </c>
      <c r="C2169" t="s">
        <v>12446</v>
      </c>
      <c r="D2169" t="s">
        <v>12447</v>
      </c>
      <c r="E2169" t="s">
        <v>12448</v>
      </c>
      <c r="G2169" t="s">
        <v>12446</v>
      </c>
      <c r="H2169" t="s">
        <v>12449</v>
      </c>
      <c r="J2169" t="s">
        <v>12450</v>
      </c>
      <c r="L2169" t="s">
        <v>112</v>
      </c>
      <c r="M2169" t="s">
        <v>113</v>
      </c>
      <c r="R2169" t="s">
        <v>12451</v>
      </c>
      <c r="W2169" t="s">
        <v>12448</v>
      </c>
      <c r="X2169" t="s">
        <v>12452</v>
      </c>
      <c r="Y2169" t="s">
        <v>663</v>
      </c>
      <c r="Z2169" t="s">
        <v>117</v>
      </c>
      <c r="AA2169" t="str">
        <f>"14094-5367"</f>
        <v>14094-5367</v>
      </c>
      <c r="AB2169" t="s">
        <v>634</v>
      </c>
      <c r="AC2169" t="s">
        <v>119</v>
      </c>
      <c r="AD2169" t="s">
        <v>113</v>
      </c>
      <c r="AE2169" t="s">
        <v>120</v>
      </c>
      <c r="AG2169" t="s">
        <v>121</v>
      </c>
    </row>
    <row r="2170" spans="1:33" x14ac:dyDescent="0.25">
      <c r="A2170" t="str">
        <f>"1295796845"</f>
        <v>1295796845</v>
      </c>
      <c r="B2170" t="str">
        <f>"00631434"</f>
        <v>00631434</v>
      </c>
      <c r="C2170" t="s">
        <v>12453</v>
      </c>
      <c r="D2170" t="s">
        <v>12454</v>
      </c>
      <c r="E2170" t="s">
        <v>12455</v>
      </c>
      <c r="G2170" t="s">
        <v>12453</v>
      </c>
      <c r="H2170" t="s">
        <v>465</v>
      </c>
      <c r="J2170" t="s">
        <v>12456</v>
      </c>
      <c r="L2170" t="s">
        <v>142</v>
      </c>
      <c r="M2170" t="s">
        <v>113</v>
      </c>
      <c r="R2170" t="s">
        <v>12457</v>
      </c>
      <c r="W2170" t="s">
        <v>12455</v>
      </c>
      <c r="X2170" t="s">
        <v>253</v>
      </c>
      <c r="Y2170" t="s">
        <v>116</v>
      </c>
      <c r="Z2170" t="s">
        <v>117</v>
      </c>
      <c r="AA2170" t="str">
        <f>"14215-3021"</f>
        <v>14215-3021</v>
      </c>
      <c r="AB2170" t="s">
        <v>118</v>
      </c>
      <c r="AC2170" t="s">
        <v>119</v>
      </c>
      <c r="AD2170" t="s">
        <v>113</v>
      </c>
      <c r="AE2170" t="s">
        <v>120</v>
      </c>
      <c r="AG2170" t="s">
        <v>121</v>
      </c>
    </row>
    <row r="2171" spans="1:33" x14ac:dyDescent="0.25">
      <c r="A2171" t="str">
        <f>"1295803294"</f>
        <v>1295803294</v>
      </c>
      <c r="B2171" t="str">
        <f>"00677601"</f>
        <v>00677601</v>
      </c>
      <c r="C2171" t="s">
        <v>12458</v>
      </c>
      <c r="D2171" t="s">
        <v>12459</v>
      </c>
      <c r="E2171" t="s">
        <v>12460</v>
      </c>
      <c r="G2171" t="s">
        <v>330</v>
      </c>
      <c r="H2171" t="s">
        <v>12461</v>
      </c>
      <c r="J2171" t="s">
        <v>332</v>
      </c>
      <c r="L2171" t="s">
        <v>150</v>
      </c>
      <c r="M2171" t="s">
        <v>113</v>
      </c>
      <c r="R2171" t="s">
        <v>12462</v>
      </c>
      <c r="W2171" t="s">
        <v>12460</v>
      </c>
      <c r="X2171" t="s">
        <v>12463</v>
      </c>
      <c r="Y2171" t="s">
        <v>1545</v>
      </c>
      <c r="Z2171" t="s">
        <v>117</v>
      </c>
      <c r="AA2171" t="str">
        <f>"14218-3619"</f>
        <v>14218-3619</v>
      </c>
      <c r="AB2171" t="s">
        <v>118</v>
      </c>
      <c r="AC2171" t="s">
        <v>119</v>
      </c>
      <c r="AD2171" t="s">
        <v>113</v>
      </c>
      <c r="AE2171" t="s">
        <v>120</v>
      </c>
      <c r="AG2171" t="s">
        <v>121</v>
      </c>
    </row>
    <row r="2172" spans="1:33" x14ac:dyDescent="0.25">
      <c r="A2172" t="str">
        <f>"1295813293"</f>
        <v>1295813293</v>
      </c>
      <c r="B2172" t="str">
        <f>"01107340"</f>
        <v>01107340</v>
      </c>
      <c r="C2172" t="s">
        <v>1241</v>
      </c>
      <c r="D2172" t="s">
        <v>12464</v>
      </c>
      <c r="E2172" t="s">
        <v>12465</v>
      </c>
      <c r="F2172">
        <v>161089007</v>
      </c>
      <c r="G2172" t="s">
        <v>1244</v>
      </c>
      <c r="H2172" t="s">
        <v>1245</v>
      </c>
      <c r="J2172" t="s">
        <v>1246</v>
      </c>
      <c r="L2172" t="s">
        <v>69</v>
      </c>
      <c r="M2172" t="s">
        <v>113</v>
      </c>
      <c r="R2172" t="s">
        <v>1241</v>
      </c>
      <c r="W2172" t="s">
        <v>12465</v>
      </c>
      <c r="X2172" t="s">
        <v>12466</v>
      </c>
      <c r="Y2172" t="s">
        <v>2204</v>
      </c>
      <c r="Z2172" t="s">
        <v>117</v>
      </c>
      <c r="AA2172" t="str">
        <f>"14830-9514"</f>
        <v>14830-9514</v>
      </c>
      <c r="AB2172" t="s">
        <v>282</v>
      </c>
      <c r="AC2172" t="s">
        <v>119</v>
      </c>
      <c r="AD2172" t="s">
        <v>113</v>
      </c>
      <c r="AE2172" t="s">
        <v>120</v>
      </c>
      <c r="AG2172" t="s">
        <v>121</v>
      </c>
    </row>
    <row r="2173" spans="1:33" x14ac:dyDescent="0.25">
      <c r="A2173" t="str">
        <f>"1083013189"</f>
        <v>1083013189</v>
      </c>
      <c r="B2173" t="str">
        <f>"04046902"</f>
        <v>04046902</v>
      </c>
      <c r="C2173" t="s">
        <v>12467</v>
      </c>
      <c r="D2173" t="s">
        <v>12468</v>
      </c>
      <c r="E2173" t="s">
        <v>12469</v>
      </c>
      <c r="G2173" t="s">
        <v>12470</v>
      </c>
      <c r="H2173" t="s">
        <v>1115</v>
      </c>
      <c r="J2173" t="s">
        <v>438</v>
      </c>
      <c r="L2173" t="s">
        <v>112</v>
      </c>
      <c r="M2173" t="s">
        <v>113</v>
      </c>
      <c r="R2173" t="s">
        <v>12469</v>
      </c>
      <c r="W2173" t="s">
        <v>12469</v>
      </c>
      <c r="X2173" t="s">
        <v>1218</v>
      </c>
      <c r="Y2173" t="s">
        <v>318</v>
      </c>
      <c r="Z2173" t="s">
        <v>117</v>
      </c>
      <c r="AA2173" t="str">
        <f>"14225-4985"</f>
        <v>14225-4985</v>
      </c>
      <c r="AB2173" t="s">
        <v>528</v>
      </c>
      <c r="AC2173" t="s">
        <v>119</v>
      </c>
      <c r="AD2173" t="s">
        <v>113</v>
      </c>
      <c r="AE2173" t="s">
        <v>120</v>
      </c>
      <c r="AG2173" t="s">
        <v>121</v>
      </c>
    </row>
    <row r="2174" spans="1:33" x14ac:dyDescent="0.25">
      <c r="A2174" t="str">
        <f>"1083044598"</f>
        <v>1083044598</v>
      </c>
      <c r="C2174" t="s">
        <v>12471</v>
      </c>
      <c r="G2174" t="s">
        <v>12472</v>
      </c>
      <c r="H2174" t="s">
        <v>351</v>
      </c>
      <c r="J2174" t="s">
        <v>352</v>
      </c>
      <c r="K2174" t="s">
        <v>303</v>
      </c>
      <c r="L2174" t="s">
        <v>229</v>
      </c>
      <c r="M2174" t="s">
        <v>113</v>
      </c>
      <c r="R2174" t="s">
        <v>12473</v>
      </c>
      <c r="S2174" t="s">
        <v>354</v>
      </c>
      <c r="T2174" t="s">
        <v>116</v>
      </c>
      <c r="U2174" t="s">
        <v>117</v>
      </c>
      <c r="V2174" t="str">
        <f>"142152814"</f>
        <v>142152814</v>
      </c>
      <c r="AC2174" t="s">
        <v>119</v>
      </c>
      <c r="AD2174" t="s">
        <v>113</v>
      </c>
      <c r="AE2174" t="s">
        <v>306</v>
      </c>
      <c r="AG2174" t="s">
        <v>121</v>
      </c>
    </row>
    <row r="2175" spans="1:33" x14ac:dyDescent="0.25">
      <c r="A2175" t="str">
        <f>"1083051932"</f>
        <v>1083051932</v>
      </c>
      <c r="B2175" t="str">
        <f>"04201456"</f>
        <v>04201456</v>
      </c>
      <c r="C2175" t="s">
        <v>12474</v>
      </c>
      <c r="D2175" t="s">
        <v>12475</v>
      </c>
      <c r="E2175" t="s">
        <v>12476</v>
      </c>
      <c r="G2175" t="s">
        <v>12477</v>
      </c>
      <c r="H2175" t="s">
        <v>12478</v>
      </c>
      <c r="L2175" t="s">
        <v>229</v>
      </c>
      <c r="M2175" t="s">
        <v>113</v>
      </c>
      <c r="R2175" t="s">
        <v>12479</v>
      </c>
      <c r="W2175" t="s">
        <v>12476</v>
      </c>
      <c r="X2175" t="s">
        <v>855</v>
      </c>
      <c r="Y2175" t="s">
        <v>116</v>
      </c>
      <c r="Z2175" t="s">
        <v>117</v>
      </c>
      <c r="AA2175" t="str">
        <f>"14213-1573"</f>
        <v>14213-1573</v>
      </c>
      <c r="AB2175" t="s">
        <v>621</v>
      </c>
      <c r="AC2175" t="s">
        <v>119</v>
      </c>
      <c r="AD2175" t="s">
        <v>113</v>
      </c>
      <c r="AE2175" t="s">
        <v>120</v>
      </c>
      <c r="AG2175" t="s">
        <v>121</v>
      </c>
    </row>
    <row r="2176" spans="1:33" x14ac:dyDescent="0.25">
      <c r="A2176" t="str">
        <f>"1083054563"</f>
        <v>1083054563</v>
      </c>
      <c r="C2176" t="s">
        <v>12480</v>
      </c>
      <c r="G2176" t="s">
        <v>12481</v>
      </c>
      <c r="H2176" t="s">
        <v>351</v>
      </c>
      <c r="J2176" t="s">
        <v>352</v>
      </c>
      <c r="K2176" t="s">
        <v>303</v>
      </c>
      <c r="L2176" t="s">
        <v>229</v>
      </c>
      <c r="M2176" t="s">
        <v>113</v>
      </c>
      <c r="R2176" t="s">
        <v>12482</v>
      </c>
      <c r="S2176" t="s">
        <v>354</v>
      </c>
      <c r="T2176" t="s">
        <v>116</v>
      </c>
      <c r="U2176" t="s">
        <v>117</v>
      </c>
      <c r="V2176" t="str">
        <f>"142152814"</f>
        <v>142152814</v>
      </c>
      <c r="AC2176" t="s">
        <v>119</v>
      </c>
      <c r="AD2176" t="s">
        <v>113</v>
      </c>
      <c r="AE2176" t="s">
        <v>306</v>
      </c>
      <c r="AG2176" t="s">
        <v>121</v>
      </c>
    </row>
    <row r="2177" spans="1:33" x14ac:dyDescent="0.25">
      <c r="A2177" t="str">
        <f>"1083607055"</f>
        <v>1083607055</v>
      </c>
      <c r="B2177" t="str">
        <f>"02317664"</f>
        <v>02317664</v>
      </c>
      <c r="C2177" t="s">
        <v>12483</v>
      </c>
      <c r="D2177" t="s">
        <v>12484</v>
      </c>
      <c r="E2177" t="s">
        <v>12485</v>
      </c>
      <c r="G2177" t="s">
        <v>12483</v>
      </c>
      <c r="H2177" t="s">
        <v>1507</v>
      </c>
      <c r="J2177" t="s">
        <v>12486</v>
      </c>
      <c r="L2177" t="s">
        <v>112</v>
      </c>
      <c r="M2177" t="s">
        <v>199</v>
      </c>
      <c r="R2177" t="s">
        <v>12487</v>
      </c>
      <c r="W2177" t="s">
        <v>12485</v>
      </c>
      <c r="X2177" t="s">
        <v>12488</v>
      </c>
      <c r="Y2177" t="s">
        <v>116</v>
      </c>
      <c r="Z2177" t="s">
        <v>117</v>
      </c>
      <c r="AA2177" t="str">
        <f>"14214-2692"</f>
        <v>14214-2692</v>
      </c>
      <c r="AB2177" t="s">
        <v>118</v>
      </c>
      <c r="AC2177" t="s">
        <v>119</v>
      </c>
      <c r="AD2177" t="s">
        <v>113</v>
      </c>
      <c r="AE2177" t="s">
        <v>120</v>
      </c>
      <c r="AG2177" t="s">
        <v>121</v>
      </c>
    </row>
    <row r="2178" spans="1:33" x14ac:dyDescent="0.25">
      <c r="A2178" t="str">
        <f>"1083608418"</f>
        <v>1083608418</v>
      </c>
      <c r="B2178" t="str">
        <f>"02976387"</f>
        <v>02976387</v>
      </c>
      <c r="C2178" t="s">
        <v>12489</v>
      </c>
      <c r="D2178" t="s">
        <v>12490</v>
      </c>
      <c r="E2178" t="s">
        <v>12491</v>
      </c>
      <c r="G2178" t="s">
        <v>12492</v>
      </c>
      <c r="H2178" t="s">
        <v>382</v>
      </c>
      <c r="J2178" t="s">
        <v>383</v>
      </c>
      <c r="L2178" t="s">
        <v>150</v>
      </c>
      <c r="M2178" t="s">
        <v>113</v>
      </c>
      <c r="R2178" t="s">
        <v>12493</v>
      </c>
      <c r="W2178" t="s">
        <v>12494</v>
      </c>
      <c r="X2178" t="s">
        <v>12495</v>
      </c>
      <c r="Y2178" t="s">
        <v>387</v>
      </c>
      <c r="Z2178" t="s">
        <v>117</v>
      </c>
      <c r="AA2178" t="str">
        <f>"14787-0010"</f>
        <v>14787-0010</v>
      </c>
      <c r="AB2178" t="s">
        <v>118</v>
      </c>
      <c r="AC2178" t="s">
        <v>119</v>
      </c>
      <c r="AD2178" t="s">
        <v>113</v>
      </c>
      <c r="AE2178" t="s">
        <v>120</v>
      </c>
      <c r="AG2178" t="s">
        <v>121</v>
      </c>
    </row>
    <row r="2179" spans="1:33" x14ac:dyDescent="0.25">
      <c r="A2179" t="str">
        <f>"1083611610"</f>
        <v>1083611610</v>
      </c>
      <c r="B2179" t="str">
        <f>"00569282"</f>
        <v>00569282</v>
      </c>
      <c r="C2179" t="s">
        <v>12496</v>
      </c>
      <c r="D2179" t="s">
        <v>12497</v>
      </c>
      <c r="E2179" t="s">
        <v>12498</v>
      </c>
      <c r="G2179" t="s">
        <v>330</v>
      </c>
      <c r="H2179" t="s">
        <v>12499</v>
      </c>
      <c r="J2179" t="s">
        <v>332</v>
      </c>
      <c r="L2179" t="s">
        <v>142</v>
      </c>
      <c r="M2179" t="s">
        <v>113</v>
      </c>
      <c r="R2179" t="s">
        <v>12500</v>
      </c>
      <c r="W2179" t="s">
        <v>12498</v>
      </c>
      <c r="X2179" t="s">
        <v>1648</v>
      </c>
      <c r="Y2179" t="s">
        <v>116</v>
      </c>
      <c r="Z2179" t="s">
        <v>117</v>
      </c>
      <c r="AA2179" t="str">
        <f>"14214-2648"</f>
        <v>14214-2648</v>
      </c>
      <c r="AB2179" t="s">
        <v>118</v>
      </c>
      <c r="AC2179" t="s">
        <v>119</v>
      </c>
      <c r="AD2179" t="s">
        <v>113</v>
      </c>
      <c r="AE2179" t="s">
        <v>120</v>
      </c>
      <c r="AG2179" t="s">
        <v>121</v>
      </c>
    </row>
    <row r="2180" spans="1:33" x14ac:dyDescent="0.25">
      <c r="A2180" t="str">
        <f>"1083611982"</f>
        <v>1083611982</v>
      </c>
      <c r="B2180" t="str">
        <f>"00713259"</f>
        <v>00713259</v>
      </c>
      <c r="C2180" t="s">
        <v>12501</v>
      </c>
      <c r="D2180" t="s">
        <v>12502</v>
      </c>
      <c r="E2180" t="s">
        <v>12503</v>
      </c>
      <c r="G2180" t="s">
        <v>12501</v>
      </c>
      <c r="H2180" t="s">
        <v>12504</v>
      </c>
      <c r="J2180" t="s">
        <v>12505</v>
      </c>
      <c r="L2180" t="s">
        <v>142</v>
      </c>
      <c r="M2180" t="s">
        <v>113</v>
      </c>
      <c r="R2180" t="s">
        <v>12506</v>
      </c>
      <c r="W2180" t="s">
        <v>12503</v>
      </c>
      <c r="X2180" t="s">
        <v>176</v>
      </c>
      <c r="Y2180" t="s">
        <v>116</v>
      </c>
      <c r="Z2180" t="s">
        <v>117</v>
      </c>
      <c r="AA2180" t="str">
        <f>"14203-1126"</f>
        <v>14203-1126</v>
      </c>
      <c r="AB2180" t="s">
        <v>118</v>
      </c>
      <c r="AC2180" t="s">
        <v>119</v>
      </c>
      <c r="AD2180" t="s">
        <v>113</v>
      </c>
      <c r="AE2180" t="s">
        <v>120</v>
      </c>
      <c r="AG2180" t="s">
        <v>121</v>
      </c>
    </row>
    <row r="2181" spans="1:33" x14ac:dyDescent="0.25">
      <c r="A2181" t="str">
        <f>"1083617815"</f>
        <v>1083617815</v>
      </c>
      <c r="B2181" t="str">
        <f>"01971888"</f>
        <v>01971888</v>
      </c>
      <c r="C2181" t="s">
        <v>12507</v>
      </c>
      <c r="D2181" t="s">
        <v>12508</v>
      </c>
      <c r="E2181" t="s">
        <v>12509</v>
      </c>
      <c r="G2181" t="s">
        <v>12507</v>
      </c>
      <c r="H2181" t="s">
        <v>3780</v>
      </c>
      <c r="J2181" t="s">
        <v>12510</v>
      </c>
      <c r="L2181" t="s">
        <v>1033</v>
      </c>
      <c r="M2181" t="s">
        <v>113</v>
      </c>
      <c r="R2181" t="s">
        <v>12509</v>
      </c>
      <c r="W2181" t="s">
        <v>12509</v>
      </c>
      <c r="X2181" t="s">
        <v>12511</v>
      </c>
      <c r="Y2181" t="s">
        <v>958</v>
      </c>
      <c r="Z2181" t="s">
        <v>117</v>
      </c>
      <c r="AA2181" t="str">
        <f>"14228-3604"</f>
        <v>14228-3604</v>
      </c>
      <c r="AB2181" t="s">
        <v>118</v>
      </c>
      <c r="AC2181" t="s">
        <v>119</v>
      </c>
      <c r="AD2181" t="s">
        <v>113</v>
      </c>
      <c r="AE2181" t="s">
        <v>120</v>
      </c>
      <c r="AG2181" t="s">
        <v>121</v>
      </c>
    </row>
    <row r="2182" spans="1:33" x14ac:dyDescent="0.25">
      <c r="A2182" t="str">
        <f>"1083618672"</f>
        <v>1083618672</v>
      </c>
      <c r="B2182" t="str">
        <f>"01183233"</f>
        <v>01183233</v>
      </c>
      <c r="C2182" t="s">
        <v>12512</v>
      </c>
      <c r="D2182" t="s">
        <v>12513</v>
      </c>
      <c r="E2182" t="s">
        <v>12514</v>
      </c>
      <c r="G2182" t="s">
        <v>12515</v>
      </c>
      <c r="H2182" t="s">
        <v>12516</v>
      </c>
      <c r="I2182">
        <v>125115</v>
      </c>
      <c r="J2182" t="s">
        <v>12517</v>
      </c>
      <c r="L2182" t="s">
        <v>9979</v>
      </c>
      <c r="M2182" t="s">
        <v>199</v>
      </c>
      <c r="R2182" t="s">
        <v>12512</v>
      </c>
      <c r="W2182" t="s">
        <v>12514</v>
      </c>
      <c r="X2182" t="s">
        <v>12518</v>
      </c>
      <c r="Y2182" t="s">
        <v>958</v>
      </c>
      <c r="Z2182" t="s">
        <v>117</v>
      </c>
      <c r="AA2182" t="str">
        <f>"14226-1900"</f>
        <v>14226-1900</v>
      </c>
      <c r="AB2182" t="s">
        <v>1146</v>
      </c>
      <c r="AC2182" t="s">
        <v>119</v>
      </c>
      <c r="AD2182" t="s">
        <v>113</v>
      </c>
      <c r="AE2182" t="s">
        <v>120</v>
      </c>
      <c r="AG2182" t="s">
        <v>121</v>
      </c>
    </row>
    <row r="2183" spans="1:33" x14ac:dyDescent="0.25">
      <c r="A2183" t="str">
        <f>"1083648646"</f>
        <v>1083648646</v>
      </c>
      <c r="B2183" t="str">
        <f>"02776790"</f>
        <v>02776790</v>
      </c>
      <c r="C2183" t="s">
        <v>12519</v>
      </c>
      <c r="D2183" t="s">
        <v>12520</v>
      </c>
      <c r="E2183" t="s">
        <v>12521</v>
      </c>
      <c r="G2183" t="s">
        <v>12519</v>
      </c>
      <c r="H2183" t="s">
        <v>884</v>
      </c>
      <c r="J2183" t="s">
        <v>12522</v>
      </c>
      <c r="L2183" t="s">
        <v>142</v>
      </c>
      <c r="M2183" t="s">
        <v>113</v>
      </c>
      <c r="R2183" t="s">
        <v>12523</v>
      </c>
      <c r="W2183" t="s">
        <v>12524</v>
      </c>
      <c r="X2183" t="s">
        <v>3803</v>
      </c>
      <c r="Y2183" t="s">
        <v>129</v>
      </c>
      <c r="Z2183" t="s">
        <v>117</v>
      </c>
      <c r="AA2183" t="str">
        <f>"14224-2646"</f>
        <v>14224-2646</v>
      </c>
      <c r="AB2183" t="s">
        <v>118</v>
      </c>
      <c r="AC2183" t="s">
        <v>119</v>
      </c>
      <c r="AD2183" t="s">
        <v>113</v>
      </c>
      <c r="AE2183" t="s">
        <v>120</v>
      </c>
      <c r="AG2183" t="s">
        <v>121</v>
      </c>
    </row>
    <row r="2184" spans="1:33" x14ac:dyDescent="0.25">
      <c r="A2184" t="str">
        <f>"1174679880"</f>
        <v>1174679880</v>
      </c>
      <c r="B2184" t="str">
        <f>"02621901"</f>
        <v>02621901</v>
      </c>
      <c r="C2184" t="s">
        <v>12525</v>
      </c>
      <c r="D2184" t="s">
        <v>12526</v>
      </c>
      <c r="E2184" t="s">
        <v>12527</v>
      </c>
      <c r="G2184" t="s">
        <v>330</v>
      </c>
      <c r="H2184" t="s">
        <v>419</v>
      </c>
      <c r="J2184" t="s">
        <v>332</v>
      </c>
      <c r="L2184" t="s">
        <v>142</v>
      </c>
      <c r="M2184" t="s">
        <v>113</v>
      </c>
      <c r="R2184" t="s">
        <v>12528</v>
      </c>
      <c r="W2184" t="s">
        <v>12527</v>
      </c>
      <c r="X2184" t="s">
        <v>422</v>
      </c>
      <c r="Y2184" t="s">
        <v>129</v>
      </c>
      <c r="Z2184" t="s">
        <v>117</v>
      </c>
      <c r="AA2184" t="str">
        <f>"14224-4638"</f>
        <v>14224-4638</v>
      </c>
      <c r="AB2184" t="s">
        <v>118</v>
      </c>
      <c r="AC2184" t="s">
        <v>119</v>
      </c>
      <c r="AD2184" t="s">
        <v>113</v>
      </c>
      <c r="AE2184" t="s">
        <v>120</v>
      </c>
      <c r="AG2184" t="s">
        <v>121</v>
      </c>
    </row>
    <row r="2185" spans="1:33" x14ac:dyDescent="0.25">
      <c r="A2185" t="str">
        <f>"1174684310"</f>
        <v>1174684310</v>
      </c>
      <c r="B2185" t="str">
        <f>"02202353"</f>
        <v>02202353</v>
      </c>
      <c r="C2185" t="s">
        <v>12529</v>
      </c>
      <c r="D2185" t="s">
        <v>12530</v>
      </c>
      <c r="E2185" t="s">
        <v>12531</v>
      </c>
      <c r="G2185" t="s">
        <v>12532</v>
      </c>
      <c r="H2185" t="s">
        <v>12533</v>
      </c>
      <c r="J2185" t="s">
        <v>12534</v>
      </c>
      <c r="L2185" t="s">
        <v>142</v>
      </c>
      <c r="M2185" t="s">
        <v>113</v>
      </c>
      <c r="R2185" t="s">
        <v>12535</v>
      </c>
      <c r="W2185" t="s">
        <v>12531</v>
      </c>
      <c r="X2185" t="s">
        <v>12536</v>
      </c>
      <c r="Y2185" t="s">
        <v>1381</v>
      </c>
      <c r="Z2185" t="s">
        <v>117</v>
      </c>
      <c r="AA2185" t="str">
        <f>"14063-2200"</f>
        <v>14063-2200</v>
      </c>
      <c r="AB2185" t="s">
        <v>118</v>
      </c>
      <c r="AC2185" t="s">
        <v>119</v>
      </c>
      <c r="AD2185" t="s">
        <v>113</v>
      </c>
      <c r="AE2185" t="s">
        <v>120</v>
      </c>
      <c r="AG2185" t="s">
        <v>121</v>
      </c>
    </row>
    <row r="2186" spans="1:33" x14ac:dyDescent="0.25">
      <c r="A2186" t="str">
        <f>"1174728026"</f>
        <v>1174728026</v>
      </c>
      <c r="B2186" t="str">
        <f>"02902023"</f>
        <v>02902023</v>
      </c>
      <c r="C2186" t="s">
        <v>12537</v>
      </c>
      <c r="D2186" t="s">
        <v>12538</v>
      </c>
      <c r="E2186" t="s">
        <v>12539</v>
      </c>
      <c r="G2186" t="s">
        <v>12540</v>
      </c>
      <c r="H2186" t="s">
        <v>12541</v>
      </c>
      <c r="J2186" t="s">
        <v>12542</v>
      </c>
      <c r="L2186" t="s">
        <v>112</v>
      </c>
      <c r="M2186" t="s">
        <v>113</v>
      </c>
      <c r="R2186" t="s">
        <v>12543</v>
      </c>
      <c r="W2186" t="s">
        <v>12539</v>
      </c>
      <c r="X2186" t="s">
        <v>176</v>
      </c>
      <c r="Y2186" t="s">
        <v>116</v>
      </c>
      <c r="Z2186" t="s">
        <v>117</v>
      </c>
      <c r="AA2186" t="str">
        <f>"14203-1126"</f>
        <v>14203-1126</v>
      </c>
      <c r="AB2186" t="s">
        <v>118</v>
      </c>
      <c r="AC2186" t="s">
        <v>119</v>
      </c>
      <c r="AD2186" t="s">
        <v>113</v>
      </c>
      <c r="AE2186" t="s">
        <v>120</v>
      </c>
      <c r="AG2186" t="s">
        <v>121</v>
      </c>
    </row>
    <row r="2187" spans="1:33" x14ac:dyDescent="0.25">
      <c r="A2187" t="str">
        <f>"1174737589"</f>
        <v>1174737589</v>
      </c>
      <c r="B2187" t="str">
        <f>"01638302"</f>
        <v>01638302</v>
      </c>
      <c r="C2187" t="s">
        <v>12544</v>
      </c>
      <c r="D2187" t="s">
        <v>12545</v>
      </c>
      <c r="E2187" t="s">
        <v>12546</v>
      </c>
      <c r="G2187" t="s">
        <v>12544</v>
      </c>
      <c r="H2187" t="s">
        <v>12547</v>
      </c>
      <c r="J2187" t="s">
        <v>12548</v>
      </c>
      <c r="L2187" t="s">
        <v>229</v>
      </c>
      <c r="M2187" t="s">
        <v>113</v>
      </c>
      <c r="R2187" t="s">
        <v>12549</v>
      </c>
      <c r="W2187" t="s">
        <v>12546</v>
      </c>
      <c r="X2187" t="s">
        <v>216</v>
      </c>
      <c r="Y2187" t="s">
        <v>116</v>
      </c>
      <c r="Z2187" t="s">
        <v>117</v>
      </c>
      <c r="AA2187" t="str">
        <f>"14222-2006"</f>
        <v>14222-2006</v>
      </c>
      <c r="AB2187" t="s">
        <v>2359</v>
      </c>
      <c r="AC2187" t="s">
        <v>119</v>
      </c>
      <c r="AD2187" t="s">
        <v>113</v>
      </c>
      <c r="AE2187" t="s">
        <v>120</v>
      </c>
      <c r="AG2187" t="s">
        <v>121</v>
      </c>
    </row>
    <row r="2188" spans="1:33" x14ac:dyDescent="0.25">
      <c r="A2188" t="str">
        <f>"1174757652"</f>
        <v>1174757652</v>
      </c>
      <c r="B2188" t="str">
        <f>"03581615"</f>
        <v>03581615</v>
      </c>
      <c r="C2188" t="s">
        <v>12550</v>
      </c>
      <c r="D2188" t="s">
        <v>12551</v>
      </c>
      <c r="E2188" t="s">
        <v>12552</v>
      </c>
      <c r="G2188" t="s">
        <v>12553</v>
      </c>
      <c r="H2188" t="s">
        <v>12554</v>
      </c>
      <c r="J2188" t="s">
        <v>12555</v>
      </c>
      <c r="L2188" t="s">
        <v>112</v>
      </c>
      <c r="M2188" t="s">
        <v>113</v>
      </c>
      <c r="R2188" t="s">
        <v>12556</v>
      </c>
      <c r="W2188" t="s">
        <v>12552</v>
      </c>
      <c r="X2188" t="s">
        <v>253</v>
      </c>
      <c r="Y2188" t="s">
        <v>116</v>
      </c>
      <c r="Z2188" t="s">
        <v>117</v>
      </c>
      <c r="AA2188" t="str">
        <f>"14215-3021"</f>
        <v>14215-3021</v>
      </c>
      <c r="AB2188" t="s">
        <v>118</v>
      </c>
      <c r="AC2188" t="s">
        <v>119</v>
      </c>
      <c r="AD2188" t="s">
        <v>113</v>
      </c>
      <c r="AE2188" t="s">
        <v>120</v>
      </c>
      <c r="AG2188" t="s">
        <v>121</v>
      </c>
    </row>
    <row r="2189" spans="1:33" x14ac:dyDescent="0.25">
      <c r="A2189" t="str">
        <f>"1174788541"</f>
        <v>1174788541</v>
      </c>
      <c r="B2189" t="str">
        <f>"03358981"</f>
        <v>03358981</v>
      </c>
      <c r="C2189" t="s">
        <v>12557</v>
      </c>
      <c r="D2189" t="s">
        <v>12558</v>
      </c>
      <c r="E2189" t="s">
        <v>12559</v>
      </c>
      <c r="G2189" t="s">
        <v>12557</v>
      </c>
      <c r="H2189" t="s">
        <v>12560</v>
      </c>
      <c r="J2189" t="s">
        <v>12561</v>
      </c>
      <c r="L2189" t="s">
        <v>142</v>
      </c>
      <c r="M2189" t="s">
        <v>113</v>
      </c>
      <c r="R2189" t="s">
        <v>12562</v>
      </c>
      <c r="W2189" t="s">
        <v>12559</v>
      </c>
      <c r="X2189" t="s">
        <v>12563</v>
      </c>
      <c r="Y2189" t="s">
        <v>880</v>
      </c>
      <c r="Z2189" t="s">
        <v>117</v>
      </c>
      <c r="AA2189" t="str">
        <f>"13210-1840"</f>
        <v>13210-1840</v>
      </c>
      <c r="AB2189" t="s">
        <v>118</v>
      </c>
      <c r="AC2189" t="s">
        <v>119</v>
      </c>
      <c r="AD2189" t="s">
        <v>113</v>
      </c>
      <c r="AE2189" t="s">
        <v>120</v>
      </c>
      <c r="AG2189" t="s">
        <v>121</v>
      </c>
    </row>
    <row r="2190" spans="1:33" x14ac:dyDescent="0.25">
      <c r="A2190" t="str">
        <f>"1174789242"</f>
        <v>1174789242</v>
      </c>
      <c r="B2190" t="str">
        <f>"03305653"</f>
        <v>03305653</v>
      </c>
      <c r="C2190" t="s">
        <v>12564</v>
      </c>
      <c r="D2190" t="s">
        <v>12565</v>
      </c>
      <c r="E2190" t="s">
        <v>12566</v>
      </c>
      <c r="G2190" t="s">
        <v>12567</v>
      </c>
      <c r="H2190" t="s">
        <v>11669</v>
      </c>
      <c r="J2190" t="s">
        <v>12568</v>
      </c>
      <c r="L2190" t="s">
        <v>13</v>
      </c>
      <c r="M2190" t="s">
        <v>113</v>
      </c>
      <c r="R2190" t="s">
        <v>12564</v>
      </c>
      <c r="W2190" t="s">
        <v>12566</v>
      </c>
      <c r="X2190" t="s">
        <v>1459</v>
      </c>
      <c r="Y2190" t="s">
        <v>305</v>
      </c>
      <c r="Z2190" t="s">
        <v>117</v>
      </c>
      <c r="AA2190" t="str">
        <f>"14760-1100"</f>
        <v>14760-1100</v>
      </c>
      <c r="AB2190" t="s">
        <v>1146</v>
      </c>
      <c r="AC2190" t="s">
        <v>119</v>
      </c>
      <c r="AD2190" t="s">
        <v>113</v>
      </c>
      <c r="AE2190" t="s">
        <v>120</v>
      </c>
      <c r="AG2190" t="s">
        <v>121</v>
      </c>
    </row>
    <row r="2191" spans="1:33" x14ac:dyDescent="0.25">
      <c r="A2191" t="str">
        <f>"1174793814"</f>
        <v>1174793814</v>
      </c>
      <c r="B2191" t="str">
        <f>"03795686"</f>
        <v>03795686</v>
      </c>
      <c r="C2191" t="s">
        <v>12569</v>
      </c>
      <c r="D2191" t="s">
        <v>12570</v>
      </c>
      <c r="E2191" t="s">
        <v>12571</v>
      </c>
      <c r="G2191" t="s">
        <v>12569</v>
      </c>
      <c r="H2191" t="s">
        <v>12572</v>
      </c>
      <c r="J2191" t="s">
        <v>12573</v>
      </c>
      <c r="L2191" t="s">
        <v>142</v>
      </c>
      <c r="M2191" t="s">
        <v>113</v>
      </c>
      <c r="R2191" t="s">
        <v>12574</v>
      </c>
      <c r="W2191" t="s">
        <v>12571</v>
      </c>
      <c r="X2191" t="s">
        <v>176</v>
      </c>
      <c r="Y2191" t="s">
        <v>116</v>
      </c>
      <c r="Z2191" t="s">
        <v>117</v>
      </c>
      <c r="AA2191" t="str">
        <f>"14203-1126"</f>
        <v>14203-1126</v>
      </c>
      <c r="AB2191" t="s">
        <v>118</v>
      </c>
      <c r="AC2191" t="s">
        <v>119</v>
      </c>
      <c r="AD2191" t="s">
        <v>113</v>
      </c>
      <c r="AE2191" t="s">
        <v>120</v>
      </c>
      <c r="AG2191" t="s">
        <v>121</v>
      </c>
    </row>
    <row r="2192" spans="1:33" x14ac:dyDescent="0.25">
      <c r="A2192" t="str">
        <f>"1285688564"</f>
        <v>1285688564</v>
      </c>
      <c r="B2192" t="str">
        <f>"02772301"</f>
        <v>02772301</v>
      </c>
      <c r="C2192" t="s">
        <v>12575</v>
      </c>
      <c r="D2192" t="s">
        <v>12576</v>
      </c>
      <c r="E2192" t="s">
        <v>12577</v>
      </c>
      <c r="G2192" t="s">
        <v>12578</v>
      </c>
      <c r="H2192" t="s">
        <v>12579</v>
      </c>
      <c r="J2192" t="s">
        <v>12580</v>
      </c>
      <c r="L2192" t="s">
        <v>142</v>
      </c>
      <c r="M2192" t="s">
        <v>113</v>
      </c>
      <c r="R2192" t="s">
        <v>12581</v>
      </c>
      <c r="W2192" t="s">
        <v>12582</v>
      </c>
      <c r="X2192" t="s">
        <v>12583</v>
      </c>
      <c r="Y2192" t="s">
        <v>377</v>
      </c>
      <c r="Z2192" t="s">
        <v>117</v>
      </c>
      <c r="AA2192" t="str">
        <f>"14217-1356"</f>
        <v>14217-1356</v>
      </c>
      <c r="AB2192" t="s">
        <v>118</v>
      </c>
      <c r="AC2192" t="s">
        <v>119</v>
      </c>
      <c r="AD2192" t="s">
        <v>113</v>
      </c>
      <c r="AE2192" t="s">
        <v>120</v>
      </c>
      <c r="AG2192" t="s">
        <v>121</v>
      </c>
    </row>
    <row r="2193" spans="1:33" x14ac:dyDescent="0.25">
      <c r="A2193" t="str">
        <f>"1639448145"</f>
        <v>1639448145</v>
      </c>
      <c r="C2193" t="s">
        <v>12584</v>
      </c>
      <c r="G2193" t="s">
        <v>12585</v>
      </c>
      <c r="H2193" t="s">
        <v>351</v>
      </c>
      <c r="J2193" t="s">
        <v>352</v>
      </c>
      <c r="K2193" t="s">
        <v>303</v>
      </c>
      <c r="L2193" t="s">
        <v>229</v>
      </c>
      <c r="M2193" t="s">
        <v>113</v>
      </c>
      <c r="R2193" t="s">
        <v>12586</v>
      </c>
      <c r="S2193" t="s">
        <v>354</v>
      </c>
      <c r="T2193" t="s">
        <v>116</v>
      </c>
      <c r="U2193" t="s">
        <v>117</v>
      </c>
      <c r="V2193" t="str">
        <f>"142152814"</f>
        <v>142152814</v>
      </c>
      <c r="AC2193" t="s">
        <v>119</v>
      </c>
      <c r="AD2193" t="s">
        <v>113</v>
      </c>
      <c r="AE2193" t="s">
        <v>306</v>
      </c>
      <c r="AG2193" t="s">
        <v>121</v>
      </c>
    </row>
    <row r="2194" spans="1:33" x14ac:dyDescent="0.25">
      <c r="A2194" t="str">
        <f>"1639460389"</f>
        <v>1639460389</v>
      </c>
      <c r="C2194" t="s">
        <v>12587</v>
      </c>
      <c r="G2194" t="s">
        <v>6682</v>
      </c>
      <c r="H2194" t="s">
        <v>6683</v>
      </c>
      <c r="J2194" t="s">
        <v>6684</v>
      </c>
      <c r="K2194" t="s">
        <v>303</v>
      </c>
      <c r="L2194" t="s">
        <v>229</v>
      </c>
      <c r="M2194" t="s">
        <v>113</v>
      </c>
      <c r="R2194" t="s">
        <v>12588</v>
      </c>
      <c r="S2194" t="s">
        <v>12589</v>
      </c>
      <c r="T2194" t="s">
        <v>6200</v>
      </c>
      <c r="U2194" t="s">
        <v>5493</v>
      </c>
      <c r="V2194" t="str">
        <f>"606112654"</f>
        <v>606112654</v>
      </c>
      <c r="AC2194" t="s">
        <v>119</v>
      </c>
      <c r="AD2194" t="s">
        <v>113</v>
      </c>
      <c r="AE2194" t="s">
        <v>306</v>
      </c>
      <c r="AG2194" t="s">
        <v>121</v>
      </c>
    </row>
    <row r="2195" spans="1:33" x14ac:dyDescent="0.25">
      <c r="A2195" t="str">
        <f>"1639498181"</f>
        <v>1639498181</v>
      </c>
      <c r="B2195" t="str">
        <f>"03603514"</f>
        <v>03603514</v>
      </c>
      <c r="C2195" t="s">
        <v>12590</v>
      </c>
      <c r="D2195" t="s">
        <v>12591</v>
      </c>
      <c r="E2195" t="s">
        <v>12592</v>
      </c>
      <c r="G2195" t="s">
        <v>12590</v>
      </c>
      <c r="H2195" t="s">
        <v>2396</v>
      </c>
      <c r="J2195" t="s">
        <v>12593</v>
      </c>
      <c r="L2195" t="s">
        <v>112</v>
      </c>
      <c r="M2195" t="s">
        <v>113</v>
      </c>
      <c r="R2195" t="s">
        <v>12592</v>
      </c>
      <c r="W2195" t="s">
        <v>12592</v>
      </c>
      <c r="X2195" t="s">
        <v>176</v>
      </c>
      <c r="Y2195" t="s">
        <v>116</v>
      </c>
      <c r="Z2195" t="s">
        <v>117</v>
      </c>
      <c r="AA2195" t="str">
        <f>"14203-1126"</f>
        <v>14203-1126</v>
      </c>
      <c r="AB2195" t="s">
        <v>118</v>
      </c>
      <c r="AC2195" t="s">
        <v>119</v>
      </c>
      <c r="AD2195" t="s">
        <v>113</v>
      </c>
      <c r="AE2195" t="s">
        <v>120</v>
      </c>
      <c r="AG2195" t="s">
        <v>121</v>
      </c>
    </row>
    <row r="2196" spans="1:33" x14ac:dyDescent="0.25">
      <c r="A2196" t="str">
        <f>"1639501083"</f>
        <v>1639501083</v>
      </c>
      <c r="C2196" t="s">
        <v>12594</v>
      </c>
      <c r="G2196" t="s">
        <v>12595</v>
      </c>
      <c r="H2196" t="s">
        <v>471</v>
      </c>
      <c r="J2196" t="s">
        <v>12596</v>
      </c>
      <c r="K2196" t="s">
        <v>303</v>
      </c>
      <c r="L2196" t="s">
        <v>112</v>
      </c>
      <c r="M2196" t="s">
        <v>113</v>
      </c>
      <c r="R2196" t="s">
        <v>12597</v>
      </c>
      <c r="S2196" t="s">
        <v>474</v>
      </c>
      <c r="T2196" t="s">
        <v>116</v>
      </c>
      <c r="U2196" t="s">
        <v>117</v>
      </c>
      <c r="V2196" t="str">
        <f>"142141316"</f>
        <v>142141316</v>
      </c>
      <c r="AC2196" t="s">
        <v>119</v>
      </c>
      <c r="AD2196" t="s">
        <v>113</v>
      </c>
      <c r="AE2196" t="s">
        <v>306</v>
      </c>
      <c r="AG2196" t="s">
        <v>121</v>
      </c>
    </row>
    <row r="2197" spans="1:33" x14ac:dyDescent="0.25">
      <c r="A2197" t="str">
        <f>"1639572951"</f>
        <v>1639572951</v>
      </c>
      <c r="C2197" t="s">
        <v>12598</v>
      </c>
      <c r="G2197" t="s">
        <v>12599</v>
      </c>
      <c r="H2197" t="s">
        <v>443</v>
      </c>
      <c r="J2197" t="s">
        <v>352</v>
      </c>
      <c r="K2197" t="s">
        <v>303</v>
      </c>
      <c r="L2197" t="s">
        <v>229</v>
      </c>
      <c r="M2197" t="s">
        <v>113</v>
      </c>
      <c r="R2197" t="s">
        <v>12600</v>
      </c>
      <c r="S2197" t="s">
        <v>409</v>
      </c>
      <c r="T2197" t="s">
        <v>116</v>
      </c>
      <c r="U2197" t="s">
        <v>117</v>
      </c>
      <c r="V2197" t="str">
        <f>"142152814"</f>
        <v>142152814</v>
      </c>
      <c r="AC2197" t="s">
        <v>119</v>
      </c>
      <c r="AD2197" t="s">
        <v>113</v>
      </c>
      <c r="AE2197" t="s">
        <v>306</v>
      </c>
      <c r="AG2197" t="s">
        <v>121</v>
      </c>
    </row>
    <row r="2198" spans="1:33" x14ac:dyDescent="0.25">
      <c r="A2198" t="str">
        <f>"1639578446"</f>
        <v>1639578446</v>
      </c>
      <c r="B2198" t="str">
        <f>"03934338"</f>
        <v>03934338</v>
      </c>
      <c r="C2198" t="s">
        <v>12601</v>
      </c>
      <c r="D2198" t="s">
        <v>12602</v>
      </c>
      <c r="E2198" t="s">
        <v>12603</v>
      </c>
      <c r="G2198" t="s">
        <v>12601</v>
      </c>
      <c r="H2198" t="s">
        <v>590</v>
      </c>
      <c r="J2198" t="s">
        <v>12604</v>
      </c>
      <c r="L2198" t="s">
        <v>112</v>
      </c>
      <c r="M2198" t="s">
        <v>113</v>
      </c>
      <c r="R2198" t="s">
        <v>12605</v>
      </c>
      <c r="W2198" t="s">
        <v>12603</v>
      </c>
      <c r="X2198" t="s">
        <v>3004</v>
      </c>
      <c r="Y2198" t="s">
        <v>116</v>
      </c>
      <c r="Z2198" t="s">
        <v>117</v>
      </c>
      <c r="AA2198" t="str">
        <f>"14209-2111"</f>
        <v>14209-2111</v>
      </c>
      <c r="AB2198" t="s">
        <v>528</v>
      </c>
      <c r="AC2198" t="s">
        <v>119</v>
      </c>
      <c r="AD2198" t="s">
        <v>113</v>
      </c>
      <c r="AE2198" t="s">
        <v>120</v>
      </c>
      <c r="AG2198" t="s">
        <v>121</v>
      </c>
    </row>
    <row r="2199" spans="1:33" x14ac:dyDescent="0.25">
      <c r="A2199" t="str">
        <f>"1649202342"</f>
        <v>1649202342</v>
      </c>
      <c r="B2199" t="str">
        <f>"01052120"</f>
        <v>01052120</v>
      </c>
      <c r="C2199" t="s">
        <v>12606</v>
      </c>
      <c r="D2199" t="s">
        <v>12607</v>
      </c>
      <c r="E2199" t="s">
        <v>12608</v>
      </c>
      <c r="G2199" t="s">
        <v>12606</v>
      </c>
      <c r="H2199" t="s">
        <v>12609</v>
      </c>
      <c r="J2199" t="s">
        <v>12610</v>
      </c>
      <c r="L2199" t="s">
        <v>150</v>
      </c>
      <c r="M2199" t="s">
        <v>199</v>
      </c>
      <c r="R2199" t="s">
        <v>12611</v>
      </c>
      <c r="W2199" t="s">
        <v>12608</v>
      </c>
      <c r="X2199" t="s">
        <v>12612</v>
      </c>
      <c r="Y2199" t="s">
        <v>116</v>
      </c>
      <c r="Z2199" t="s">
        <v>117</v>
      </c>
      <c r="AA2199" t="str">
        <f>"14220-2039"</f>
        <v>14220-2039</v>
      </c>
      <c r="AB2199" t="s">
        <v>118</v>
      </c>
      <c r="AC2199" t="s">
        <v>119</v>
      </c>
      <c r="AD2199" t="s">
        <v>113</v>
      </c>
      <c r="AE2199" t="s">
        <v>120</v>
      </c>
      <c r="AG2199" t="s">
        <v>121</v>
      </c>
    </row>
    <row r="2200" spans="1:33" x14ac:dyDescent="0.25">
      <c r="A2200" t="str">
        <f>"1649236134"</f>
        <v>1649236134</v>
      </c>
      <c r="B2200" t="str">
        <f>"02744172"</f>
        <v>02744172</v>
      </c>
      <c r="C2200" t="s">
        <v>12613</v>
      </c>
      <c r="D2200" t="s">
        <v>12614</v>
      </c>
      <c r="E2200" t="s">
        <v>12615</v>
      </c>
      <c r="G2200" t="s">
        <v>12613</v>
      </c>
      <c r="H2200" t="s">
        <v>205</v>
      </c>
      <c r="J2200" t="s">
        <v>12616</v>
      </c>
      <c r="L2200" t="s">
        <v>112</v>
      </c>
      <c r="M2200" t="s">
        <v>113</v>
      </c>
      <c r="R2200" t="s">
        <v>12617</v>
      </c>
      <c r="W2200" t="s">
        <v>12615</v>
      </c>
      <c r="X2200" t="s">
        <v>136</v>
      </c>
      <c r="Y2200" t="s">
        <v>116</v>
      </c>
      <c r="Z2200" t="s">
        <v>117</v>
      </c>
      <c r="AA2200" t="str">
        <f>"14209-1120"</f>
        <v>14209-1120</v>
      </c>
      <c r="AB2200" t="s">
        <v>118</v>
      </c>
      <c r="AC2200" t="s">
        <v>119</v>
      </c>
      <c r="AD2200" t="s">
        <v>113</v>
      </c>
      <c r="AE2200" t="s">
        <v>120</v>
      </c>
      <c r="AG2200" t="s">
        <v>121</v>
      </c>
    </row>
    <row r="2201" spans="1:33" x14ac:dyDescent="0.25">
      <c r="A2201" t="str">
        <f>"1649241795"</f>
        <v>1649241795</v>
      </c>
      <c r="B2201" t="str">
        <f>"00953273"</f>
        <v>00953273</v>
      </c>
      <c r="C2201" t="s">
        <v>12618</v>
      </c>
      <c r="D2201" t="s">
        <v>12619</v>
      </c>
      <c r="E2201" t="s">
        <v>12620</v>
      </c>
      <c r="G2201" t="s">
        <v>12618</v>
      </c>
      <c r="H2201" t="s">
        <v>12621</v>
      </c>
      <c r="J2201" t="s">
        <v>12622</v>
      </c>
      <c r="L2201" t="s">
        <v>112</v>
      </c>
      <c r="M2201" t="s">
        <v>113</v>
      </c>
      <c r="R2201" t="s">
        <v>12623</v>
      </c>
      <c r="W2201" t="s">
        <v>12620</v>
      </c>
      <c r="X2201" t="s">
        <v>12624</v>
      </c>
      <c r="Y2201" t="s">
        <v>240</v>
      </c>
      <c r="Z2201" t="s">
        <v>117</v>
      </c>
      <c r="AA2201" t="str">
        <f>"14221-4801"</f>
        <v>14221-4801</v>
      </c>
      <c r="AB2201" t="s">
        <v>118</v>
      </c>
      <c r="AC2201" t="s">
        <v>119</v>
      </c>
      <c r="AD2201" t="s">
        <v>113</v>
      </c>
      <c r="AE2201" t="s">
        <v>120</v>
      </c>
      <c r="AG2201" t="s">
        <v>121</v>
      </c>
    </row>
    <row r="2202" spans="1:33" x14ac:dyDescent="0.25">
      <c r="A2202" t="str">
        <f>"1649245143"</f>
        <v>1649245143</v>
      </c>
      <c r="B2202" t="str">
        <f>"02706054"</f>
        <v>02706054</v>
      </c>
      <c r="C2202" t="s">
        <v>12625</v>
      </c>
      <c r="D2202" t="s">
        <v>12626</v>
      </c>
      <c r="E2202" t="s">
        <v>12627</v>
      </c>
      <c r="L2202" t="s">
        <v>142</v>
      </c>
      <c r="M2202" t="s">
        <v>113</v>
      </c>
      <c r="R2202" t="s">
        <v>12625</v>
      </c>
      <c r="W2202" t="s">
        <v>12628</v>
      </c>
      <c r="X2202" t="s">
        <v>12629</v>
      </c>
      <c r="Y2202" t="s">
        <v>326</v>
      </c>
      <c r="Z2202" t="s">
        <v>117</v>
      </c>
      <c r="AA2202" t="str">
        <f>"14127-1209"</f>
        <v>14127-1209</v>
      </c>
      <c r="AB2202" t="s">
        <v>118</v>
      </c>
      <c r="AC2202" t="s">
        <v>119</v>
      </c>
      <c r="AD2202" t="s">
        <v>113</v>
      </c>
      <c r="AE2202" t="s">
        <v>120</v>
      </c>
      <c r="AG2202" t="s">
        <v>121</v>
      </c>
    </row>
    <row r="2203" spans="1:33" x14ac:dyDescent="0.25">
      <c r="A2203" t="str">
        <f>"1649246521"</f>
        <v>1649246521</v>
      </c>
      <c r="B2203" t="str">
        <f>"01398392"</f>
        <v>01398392</v>
      </c>
      <c r="C2203" t="s">
        <v>12630</v>
      </c>
      <c r="D2203" t="s">
        <v>12631</v>
      </c>
      <c r="E2203" t="s">
        <v>12632</v>
      </c>
      <c r="G2203" t="s">
        <v>12630</v>
      </c>
      <c r="H2203" t="s">
        <v>579</v>
      </c>
      <c r="J2203" t="s">
        <v>12633</v>
      </c>
      <c r="L2203" t="s">
        <v>1033</v>
      </c>
      <c r="M2203" t="s">
        <v>113</v>
      </c>
      <c r="R2203" t="s">
        <v>12634</v>
      </c>
      <c r="W2203" t="s">
        <v>12632</v>
      </c>
      <c r="X2203" t="s">
        <v>253</v>
      </c>
      <c r="Y2203" t="s">
        <v>116</v>
      </c>
      <c r="Z2203" t="s">
        <v>117</v>
      </c>
      <c r="AA2203" t="str">
        <f>"14215-3021"</f>
        <v>14215-3021</v>
      </c>
      <c r="AB2203" t="s">
        <v>118</v>
      </c>
      <c r="AC2203" t="s">
        <v>119</v>
      </c>
      <c r="AD2203" t="s">
        <v>113</v>
      </c>
      <c r="AE2203" t="s">
        <v>120</v>
      </c>
      <c r="AG2203" t="s">
        <v>121</v>
      </c>
    </row>
    <row r="2204" spans="1:33" x14ac:dyDescent="0.25">
      <c r="A2204" t="str">
        <f>"1649246646"</f>
        <v>1649246646</v>
      </c>
      <c r="C2204" t="s">
        <v>12635</v>
      </c>
      <c r="G2204" t="s">
        <v>12636</v>
      </c>
      <c r="H2204" t="s">
        <v>12637</v>
      </c>
      <c r="J2204" t="s">
        <v>12638</v>
      </c>
      <c r="K2204" t="s">
        <v>303</v>
      </c>
      <c r="L2204" t="s">
        <v>229</v>
      </c>
      <c r="M2204" t="s">
        <v>113</v>
      </c>
      <c r="R2204" t="s">
        <v>12639</v>
      </c>
      <c r="S2204" t="s">
        <v>5755</v>
      </c>
      <c r="T2204" t="s">
        <v>541</v>
      </c>
      <c r="U2204" t="s">
        <v>117</v>
      </c>
      <c r="V2204" t="str">
        <f>"140481437"</f>
        <v>140481437</v>
      </c>
      <c r="AC2204" t="s">
        <v>119</v>
      </c>
      <c r="AD2204" t="s">
        <v>113</v>
      </c>
      <c r="AE2204" t="s">
        <v>306</v>
      </c>
      <c r="AG2204" t="s">
        <v>121</v>
      </c>
    </row>
    <row r="2205" spans="1:33" x14ac:dyDescent="0.25">
      <c r="A2205" t="str">
        <f>"1649256199"</f>
        <v>1649256199</v>
      </c>
      <c r="B2205" t="str">
        <f>"00892360"</f>
        <v>00892360</v>
      </c>
      <c r="C2205" t="s">
        <v>12640</v>
      </c>
      <c r="D2205" t="s">
        <v>12641</v>
      </c>
      <c r="E2205" t="s">
        <v>12642</v>
      </c>
      <c r="G2205" t="s">
        <v>12640</v>
      </c>
      <c r="H2205" t="s">
        <v>12643</v>
      </c>
      <c r="L2205" t="s">
        <v>150</v>
      </c>
      <c r="M2205" t="s">
        <v>113</v>
      </c>
      <c r="R2205" t="s">
        <v>12644</v>
      </c>
      <c r="W2205" t="s">
        <v>12642</v>
      </c>
      <c r="X2205" t="s">
        <v>12645</v>
      </c>
      <c r="Y2205" t="s">
        <v>153</v>
      </c>
      <c r="Z2205" t="s">
        <v>117</v>
      </c>
      <c r="AA2205" t="str">
        <f>"14304-3025"</f>
        <v>14304-3025</v>
      </c>
      <c r="AB2205" t="s">
        <v>118</v>
      </c>
      <c r="AC2205" t="s">
        <v>119</v>
      </c>
      <c r="AD2205" t="s">
        <v>113</v>
      </c>
      <c r="AE2205" t="s">
        <v>120</v>
      </c>
      <c r="AG2205" t="s">
        <v>121</v>
      </c>
    </row>
    <row r="2206" spans="1:33" x14ac:dyDescent="0.25">
      <c r="A2206" t="str">
        <f>"1649261280"</f>
        <v>1649261280</v>
      </c>
      <c r="B2206" t="str">
        <f>"00782045"</f>
        <v>00782045</v>
      </c>
      <c r="C2206" t="s">
        <v>12646</v>
      </c>
      <c r="D2206" t="s">
        <v>12647</v>
      </c>
      <c r="E2206" t="s">
        <v>12648</v>
      </c>
      <c r="G2206" t="s">
        <v>12646</v>
      </c>
      <c r="H2206" t="s">
        <v>768</v>
      </c>
      <c r="J2206" t="s">
        <v>12649</v>
      </c>
      <c r="L2206" t="s">
        <v>150</v>
      </c>
      <c r="M2206" t="s">
        <v>113</v>
      </c>
      <c r="R2206" t="s">
        <v>12650</v>
      </c>
      <c r="W2206" t="s">
        <v>12651</v>
      </c>
      <c r="Y2206" t="s">
        <v>116</v>
      </c>
      <c r="Z2206" t="s">
        <v>117</v>
      </c>
      <c r="AA2206" t="str">
        <f>"14222-2099"</f>
        <v>14222-2099</v>
      </c>
      <c r="AB2206" t="s">
        <v>118</v>
      </c>
      <c r="AC2206" t="s">
        <v>119</v>
      </c>
      <c r="AD2206" t="s">
        <v>113</v>
      </c>
      <c r="AE2206" t="s">
        <v>120</v>
      </c>
      <c r="AG2206" t="s">
        <v>121</v>
      </c>
    </row>
    <row r="2207" spans="1:33" x14ac:dyDescent="0.25">
      <c r="A2207" t="str">
        <f>"1649269689"</f>
        <v>1649269689</v>
      </c>
      <c r="B2207" t="str">
        <f>"01439409"</f>
        <v>01439409</v>
      </c>
      <c r="C2207" t="s">
        <v>12652</v>
      </c>
      <c r="D2207" t="s">
        <v>12653</v>
      </c>
      <c r="E2207" t="s">
        <v>12654</v>
      </c>
      <c r="G2207" t="s">
        <v>12652</v>
      </c>
      <c r="H2207" t="s">
        <v>9010</v>
      </c>
      <c r="J2207" t="s">
        <v>12655</v>
      </c>
      <c r="L2207" t="s">
        <v>150</v>
      </c>
      <c r="M2207" t="s">
        <v>113</v>
      </c>
      <c r="R2207" t="s">
        <v>12656</v>
      </c>
      <c r="W2207" t="s">
        <v>12654</v>
      </c>
      <c r="X2207" t="s">
        <v>176</v>
      </c>
      <c r="Y2207" t="s">
        <v>116</v>
      </c>
      <c r="Z2207" t="s">
        <v>117</v>
      </c>
      <c r="AA2207" t="str">
        <f>"14203-1126"</f>
        <v>14203-1126</v>
      </c>
      <c r="AB2207" t="s">
        <v>118</v>
      </c>
      <c r="AC2207" t="s">
        <v>119</v>
      </c>
      <c r="AD2207" t="s">
        <v>113</v>
      </c>
      <c r="AE2207" t="s">
        <v>120</v>
      </c>
      <c r="AG2207" t="s">
        <v>121</v>
      </c>
    </row>
    <row r="2208" spans="1:33" x14ac:dyDescent="0.25">
      <c r="A2208" t="str">
        <f>"1649273715"</f>
        <v>1649273715</v>
      </c>
      <c r="B2208" t="str">
        <f>"01365920"</f>
        <v>01365920</v>
      </c>
      <c r="C2208" t="s">
        <v>12657</v>
      </c>
      <c r="D2208" t="s">
        <v>12658</v>
      </c>
      <c r="E2208" t="s">
        <v>12659</v>
      </c>
      <c r="G2208" t="s">
        <v>12657</v>
      </c>
      <c r="H2208" t="s">
        <v>12660</v>
      </c>
      <c r="J2208" t="s">
        <v>12661</v>
      </c>
      <c r="L2208" t="s">
        <v>112</v>
      </c>
      <c r="M2208" t="s">
        <v>113</v>
      </c>
      <c r="R2208" t="s">
        <v>12662</v>
      </c>
      <c r="W2208" t="s">
        <v>12659</v>
      </c>
      <c r="X2208" t="s">
        <v>1098</v>
      </c>
      <c r="Y2208" t="s">
        <v>305</v>
      </c>
      <c r="Z2208" t="s">
        <v>117</v>
      </c>
      <c r="AA2208" t="str">
        <f>"14760-1513"</f>
        <v>14760-1513</v>
      </c>
      <c r="AB2208" t="s">
        <v>118</v>
      </c>
      <c r="AC2208" t="s">
        <v>119</v>
      </c>
      <c r="AD2208" t="s">
        <v>113</v>
      </c>
      <c r="AE2208" t="s">
        <v>120</v>
      </c>
      <c r="AG2208" t="s">
        <v>121</v>
      </c>
    </row>
    <row r="2209" spans="1:33" x14ac:dyDescent="0.25">
      <c r="A2209" t="str">
        <f>"1306941646"</f>
        <v>1306941646</v>
      </c>
      <c r="B2209" t="str">
        <f>"03003945"</f>
        <v>03003945</v>
      </c>
      <c r="C2209" t="s">
        <v>9755</v>
      </c>
      <c r="D2209" t="s">
        <v>12663</v>
      </c>
      <c r="E2209" t="s">
        <v>12664</v>
      </c>
      <c r="H2209" t="s">
        <v>12665</v>
      </c>
      <c r="L2209" t="s">
        <v>1143</v>
      </c>
      <c r="M2209" t="s">
        <v>199</v>
      </c>
      <c r="R2209" t="s">
        <v>9755</v>
      </c>
      <c r="W2209" t="s">
        <v>12664</v>
      </c>
      <c r="X2209" t="s">
        <v>12666</v>
      </c>
      <c r="Y2209" t="s">
        <v>305</v>
      </c>
      <c r="Z2209" t="s">
        <v>117</v>
      </c>
      <c r="AA2209" t="str">
        <f>"14760-1100"</f>
        <v>14760-1100</v>
      </c>
      <c r="AB2209" t="s">
        <v>1146</v>
      </c>
      <c r="AC2209" t="s">
        <v>119</v>
      </c>
      <c r="AD2209" t="s">
        <v>113</v>
      </c>
      <c r="AE2209" t="s">
        <v>120</v>
      </c>
      <c r="AG2209" t="s">
        <v>121</v>
      </c>
    </row>
    <row r="2210" spans="1:33" x14ac:dyDescent="0.25">
      <c r="A2210" t="str">
        <f>"1306942644"</f>
        <v>1306942644</v>
      </c>
      <c r="B2210" t="str">
        <f>"03641018"</f>
        <v>03641018</v>
      </c>
      <c r="C2210" t="s">
        <v>12667</v>
      </c>
      <c r="D2210" t="s">
        <v>12668</v>
      </c>
      <c r="E2210" t="s">
        <v>12669</v>
      </c>
      <c r="G2210" t="s">
        <v>12667</v>
      </c>
      <c r="H2210" t="s">
        <v>2702</v>
      </c>
      <c r="J2210" t="s">
        <v>12670</v>
      </c>
      <c r="L2210" t="s">
        <v>150</v>
      </c>
      <c r="M2210" t="s">
        <v>113</v>
      </c>
      <c r="R2210" t="s">
        <v>12671</v>
      </c>
      <c r="W2210" t="s">
        <v>12669</v>
      </c>
      <c r="X2210" t="s">
        <v>12672</v>
      </c>
      <c r="Y2210" t="s">
        <v>240</v>
      </c>
      <c r="Z2210" t="s">
        <v>117</v>
      </c>
      <c r="AA2210" t="str">
        <f>"14221-7889"</f>
        <v>14221-7889</v>
      </c>
      <c r="AB2210" t="s">
        <v>118</v>
      </c>
      <c r="AC2210" t="s">
        <v>119</v>
      </c>
      <c r="AD2210" t="s">
        <v>113</v>
      </c>
      <c r="AE2210" t="s">
        <v>120</v>
      </c>
      <c r="AG2210" t="s">
        <v>121</v>
      </c>
    </row>
    <row r="2211" spans="1:33" x14ac:dyDescent="0.25">
      <c r="A2211" t="str">
        <f>"1306950001"</f>
        <v>1306950001</v>
      </c>
      <c r="B2211" t="str">
        <f>"03489461"</f>
        <v>03489461</v>
      </c>
      <c r="C2211" t="s">
        <v>12673</v>
      </c>
      <c r="D2211" t="s">
        <v>12674</v>
      </c>
      <c r="E2211" t="s">
        <v>12675</v>
      </c>
      <c r="G2211" t="s">
        <v>12673</v>
      </c>
      <c r="H2211" t="s">
        <v>205</v>
      </c>
      <c r="J2211" t="s">
        <v>12676</v>
      </c>
      <c r="L2211" t="s">
        <v>142</v>
      </c>
      <c r="M2211" t="s">
        <v>113</v>
      </c>
      <c r="R2211" t="s">
        <v>12677</v>
      </c>
      <c r="W2211" t="s">
        <v>12677</v>
      </c>
      <c r="X2211" t="s">
        <v>12678</v>
      </c>
      <c r="Y2211" t="s">
        <v>326</v>
      </c>
      <c r="Z2211" t="s">
        <v>117</v>
      </c>
      <c r="AA2211" t="str">
        <f>"14127-1506"</f>
        <v>14127-1506</v>
      </c>
      <c r="AB2211" t="s">
        <v>118</v>
      </c>
      <c r="AC2211" t="s">
        <v>119</v>
      </c>
      <c r="AD2211" t="s">
        <v>113</v>
      </c>
      <c r="AE2211" t="s">
        <v>120</v>
      </c>
      <c r="AG2211" t="s">
        <v>121</v>
      </c>
    </row>
    <row r="2212" spans="1:33" x14ac:dyDescent="0.25">
      <c r="A2212" t="str">
        <f>"1306952049"</f>
        <v>1306952049</v>
      </c>
      <c r="B2212" t="str">
        <f>"00632068"</f>
        <v>00632068</v>
      </c>
      <c r="C2212" t="s">
        <v>12679</v>
      </c>
      <c r="D2212" t="s">
        <v>12680</v>
      </c>
      <c r="E2212" t="s">
        <v>12681</v>
      </c>
      <c r="G2212" t="s">
        <v>12682</v>
      </c>
      <c r="H2212" t="s">
        <v>12683</v>
      </c>
      <c r="L2212" t="s">
        <v>112</v>
      </c>
      <c r="M2212" t="s">
        <v>113</v>
      </c>
      <c r="R2212" t="s">
        <v>12682</v>
      </c>
      <c r="W2212" t="s">
        <v>12681</v>
      </c>
      <c r="Y2212" t="s">
        <v>512</v>
      </c>
      <c r="Z2212" t="s">
        <v>117</v>
      </c>
      <c r="AA2212" t="str">
        <f>"14092-1997"</f>
        <v>14092-1997</v>
      </c>
      <c r="AB2212" t="s">
        <v>118</v>
      </c>
      <c r="AC2212" t="s">
        <v>119</v>
      </c>
      <c r="AD2212" t="s">
        <v>113</v>
      </c>
      <c r="AE2212" t="s">
        <v>120</v>
      </c>
      <c r="AG2212" t="s">
        <v>121</v>
      </c>
    </row>
    <row r="2213" spans="1:33" x14ac:dyDescent="0.25">
      <c r="A2213" t="str">
        <f>"1306982020"</f>
        <v>1306982020</v>
      </c>
      <c r="B2213" t="str">
        <f>"03124352"</f>
        <v>03124352</v>
      </c>
      <c r="C2213" t="s">
        <v>12684</v>
      </c>
      <c r="D2213" t="s">
        <v>12685</v>
      </c>
      <c r="E2213" t="s">
        <v>12686</v>
      </c>
      <c r="G2213" t="s">
        <v>12687</v>
      </c>
      <c r="H2213" t="s">
        <v>707</v>
      </c>
      <c r="J2213" t="s">
        <v>12688</v>
      </c>
      <c r="L2213" t="s">
        <v>142</v>
      </c>
      <c r="M2213" t="s">
        <v>113</v>
      </c>
      <c r="R2213" t="s">
        <v>12686</v>
      </c>
      <c r="W2213" t="s">
        <v>12686</v>
      </c>
      <c r="X2213" t="s">
        <v>709</v>
      </c>
      <c r="Y2213" t="s">
        <v>116</v>
      </c>
      <c r="Z2213" t="s">
        <v>117</v>
      </c>
      <c r="AA2213" t="str">
        <f>"14263-0001"</f>
        <v>14263-0001</v>
      </c>
      <c r="AB2213" t="s">
        <v>118</v>
      </c>
      <c r="AC2213" t="s">
        <v>119</v>
      </c>
      <c r="AD2213" t="s">
        <v>113</v>
      </c>
      <c r="AE2213" t="s">
        <v>120</v>
      </c>
      <c r="AG2213" t="s">
        <v>121</v>
      </c>
    </row>
    <row r="2214" spans="1:33" x14ac:dyDescent="0.25">
      <c r="A2214" t="str">
        <f>"1306990122"</f>
        <v>1306990122</v>
      </c>
      <c r="C2214" t="s">
        <v>12689</v>
      </c>
      <c r="G2214" t="s">
        <v>12690</v>
      </c>
      <c r="H2214" t="s">
        <v>437</v>
      </c>
      <c r="J2214" t="s">
        <v>438</v>
      </c>
      <c r="K2214" t="s">
        <v>303</v>
      </c>
      <c r="L2214" t="s">
        <v>112</v>
      </c>
      <c r="M2214" t="s">
        <v>113</v>
      </c>
      <c r="R2214" t="s">
        <v>12691</v>
      </c>
      <c r="S2214" t="s">
        <v>1117</v>
      </c>
      <c r="T2214" t="s">
        <v>318</v>
      </c>
      <c r="U2214" t="s">
        <v>117</v>
      </c>
      <c r="V2214" t="str">
        <f>"142254985"</f>
        <v>142254985</v>
      </c>
      <c r="AC2214" t="s">
        <v>119</v>
      </c>
      <c r="AD2214" t="s">
        <v>113</v>
      </c>
      <c r="AE2214" t="s">
        <v>306</v>
      </c>
      <c r="AG2214" t="s">
        <v>121</v>
      </c>
    </row>
    <row r="2215" spans="1:33" x14ac:dyDescent="0.25">
      <c r="A2215" t="str">
        <f>"1306994074"</f>
        <v>1306994074</v>
      </c>
      <c r="C2215" t="s">
        <v>12692</v>
      </c>
      <c r="G2215" t="s">
        <v>12692</v>
      </c>
      <c r="H2215" t="s">
        <v>437</v>
      </c>
      <c r="J2215" t="s">
        <v>438</v>
      </c>
      <c r="K2215" t="s">
        <v>303</v>
      </c>
      <c r="L2215" t="s">
        <v>229</v>
      </c>
      <c r="M2215" t="s">
        <v>113</v>
      </c>
      <c r="R2215" t="s">
        <v>12693</v>
      </c>
      <c r="S2215" t="s">
        <v>1117</v>
      </c>
      <c r="T2215" t="s">
        <v>318</v>
      </c>
      <c r="U2215" t="s">
        <v>117</v>
      </c>
      <c r="V2215" t="str">
        <f>"142254965"</f>
        <v>142254965</v>
      </c>
      <c r="AC2215" t="s">
        <v>119</v>
      </c>
      <c r="AD2215" t="s">
        <v>113</v>
      </c>
      <c r="AE2215" t="s">
        <v>306</v>
      </c>
      <c r="AG2215" t="s">
        <v>121</v>
      </c>
    </row>
    <row r="2216" spans="1:33" x14ac:dyDescent="0.25">
      <c r="A2216" t="str">
        <f>"1316005614"</f>
        <v>1316005614</v>
      </c>
      <c r="B2216" t="str">
        <f>"00670640"</f>
        <v>00670640</v>
      </c>
      <c r="C2216" t="s">
        <v>12694</v>
      </c>
      <c r="D2216" t="s">
        <v>12695</v>
      </c>
      <c r="E2216" t="s">
        <v>12696</v>
      </c>
      <c r="G2216" t="s">
        <v>12694</v>
      </c>
      <c r="H2216" t="s">
        <v>10881</v>
      </c>
      <c r="J2216" t="s">
        <v>12697</v>
      </c>
      <c r="L2216" t="s">
        <v>112</v>
      </c>
      <c r="M2216" t="s">
        <v>113</v>
      </c>
      <c r="R2216" t="s">
        <v>12698</v>
      </c>
      <c r="W2216" t="s">
        <v>12696</v>
      </c>
      <c r="X2216" t="s">
        <v>10885</v>
      </c>
      <c r="Y2216" t="s">
        <v>958</v>
      </c>
      <c r="Z2216" t="s">
        <v>117</v>
      </c>
      <c r="AA2216" t="str">
        <f>"14226-1039"</f>
        <v>14226-1039</v>
      </c>
      <c r="AB2216" t="s">
        <v>118</v>
      </c>
      <c r="AC2216" t="s">
        <v>119</v>
      </c>
      <c r="AD2216" t="s">
        <v>113</v>
      </c>
      <c r="AE2216" t="s">
        <v>120</v>
      </c>
      <c r="AG2216" t="s">
        <v>121</v>
      </c>
    </row>
    <row r="2217" spans="1:33" x14ac:dyDescent="0.25">
      <c r="A2217" t="str">
        <f>"1255337705"</f>
        <v>1255337705</v>
      </c>
      <c r="B2217" t="str">
        <f>"01246620"</f>
        <v>01246620</v>
      </c>
      <c r="C2217" t="s">
        <v>12699</v>
      </c>
      <c r="D2217" t="s">
        <v>12700</v>
      </c>
      <c r="E2217" t="s">
        <v>12701</v>
      </c>
      <c r="G2217" t="s">
        <v>12699</v>
      </c>
      <c r="H2217" t="s">
        <v>2179</v>
      </c>
      <c r="J2217" t="s">
        <v>12702</v>
      </c>
      <c r="L2217" t="s">
        <v>150</v>
      </c>
      <c r="M2217" t="s">
        <v>113</v>
      </c>
      <c r="R2217" t="s">
        <v>12703</v>
      </c>
      <c r="W2217" t="s">
        <v>12704</v>
      </c>
      <c r="X2217" t="s">
        <v>12705</v>
      </c>
      <c r="Y2217" t="s">
        <v>240</v>
      </c>
      <c r="Z2217" t="s">
        <v>117</v>
      </c>
      <c r="AA2217" t="str">
        <f>"14221-7470"</f>
        <v>14221-7470</v>
      </c>
      <c r="AB2217" t="s">
        <v>118</v>
      </c>
      <c r="AC2217" t="s">
        <v>119</v>
      </c>
      <c r="AD2217" t="s">
        <v>113</v>
      </c>
      <c r="AE2217" t="s">
        <v>120</v>
      </c>
      <c r="AG2217" t="s">
        <v>121</v>
      </c>
    </row>
    <row r="2218" spans="1:33" x14ac:dyDescent="0.25">
      <c r="A2218" t="str">
        <f>"1255347191"</f>
        <v>1255347191</v>
      </c>
      <c r="B2218" t="str">
        <f>"03056668"</f>
        <v>03056668</v>
      </c>
      <c r="C2218" t="s">
        <v>12706</v>
      </c>
      <c r="D2218" t="s">
        <v>12707</v>
      </c>
      <c r="E2218" t="s">
        <v>12708</v>
      </c>
      <c r="G2218" t="s">
        <v>12709</v>
      </c>
      <c r="J2218" t="s">
        <v>12710</v>
      </c>
      <c r="L2218" t="s">
        <v>142</v>
      </c>
      <c r="M2218" t="s">
        <v>113</v>
      </c>
      <c r="R2218" t="s">
        <v>12711</v>
      </c>
      <c r="W2218" t="s">
        <v>12708</v>
      </c>
      <c r="X2218" t="s">
        <v>253</v>
      </c>
      <c r="Y2218" t="s">
        <v>116</v>
      </c>
      <c r="Z2218" t="s">
        <v>117</v>
      </c>
      <c r="AA2218" t="str">
        <f>"14215-3021"</f>
        <v>14215-3021</v>
      </c>
      <c r="AB2218" t="s">
        <v>118</v>
      </c>
      <c r="AC2218" t="s">
        <v>119</v>
      </c>
      <c r="AD2218" t="s">
        <v>113</v>
      </c>
      <c r="AE2218" t="s">
        <v>120</v>
      </c>
      <c r="AG2218" t="s">
        <v>121</v>
      </c>
    </row>
    <row r="2219" spans="1:33" x14ac:dyDescent="0.25">
      <c r="A2219" t="str">
        <f>"1255375275"</f>
        <v>1255375275</v>
      </c>
      <c r="B2219" t="str">
        <f>"02589279"</f>
        <v>02589279</v>
      </c>
      <c r="C2219" t="s">
        <v>12712</v>
      </c>
      <c r="D2219" t="s">
        <v>12713</v>
      </c>
      <c r="E2219" t="s">
        <v>12714</v>
      </c>
      <c r="G2219" t="s">
        <v>12715</v>
      </c>
      <c r="H2219" t="s">
        <v>205</v>
      </c>
      <c r="J2219" t="s">
        <v>12716</v>
      </c>
      <c r="L2219" t="s">
        <v>142</v>
      </c>
      <c r="M2219" t="s">
        <v>113</v>
      </c>
      <c r="R2219" t="s">
        <v>12717</v>
      </c>
      <c r="W2219" t="s">
        <v>12714</v>
      </c>
      <c r="X2219" t="s">
        <v>12718</v>
      </c>
      <c r="Y2219" t="s">
        <v>986</v>
      </c>
      <c r="Z2219" t="s">
        <v>117</v>
      </c>
      <c r="AA2219" t="str">
        <f>"14701-7081"</f>
        <v>14701-7081</v>
      </c>
      <c r="AB2219" t="s">
        <v>118</v>
      </c>
      <c r="AC2219" t="s">
        <v>119</v>
      </c>
      <c r="AD2219" t="s">
        <v>113</v>
      </c>
      <c r="AE2219" t="s">
        <v>120</v>
      </c>
      <c r="AG2219" t="s">
        <v>121</v>
      </c>
    </row>
    <row r="2220" spans="1:33" x14ac:dyDescent="0.25">
      <c r="A2220" t="str">
        <f>"1255381786"</f>
        <v>1255381786</v>
      </c>
      <c r="B2220" t="str">
        <f>"02346514"</f>
        <v>02346514</v>
      </c>
      <c r="C2220" t="s">
        <v>12719</v>
      </c>
      <c r="D2220" t="s">
        <v>12720</v>
      </c>
      <c r="E2220" t="s">
        <v>12721</v>
      </c>
      <c r="L2220" t="s">
        <v>142</v>
      </c>
      <c r="M2220" t="s">
        <v>113</v>
      </c>
      <c r="R2220" t="s">
        <v>12719</v>
      </c>
      <c r="W2220" t="s">
        <v>12722</v>
      </c>
      <c r="X2220" t="s">
        <v>12723</v>
      </c>
      <c r="Y2220" t="s">
        <v>3012</v>
      </c>
      <c r="Z2220" t="s">
        <v>117</v>
      </c>
      <c r="AA2220" t="str">
        <f>"14052-1655"</f>
        <v>14052-1655</v>
      </c>
      <c r="AB2220" t="s">
        <v>118</v>
      </c>
      <c r="AC2220" t="s">
        <v>119</v>
      </c>
      <c r="AD2220" t="s">
        <v>113</v>
      </c>
      <c r="AE2220" t="s">
        <v>120</v>
      </c>
      <c r="AG2220" t="s">
        <v>121</v>
      </c>
    </row>
    <row r="2221" spans="1:33" x14ac:dyDescent="0.25">
      <c r="A2221" t="str">
        <f>"1255393708"</f>
        <v>1255393708</v>
      </c>
      <c r="B2221" t="str">
        <f>"01044673"</f>
        <v>01044673</v>
      </c>
      <c r="C2221" t="s">
        <v>12724</v>
      </c>
      <c r="D2221" t="s">
        <v>12725</v>
      </c>
      <c r="E2221" t="s">
        <v>12726</v>
      </c>
      <c r="G2221" t="s">
        <v>12724</v>
      </c>
      <c r="H2221" t="s">
        <v>7389</v>
      </c>
      <c r="J2221" t="s">
        <v>12727</v>
      </c>
      <c r="L2221" t="s">
        <v>150</v>
      </c>
      <c r="M2221" t="s">
        <v>113</v>
      </c>
      <c r="R2221" t="s">
        <v>12728</v>
      </c>
      <c r="W2221" t="s">
        <v>12726</v>
      </c>
      <c r="X2221" t="s">
        <v>1304</v>
      </c>
      <c r="Y2221" t="s">
        <v>116</v>
      </c>
      <c r="Z2221" t="s">
        <v>117</v>
      </c>
      <c r="AA2221" t="str">
        <f>"14220-2039"</f>
        <v>14220-2039</v>
      </c>
      <c r="AB2221" t="s">
        <v>118</v>
      </c>
      <c r="AC2221" t="s">
        <v>119</v>
      </c>
      <c r="AD2221" t="s">
        <v>113</v>
      </c>
      <c r="AE2221" t="s">
        <v>120</v>
      </c>
      <c r="AG2221" t="s">
        <v>121</v>
      </c>
    </row>
    <row r="2222" spans="1:33" x14ac:dyDescent="0.25">
      <c r="A2222" t="str">
        <f>"1255394763"</f>
        <v>1255394763</v>
      </c>
      <c r="B2222" t="str">
        <f>"01602895"</f>
        <v>01602895</v>
      </c>
      <c r="C2222" t="s">
        <v>12729</v>
      </c>
      <c r="D2222" t="s">
        <v>12730</v>
      </c>
      <c r="E2222" t="s">
        <v>12731</v>
      </c>
      <c r="G2222" t="s">
        <v>12732</v>
      </c>
      <c r="H2222" t="s">
        <v>12733</v>
      </c>
      <c r="J2222" t="s">
        <v>12734</v>
      </c>
      <c r="L2222" t="s">
        <v>69</v>
      </c>
      <c r="M2222" t="s">
        <v>113</v>
      </c>
      <c r="R2222" t="s">
        <v>12729</v>
      </c>
      <c r="W2222" t="s">
        <v>12729</v>
      </c>
      <c r="X2222" t="s">
        <v>176</v>
      </c>
      <c r="Y2222" t="s">
        <v>116</v>
      </c>
      <c r="Z2222" t="s">
        <v>117</v>
      </c>
      <c r="AA2222" t="str">
        <f>"14203-1126"</f>
        <v>14203-1126</v>
      </c>
      <c r="AB2222" t="s">
        <v>872</v>
      </c>
      <c r="AC2222" t="s">
        <v>119</v>
      </c>
      <c r="AD2222" t="s">
        <v>113</v>
      </c>
      <c r="AE2222" t="s">
        <v>120</v>
      </c>
      <c r="AG2222" t="s">
        <v>121</v>
      </c>
    </row>
    <row r="2223" spans="1:33" x14ac:dyDescent="0.25">
      <c r="A2223" t="str">
        <f>"1639121122"</f>
        <v>1639121122</v>
      </c>
      <c r="B2223" t="str">
        <f>"01592612"</f>
        <v>01592612</v>
      </c>
      <c r="C2223" t="s">
        <v>12735</v>
      </c>
      <c r="D2223" t="s">
        <v>12736</v>
      </c>
      <c r="E2223" t="s">
        <v>12737</v>
      </c>
      <c r="G2223" t="s">
        <v>1723</v>
      </c>
      <c r="H2223" t="s">
        <v>12738</v>
      </c>
      <c r="J2223" t="s">
        <v>1725</v>
      </c>
      <c r="L2223" t="s">
        <v>112</v>
      </c>
      <c r="M2223" t="s">
        <v>113</v>
      </c>
      <c r="R2223" t="s">
        <v>12739</v>
      </c>
      <c r="W2223" t="s">
        <v>12737</v>
      </c>
      <c r="X2223" t="s">
        <v>12740</v>
      </c>
      <c r="Y2223" t="s">
        <v>2908</v>
      </c>
      <c r="Z2223" t="s">
        <v>117</v>
      </c>
      <c r="AA2223" t="str">
        <f>"11570-1000"</f>
        <v>11570-1000</v>
      </c>
      <c r="AB2223" t="s">
        <v>118</v>
      </c>
      <c r="AC2223" t="s">
        <v>119</v>
      </c>
      <c r="AD2223" t="s">
        <v>113</v>
      </c>
      <c r="AE2223" t="s">
        <v>120</v>
      </c>
      <c r="AG2223" t="s">
        <v>121</v>
      </c>
    </row>
    <row r="2224" spans="1:33" x14ac:dyDescent="0.25">
      <c r="A2224" t="str">
        <f>"1639127814"</f>
        <v>1639127814</v>
      </c>
      <c r="B2224" t="str">
        <f>"01075016"</f>
        <v>01075016</v>
      </c>
      <c r="C2224" t="s">
        <v>12741</v>
      </c>
      <c r="D2224" t="s">
        <v>12742</v>
      </c>
      <c r="E2224" t="s">
        <v>12743</v>
      </c>
      <c r="G2224" t="s">
        <v>12741</v>
      </c>
      <c r="H2224" t="s">
        <v>205</v>
      </c>
      <c r="J2224" t="s">
        <v>12744</v>
      </c>
      <c r="L2224" t="s">
        <v>150</v>
      </c>
      <c r="M2224" t="s">
        <v>113</v>
      </c>
      <c r="R2224" t="s">
        <v>12745</v>
      </c>
      <c r="W2224" t="s">
        <v>12743</v>
      </c>
      <c r="Y2224" t="s">
        <v>116</v>
      </c>
      <c r="Z2224" t="s">
        <v>117</v>
      </c>
      <c r="AA2224" t="str">
        <f>"14220-2095"</f>
        <v>14220-2095</v>
      </c>
      <c r="AB2224" t="s">
        <v>118</v>
      </c>
      <c r="AC2224" t="s">
        <v>119</v>
      </c>
      <c r="AD2224" t="s">
        <v>113</v>
      </c>
      <c r="AE2224" t="s">
        <v>120</v>
      </c>
      <c r="AG2224" t="s">
        <v>121</v>
      </c>
    </row>
    <row r="2225" spans="1:33" x14ac:dyDescent="0.25">
      <c r="A2225" t="str">
        <f>"1639134885"</f>
        <v>1639134885</v>
      </c>
      <c r="B2225" t="str">
        <f>"02174050"</f>
        <v>02174050</v>
      </c>
      <c r="C2225" t="s">
        <v>12746</v>
      </c>
      <c r="D2225" t="s">
        <v>12747</v>
      </c>
      <c r="E2225" t="s">
        <v>12748</v>
      </c>
      <c r="G2225" t="s">
        <v>12746</v>
      </c>
      <c r="H2225" t="s">
        <v>2848</v>
      </c>
      <c r="J2225" t="s">
        <v>12749</v>
      </c>
      <c r="L2225" t="s">
        <v>150</v>
      </c>
      <c r="M2225" t="s">
        <v>113</v>
      </c>
      <c r="R2225" t="s">
        <v>12750</v>
      </c>
      <c r="W2225" t="s">
        <v>12748</v>
      </c>
      <c r="X2225" t="s">
        <v>3624</v>
      </c>
      <c r="Y2225" t="s">
        <v>240</v>
      </c>
      <c r="Z2225" t="s">
        <v>117</v>
      </c>
      <c r="AA2225" t="str">
        <f>"14221-8096"</f>
        <v>14221-8096</v>
      </c>
      <c r="AB2225" t="s">
        <v>118</v>
      </c>
      <c r="AC2225" t="s">
        <v>119</v>
      </c>
      <c r="AD2225" t="s">
        <v>113</v>
      </c>
      <c r="AE2225" t="s">
        <v>120</v>
      </c>
      <c r="AG2225" t="s">
        <v>121</v>
      </c>
    </row>
    <row r="2226" spans="1:33" x14ac:dyDescent="0.25">
      <c r="A2226" t="str">
        <f>"1639135270"</f>
        <v>1639135270</v>
      </c>
      <c r="B2226" t="str">
        <f>"02212600"</f>
        <v>02212600</v>
      </c>
      <c r="C2226" t="s">
        <v>12751</v>
      </c>
      <c r="D2226" t="s">
        <v>12752</v>
      </c>
      <c r="E2226" t="s">
        <v>12753</v>
      </c>
      <c r="G2226" t="s">
        <v>12751</v>
      </c>
      <c r="H2226" t="s">
        <v>12754</v>
      </c>
      <c r="J2226" t="s">
        <v>12755</v>
      </c>
      <c r="L2226" t="s">
        <v>142</v>
      </c>
      <c r="M2226" t="s">
        <v>113</v>
      </c>
      <c r="R2226" t="s">
        <v>12756</v>
      </c>
      <c r="W2226" t="s">
        <v>12753</v>
      </c>
      <c r="X2226" t="s">
        <v>12757</v>
      </c>
      <c r="Y2226" t="s">
        <v>116</v>
      </c>
      <c r="Z2226" t="s">
        <v>117</v>
      </c>
      <c r="AA2226" t="str">
        <f>"14209-1120"</f>
        <v>14209-1120</v>
      </c>
      <c r="AB2226" t="s">
        <v>118</v>
      </c>
      <c r="AC2226" t="s">
        <v>119</v>
      </c>
      <c r="AD2226" t="s">
        <v>113</v>
      </c>
      <c r="AE2226" t="s">
        <v>120</v>
      </c>
      <c r="AG2226" t="s">
        <v>121</v>
      </c>
    </row>
    <row r="2227" spans="1:33" x14ac:dyDescent="0.25">
      <c r="A2227" t="str">
        <f>"1639136682"</f>
        <v>1639136682</v>
      </c>
      <c r="B2227" t="str">
        <f>"01843425"</f>
        <v>01843425</v>
      </c>
      <c r="C2227" t="s">
        <v>12758</v>
      </c>
      <c r="D2227" t="s">
        <v>12759</v>
      </c>
      <c r="E2227" t="s">
        <v>12760</v>
      </c>
      <c r="G2227" t="s">
        <v>12758</v>
      </c>
      <c r="H2227" t="s">
        <v>205</v>
      </c>
      <c r="J2227" t="s">
        <v>12761</v>
      </c>
      <c r="L2227" t="s">
        <v>112</v>
      </c>
      <c r="M2227" t="s">
        <v>113</v>
      </c>
      <c r="R2227" t="s">
        <v>12762</v>
      </c>
      <c r="W2227" t="s">
        <v>12760</v>
      </c>
      <c r="X2227" t="s">
        <v>5418</v>
      </c>
      <c r="Y2227" t="s">
        <v>958</v>
      </c>
      <c r="Z2227" t="s">
        <v>117</v>
      </c>
      <c r="AA2227" t="str">
        <f>"14226-1206"</f>
        <v>14226-1206</v>
      </c>
      <c r="AB2227" t="s">
        <v>118</v>
      </c>
      <c r="AC2227" t="s">
        <v>119</v>
      </c>
      <c r="AD2227" t="s">
        <v>113</v>
      </c>
      <c r="AE2227" t="s">
        <v>120</v>
      </c>
      <c r="AG2227" t="s">
        <v>121</v>
      </c>
    </row>
    <row r="2228" spans="1:33" x14ac:dyDescent="0.25">
      <c r="A2228" t="str">
        <f>"1891068565"</f>
        <v>1891068565</v>
      </c>
      <c r="B2228" t="str">
        <f>"00362689"</f>
        <v>00362689</v>
      </c>
      <c r="C2228" t="s">
        <v>12763</v>
      </c>
      <c r="D2228" t="s">
        <v>12764</v>
      </c>
      <c r="E2228" t="s">
        <v>12765</v>
      </c>
      <c r="G2228" t="s">
        <v>12766</v>
      </c>
      <c r="H2228" t="s">
        <v>2773</v>
      </c>
      <c r="J2228" t="s">
        <v>12767</v>
      </c>
      <c r="L2228" t="s">
        <v>69</v>
      </c>
      <c r="M2228" t="s">
        <v>199</v>
      </c>
      <c r="R2228" t="s">
        <v>12763</v>
      </c>
      <c r="W2228" t="s">
        <v>12765</v>
      </c>
      <c r="X2228" t="s">
        <v>12768</v>
      </c>
      <c r="Y2228" t="s">
        <v>12769</v>
      </c>
      <c r="Z2228" t="s">
        <v>117</v>
      </c>
      <c r="AA2228" t="str">
        <f>"14892-1211"</f>
        <v>14892-1211</v>
      </c>
      <c r="AB2228" t="s">
        <v>979</v>
      </c>
      <c r="AC2228" t="s">
        <v>119</v>
      </c>
      <c r="AD2228" t="s">
        <v>113</v>
      </c>
      <c r="AE2228" t="s">
        <v>120</v>
      </c>
      <c r="AG2228" t="s">
        <v>121</v>
      </c>
    </row>
    <row r="2229" spans="1:33" x14ac:dyDescent="0.25">
      <c r="A2229" t="str">
        <f>"1891138988"</f>
        <v>1891138988</v>
      </c>
      <c r="B2229" t="str">
        <f>"03599048"</f>
        <v>03599048</v>
      </c>
      <c r="C2229" t="s">
        <v>12770</v>
      </c>
      <c r="D2229" t="s">
        <v>12771</v>
      </c>
      <c r="E2229" t="s">
        <v>12772</v>
      </c>
      <c r="G2229" t="s">
        <v>12773</v>
      </c>
      <c r="H2229" t="s">
        <v>12774</v>
      </c>
      <c r="J2229" t="s">
        <v>12775</v>
      </c>
      <c r="L2229" t="s">
        <v>150</v>
      </c>
      <c r="M2229" t="s">
        <v>199</v>
      </c>
      <c r="R2229" t="s">
        <v>12776</v>
      </c>
      <c r="W2229" t="s">
        <v>12777</v>
      </c>
      <c r="X2229" t="s">
        <v>855</v>
      </c>
      <c r="Y2229" t="s">
        <v>116</v>
      </c>
      <c r="Z2229" t="s">
        <v>117</v>
      </c>
      <c r="AA2229" t="str">
        <f>"14213-1573"</f>
        <v>14213-1573</v>
      </c>
      <c r="AB2229" t="s">
        <v>118</v>
      </c>
      <c r="AC2229" t="s">
        <v>119</v>
      </c>
      <c r="AD2229" t="s">
        <v>113</v>
      </c>
      <c r="AE2229" t="s">
        <v>120</v>
      </c>
      <c r="AG2229" t="s">
        <v>121</v>
      </c>
    </row>
    <row r="2230" spans="1:33" x14ac:dyDescent="0.25">
      <c r="A2230" t="str">
        <f>"1891196572"</f>
        <v>1891196572</v>
      </c>
      <c r="C2230" t="s">
        <v>12778</v>
      </c>
      <c r="G2230" t="s">
        <v>12779</v>
      </c>
      <c r="H2230" t="s">
        <v>590</v>
      </c>
      <c r="J2230" t="s">
        <v>12780</v>
      </c>
      <c r="K2230" t="s">
        <v>303</v>
      </c>
      <c r="L2230" t="s">
        <v>112</v>
      </c>
      <c r="M2230" t="s">
        <v>113</v>
      </c>
      <c r="R2230" t="s">
        <v>12781</v>
      </c>
      <c r="S2230" t="s">
        <v>651</v>
      </c>
      <c r="T2230" t="s">
        <v>116</v>
      </c>
      <c r="U2230" t="s">
        <v>117</v>
      </c>
      <c r="V2230" t="str">
        <f>"142091912"</f>
        <v>142091912</v>
      </c>
      <c r="AC2230" t="s">
        <v>119</v>
      </c>
      <c r="AD2230" t="s">
        <v>113</v>
      </c>
      <c r="AE2230" t="s">
        <v>306</v>
      </c>
      <c r="AG2230" t="s">
        <v>121</v>
      </c>
    </row>
    <row r="2231" spans="1:33" x14ac:dyDescent="0.25">
      <c r="A2231" t="str">
        <f>"1891702486"</f>
        <v>1891702486</v>
      </c>
      <c r="B2231" t="str">
        <f>"02346225"</f>
        <v>02346225</v>
      </c>
      <c r="C2231" t="s">
        <v>12782</v>
      </c>
      <c r="D2231" t="s">
        <v>12783</v>
      </c>
      <c r="E2231" t="s">
        <v>12784</v>
      </c>
      <c r="G2231" t="s">
        <v>12782</v>
      </c>
      <c r="H2231" t="s">
        <v>3311</v>
      </c>
      <c r="J2231" t="s">
        <v>12785</v>
      </c>
      <c r="L2231" t="s">
        <v>112</v>
      </c>
      <c r="M2231" t="s">
        <v>113</v>
      </c>
      <c r="R2231" t="s">
        <v>12786</v>
      </c>
      <c r="W2231" t="s">
        <v>12787</v>
      </c>
      <c r="X2231" t="s">
        <v>176</v>
      </c>
      <c r="Y2231" t="s">
        <v>116</v>
      </c>
      <c r="Z2231" t="s">
        <v>117</v>
      </c>
      <c r="AA2231" t="str">
        <f>"14203-1126"</f>
        <v>14203-1126</v>
      </c>
      <c r="AB2231" t="s">
        <v>118</v>
      </c>
      <c r="AC2231" t="s">
        <v>119</v>
      </c>
      <c r="AD2231" t="s">
        <v>113</v>
      </c>
      <c r="AE2231" t="s">
        <v>120</v>
      </c>
      <c r="AG2231" t="s">
        <v>121</v>
      </c>
    </row>
    <row r="2232" spans="1:33" x14ac:dyDescent="0.25">
      <c r="A2232" t="str">
        <f>"1891714028"</f>
        <v>1891714028</v>
      </c>
      <c r="B2232" t="str">
        <f>"01830331"</f>
        <v>01830331</v>
      </c>
      <c r="C2232" t="s">
        <v>12788</v>
      </c>
      <c r="D2232" t="s">
        <v>12789</v>
      </c>
      <c r="E2232" t="s">
        <v>12790</v>
      </c>
      <c r="G2232" t="s">
        <v>1252</v>
      </c>
      <c r="H2232" t="s">
        <v>1253</v>
      </c>
      <c r="J2232" t="s">
        <v>1254</v>
      </c>
      <c r="L2232" t="s">
        <v>150</v>
      </c>
      <c r="M2232" t="s">
        <v>113</v>
      </c>
      <c r="R2232" t="s">
        <v>12791</v>
      </c>
      <c r="W2232" t="s">
        <v>12790</v>
      </c>
      <c r="X2232" t="s">
        <v>2997</v>
      </c>
      <c r="Y2232" t="s">
        <v>326</v>
      </c>
      <c r="Z2232" t="s">
        <v>117</v>
      </c>
      <c r="AA2232" t="str">
        <f>"14127-1963"</f>
        <v>14127-1963</v>
      </c>
      <c r="AB2232" t="s">
        <v>118</v>
      </c>
      <c r="AC2232" t="s">
        <v>119</v>
      </c>
      <c r="AD2232" t="s">
        <v>113</v>
      </c>
      <c r="AE2232" t="s">
        <v>120</v>
      </c>
      <c r="AG2232" t="s">
        <v>121</v>
      </c>
    </row>
    <row r="2233" spans="1:33" x14ac:dyDescent="0.25">
      <c r="A2233" t="str">
        <f>"1891733614"</f>
        <v>1891733614</v>
      </c>
      <c r="B2233" t="str">
        <f>"02190132"</f>
        <v>02190132</v>
      </c>
      <c r="C2233" t="s">
        <v>12792</v>
      </c>
      <c r="D2233" t="s">
        <v>12793</v>
      </c>
      <c r="E2233" t="s">
        <v>12794</v>
      </c>
      <c r="G2233" t="s">
        <v>12795</v>
      </c>
      <c r="H2233" t="s">
        <v>12796</v>
      </c>
      <c r="J2233" t="s">
        <v>6205</v>
      </c>
      <c r="L2233" t="s">
        <v>728</v>
      </c>
      <c r="M2233" t="s">
        <v>113</v>
      </c>
      <c r="R2233" t="s">
        <v>12797</v>
      </c>
      <c r="W2233" t="s">
        <v>12798</v>
      </c>
      <c r="X2233" t="s">
        <v>253</v>
      </c>
      <c r="Y2233" t="s">
        <v>116</v>
      </c>
      <c r="Z2233" t="s">
        <v>117</v>
      </c>
      <c r="AA2233" t="str">
        <f>"14215-3021"</f>
        <v>14215-3021</v>
      </c>
      <c r="AB2233" t="s">
        <v>118</v>
      </c>
      <c r="AC2233" t="s">
        <v>119</v>
      </c>
      <c r="AD2233" t="s">
        <v>113</v>
      </c>
      <c r="AE2233" t="s">
        <v>120</v>
      </c>
      <c r="AG2233" t="s">
        <v>121</v>
      </c>
    </row>
    <row r="2234" spans="1:33" x14ac:dyDescent="0.25">
      <c r="A2234" t="str">
        <f>"1891733903"</f>
        <v>1891733903</v>
      </c>
      <c r="B2234" t="str">
        <f>"02784536"</f>
        <v>02784536</v>
      </c>
      <c r="C2234" t="s">
        <v>12799</v>
      </c>
      <c r="D2234" t="s">
        <v>12800</v>
      </c>
      <c r="E2234" t="s">
        <v>12801</v>
      </c>
      <c r="G2234" t="s">
        <v>12799</v>
      </c>
      <c r="H2234" t="s">
        <v>12802</v>
      </c>
      <c r="J2234" t="s">
        <v>12803</v>
      </c>
      <c r="L2234" t="s">
        <v>150</v>
      </c>
      <c r="M2234" t="s">
        <v>113</v>
      </c>
      <c r="R2234" t="s">
        <v>12804</v>
      </c>
      <c r="W2234" t="s">
        <v>12801</v>
      </c>
      <c r="X2234" t="s">
        <v>3770</v>
      </c>
      <c r="Y2234" t="s">
        <v>240</v>
      </c>
      <c r="Z2234" t="s">
        <v>117</v>
      </c>
      <c r="AA2234" t="str">
        <f>"14221-6883"</f>
        <v>14221-6883</v>
      </c>
      <c r="AB2234" t="s">
        <v>118</v>
      </c>
      <c r="AC2234" t="s">
        <v>119</v>
      </c>
      <c r="AD2234" t="s">
        <v>113</v>
      </c>
      <c r="AE2234" t="s">
        <v>120</v>
      </c>
      <c r="AG2234" t="s">
        <v>121</v>
      </c>
    </row>
    <row r="2235" spans="1:33" x14ac:dyDescent="0.25">
      <c r="A2235" t="str">
        <f>"1891752135"</f>
        <v>1891752135</v>
      </c>
      <c r="B2235" t="str">
        <f>"02131579"</f>
        <v>02131579</v>
      </c>
      <c r="C2235" t="s">
        <v>10962</v>
      </c>
      <c r="D2235" t="s">
        <v>12805</v>
      </c>
      <c r="E2235" t="s">
        <v>12806</v>
      </c>
      <c r="G2235" t="s">
        <v>10962</v>
      </c>
      <c r="H2235" t="s">
        <v>10057</v>
      </c>
      <c r="J2235" t="s">
        <v>12807</v>
      </c>
      <c r="L2235" t="s">
        <v>150</v>
      </c>
      <c r="M2235" t="s">
        <v>199</v>
      </c>
      <c r="R2235" t="s">
        <v>10965</v>
      </c>
      <c r="W2235" t="s">
        <v>12808</v>
      </c>
      <c r="X2235" t="s">
        <v>12809</v>
      </c>
      <c r="Y2235" t="s">
        <v>12810</v>
      </c>
      <c r="Z2235" t="s">
        <v>117</v>
      </c>
      <c r="AA2235" t="str">
        <f>"11741-1896"</f>
        <v>11741-1896</v>
      </c>
      <c r="AB2235" t="s">
        <v>118</v>
      </c>
      <c r="AC2235" t="s">
        <v>119</v>
      </c>
      <c r="AD2235" t="s">
        <v>113</v>
      </c>
      <c r="AE2235" t="s">
        <v>120</v>
      </c>
      <c r="AG2235" t="s">
        <v>121</v>
      </c>
    </row>
    <row r="2236" spans="1:33" x14ac:dyDescent="0.25">
      <c r="A2236" t="str">
        <f>"1891753018"</f>
        <v>1891753018</v>
      </c>
      <c r="B2236" t="str">
        <f>"01270951"</f>
        <v>01270951</v>
      </c>
      <c r="C2236" t="s">
        <v>12811</v>
      </c>
      <c r="D2236" t="s">
        <v>12812</v>
      </c>
      <c r="E2236" t="s">
        <v>12813</v>
      </c>
      <c r="G2236" t="s">
        <v>12814</v>
      </c>
      <c r="H2236" t="s">
        <v>908</v>
      </c>
      <c r="J2236" t="s">
        <v>12815</v>
      </c>
      <c r="L2236" t="s">
        <v>142</v>
      </c>
      <c r="M2236" t="s">
        <v>113</v>
      </c>
      <c r="R2236" t="s">
        <v>12816</v>
      </c>
      <c r="W2236" t="s">
        <v>12817</v>
      </c>
      <c r="X2236" t="s">
        <v>1311</v>
      </c>
      <c r="Y2236" t="s">
        <v>116</v>
      </c>
      <c r="Z2236" t="s">
        <v>117</v>
      </c>
      <c r="AA2236" t="str">
        <f>"14226-4567"</f>
        <v>14226-4567</v>
      </c>
      <c r="AB2236" t="s">
        <v>118</v>
      </c>
      <c r="AC2236" t="s">
        <v>119</v>
      </c>
      <c r="AD2236" t="s">
        <v>113</v>
      </c>
      <c r="AE2236" t="s">
        <v>120</v>
      </c>
      <c r="AG2236" t="s">
        <v>121</v>
      </c>
    </row>
    <row r="2237" spans="1:33" x14ac:dyDescent="0.25">
      <c r="A2237" t="str">
        <f>"1891754495"</f>
        <v>1891754495</v>
      </c>
      <c r="B2237" t="str">
        <f>"02111851"</f>
        <v>02111851</v>
      </c>
      <c r="C2237" t="s">
        <v>12818</v>
      </c>
      <c r="D2237" t="s">
        <v>12819</v>
      </c>
      <c r="E2237" t="s">
        <v>12820</v>
      </c>
      <c r="G2237" t="s">
        <v>12821</v>
      </c>
      <c r="H2237" t="s">
        <v>579</v>
      </c>
      <c r="J2237" t="s">
        <v>12822</v>
      </c>
      <c r="L2237" t="s">
        <v>142</v>
      </c>
      <c r="M2237" t="s">
        <v>113</v>
      </c>
      <c r="R2237" t="s">
        <v>12823</v>
      </c>
      <c r="W2237" t="s">
        <v>12820</v>
      </c>
      <c r="X2237" t="s">
        <v>838</v>
      </c>
      <c r="Y2237" t="s">
        <v>240</v>
      </c>
      <c r="Z2237" t="s">
        <v>117</v>
      </c>
      <c r="AA2237" t="str">
        <f>"14221-3647"</f>
        <v>14221-3647</v>
      </c>
      <c r="AB2237" t="s">
        <v>118</v>
      </c>
      <c r="AC2237" t="s">
        <v>119</v>
      </c>
      <c r="AD2237" t="s">
        <v>113</v>
      </c>
      <c r="AE2237" t="s">
        <v>120</v>
      </c>
      <c r="AG2237" t="s">
        <v>121</v>
      </c>
    </row>
    <row r="2238" spans="1:33" x14ac:dyDescent="0.25">
      <c r="A2238" t="str">
        <f>"1891755708"</f>
        <v>1891755708</v>
      </c>
      <c r="B2238" t="str">
        <f>"01382636"</f>
        <v>01382636</v>
      </c>
      <c r="C2238" t="s">
        <v>12824</v>
      </c>
      <c r="D2238" t="s">
        <v>12825</v>
      </c>
      <c r="E2238" t="s">
        <v>12826</v>
      </c>
      <c r="G2238" t="s">
        <v>12824</v>
      </c>
      <c r="H2238" t="s">
        <v>12827</v>
      </c>
      <c r="J2238" t="s">
        <v>12828</v>
      </c>
      <c r="L2238" t="s">
        <v>112</v>
      </c>
      <c r="M2238" t="s">
        <v>113</v>
      </c>
      <c r="R2238" t="s">
        <v>12829</v>
      </c>
      <c r="W2238" t="s">
        <v>12826</v>
      </c>
      <c r="X2238" t="s">
        <v>12830</v>
      </c>
      <c r="Y2238" t="s">
        <v>958</v>
      </c>
      <c r="Z2238" t="s">
        <v>117</v>
      </c>
      <c r="AA2238" t="str">
        <f>"14226-2500"</f>
        <v>14226-2500</v>
      </c>
      <c r="AB2238" t="s">
        <v>118</v>
      </c>
      <c r="AC2238" t="s">
        <v>119</v>
      </c>
      <c r="AD2238" t="s">
        <v>113</v>
      </c>
      <c r="AE2238" t="s">
        <v>120</v>
      </c>
      <c r="AG2238" t="s">
        <v>121</v>
      </c>
    </row>
    <row r="2239" spans="1:33" x14ac:dyDescent="0.25">
      <c r="A2239" t="str">
        <f>"1891757589"</f>
        <v>1891757589</v>
      </c>
      <c r="B2239" t="str">
        <f>"02219029"</f>
        <v>02219029</v>
      </c>
      <c r="C2239" t="s">
        <v>12831</v>
      </c>
      <c r="D2239" t="s">
        <v>12832</v>
      </c>
      <c r="E2239" t="s">
        <v>12833</v>
      </c>
      <c r="G2239" t="s">
        <v>12834</v>
      </c>
      <c r="J2239" t="s">
        <v>12835</v>
      </c>
      <c r="L2239" t="s">
        <v>1033</v>
      </c>
      <c r="M2239" t="s">
        <v>113</v>
      </c>
      <c r="R2239" t="s">
        <v>12836</v>
      </c>
      <c r="W2239" t="s">
        <v>12833</v>
      </c>
      <c r="X2239" t="s">
        <v>152</v>
      </c>
      <c r="Y2239" t="s">
        <v>153</v>
      </c>
      <c r="Z2239" t="s">
        <v>117</v>
      </c>
      <c r="AA2239" t="str">
        <f>"14301-1813"</f>
        <v>14301-1813</v>
      </c>
      <c r="AB2239" t="s">
        <v>118</v>
      </c>
      <c r="AC2239" t="s">
        <v>119</v>
      </c>
      <c r="AD2239" t="s">
        <v>113</v>
      </c>
      <c r="AE2239" t="s">
        <v>120</v>
      </c>
      <c r="AG2239" t="s">
        <v>121</v>
      </c>
    </row>
    <row r="2240" spans="1:33" x14ac:dyDescent="0.25">
      <c r="A2240" t="str">
        <f>"1891761441"</f>
        <v>1891761441</v>
      </c>
      <c r="B2240" t="str">
        <f>"02565319"</f>
        <v>02565319</v>
      </c>
      <c r="C2240" t="s">
        <v>12837</v>
      </c>
      <c r="D2240" t="s">
        <v>12838</v>
      </c>
      <c r="E2240" t="s">
        <v>12839</v>
      </c>
      <c r="G2240" t="s">
        <v>12840</v>
      </c>
      <c r="H2240" t="s">
        <v>12841</v>
      </c>
      <c r="J2240" t="s">
        <v>12842</v>
      </c>
      <c r="L2240" t="s">
        <v>112</v>
      </c>
      <c r="M2240" t="s">
        <v>113</v>
      </c>
      <c r="R2240" t="s">
        <v>12843</v>
      </c>
      <c r="W2240" t="s">
        <v>12844</v>
      </c>
      <c r="X2240" t="s">
        <v>176</v>
      </c>
      <c r="Y2240" t="s">
        <v>116</v>
      </c>
      <c r="Z2240" t="s">
        <v>117</v>
      </c>
      <c r="AA2240" t="str">
        <f>"14203-1126"</f>
        <v>14203-1126</v>
      </c>
      <c r="AB2240" t="s">
        <v>118</v>
      </c>
      <c r="AC2240" t="s">
        <v>119</v>
      </c>
      <c r="AD2240" t="s">
        <v>113</v>
      </c>
      <c r="AE2240" t="s">
        <v>120</v>
      </c>
      <c r="AG2240" t="s">
        <v>121</v>
      </c>
    </row>
    <row r="2241" spans="1:33" x14ac:dyDescent="0.25">
      <c r="A2241" t="str">
        <f>"1891762506"</f>
        <v>1891762506</v>
      </c>
      <c r="B2241" t="str">
        <f>"02277883"</f>
        <v>02277883</v>
      </c>
      <c r="C2241" t="s">
        <v>12845</v>
      </c>
      <c r="D2241" t="s">
        <v>12846</v>
      </c>
      <c r="E2241" t="s">
        <v>12847</v>
      </c>
      <c r="G2241" t="s">
        <v>12848</v>
      </c>
      <c r="H2241" t="s">
        <v>579</v>
      </c>
      <c r="J2241" t="s">
        <v>12849</v>
      </c>
      <c r="L2241" t="s">
        <v>112</v>
      </c>
      <c r="M2241" t="s">
        <v>113</v>
      </c>
      <c r="R2241" t="s">
        <v>12847</v>
      </c>
      <c r="W2241" t="s">
        <v>12847</v>
      </c>
      <c r="X2241" t="s">
        <v>838</v>
      </c>
      <c r="Y2241" t="s">
        <v>240</v>
      </c>
      <c r="Z2241" t="s">
        <v>117</v>
      </c>
      <c r="AA2241" t="str">
        <f>"14221-3647"</f>
        <v>14221-3647</v>
      </c>
      <c r="AB2241" t="s">
        <v>118</v>
      </c>
      <c r="AC2241" t="s">
        <v>119</v>
      </c>
      <c r="AD2241" t="s">
        <v>113</v>
      </c>
      <c r="AE2241" t="s">
        <v>120</v>
      </c>
      <c r="AG2241" t="s">
        <v>121</v>
      </c>
    </row>
    <row r="2242" spans="1:33" x14ac:dyDescent="0.25">
      <c r="A2242" t="str">
        <f>"1891769014"</f>
        <v>1891769014</v>
      </c>
      <c r="B2242" t="str">
        <f>"01463689"</f>
        <v>01463689</v>
      </c>
      <c r="C2242" t="s">
        <v>12850</v>
      </c>
      <c r="D2242" t="s">
        <v>12851</v>
      </c>
      <c r="E2242" t="s">
        <v>12852</v>
      </c>
      <c r="G2242" t="s">
        <v>12850</v>
      </c>
      <c r="H2242" t="s">
        <v>12853</v>
      </c>
      <c r="J2242" t="s">
        <v>12854</v>
      </c>
      <c r="L2242" t="s">
        <v>112</v>
      </c>
      <c r="M2242" t="s">
        <v>113</v>
      </c>
      <c r="R2242" t="s">
        <v>12855</v>
      </c>
      <c r="W2242" t="s">
        <v>12852</v>
      </c>
      <c r="X2242" t="s">
        <v>3739</v>
      </c>
      <c r="Y2242" t="s">
        <v>240</v>
      </c>
      <c r="Z2242" t="s">
        <v>117</v>
      </c>
      <c r="AA2242" t="str">
        <f>"14221-6728"</f>
        <v>14221-6728</v>
      </c>
      <c r="AB2242" t="s">
        <v>118</v>
      </c>
      <c r="AC2242" t="s">
        <v>119</v>
      </c>
      <c r="AD2242" t="s">
        <v>113</v>
      </c>
      <c r="AE2242" t="s">
        <v>120</v>
      </c>
      <c r="AG2242" t="s">
        <v>121</v>
      </c>
    </row>
    <row r="2243" spans="1:33" x14ac:dyDescent="0.25">
      <c r="A2243" t="str">
        <f>"1891769436"</f>
        <v>1891769436</v>
      </c>
      <c r="B2243" t="str">
        <f>"01074657"</f>
        <v>01074657</v>
      </c>
      <c r="C2243" t="s">
        <v>12856</v>
      </c>
      <c r="D2243" t="s">
        <v>12857</v>
      </c>
      <c r="E2243" t="s">
        <v>12858</v>
      </c>
      <c r="G2243" t="s">
        <v>12856</v>
      </c>
      <c r="H2243" t="s">
        <v>693</v>
      </c>
      <c r="J2243" t="s">
        <v>12859</v>
      </c>
      <c r="L2243" t="s">
        <v>112</v>
      </c>
      <c r="M2243" t="s">
        <v>113</v>
      </c>
      <c r="R2243" t="s">
        <v>12860</v>
      </c>
      <c r="W2243" t="s">
        <v>12858</v>
      </c>
      <c r="X2243" t="s">
        <v>12861</v>
      </c>
      <c r="Y2243" t="s">
        <v>116</v>
      </c>
      <c r="Z2243" t="s">
        <v>117</v>
      </c>
      <c r="AA2243" t="str">
        <f>"14215-3098"</f>
        <v>14215-3098</v>
      </c>
      <c r="AB2243" t="s">
        <v>118</v>
      </c>
      <c r="AC2243" t="s">
        <v>119</v>
      </c>
      <c r="AD2243" t="s">
        <v>113</v>
      </c>
      <c r="AE2243" t="s">
        <v>120</v>
      </c>
      <c r="AG2243" t="s">
        <v>121</v>
      </c>
    </row>
    <row r="2244" spans="1:33" x14ac:dyDescent="0.25">
      <c r="A2244" t="str">
        <f>"1891775201"</f>
        <v>1891775201</v>
      </c>
      <c r="B2244" t="str">
        <f>"01602973"</f>
        <v>01602973</v>
      </c>
      <c r="C2244" t="s">
        <v>12862</v>
      </c>
      <c r="D2244" t="s">
        <v>12863</v>
      </c>
      <c r="E2244" t="s">
        <v>12864</v>
      </c>
      <c r="G2244" t="s">
        <v>12862</v>
      </c>
      <c r="H2244" t="s">
        <v>12865</v>
      </c>
      <c r="J2244" t="s">
        <v>12866</v>
      </c>
      <c r="L2244" t="s">
        <v>142</v>
      </c>
      <c r="M2244" t="s">
        <v>113</v>
      </c>
      <c r="R2244" t="s">
        <v>12867</v>
      </c>
      <c r="W2244" t="s">
        <v>12864</v>
      </c>
      <c r="X2244" t="s">
        <v>12868</v>
      </c>
      <c r="Y2244" t="s">
        <v>116</v>
      </c>
      <c r="Z2244" t="s">
        <v>117</v>
      </c>
      <c r="AA2244" t="str">
        <f>"14209-1120"</f>
        <v>14209-1120</v>
      </c>
      <c r="AB2244" t="s">
        <v>118</v>
      </c>
      <c r="AC2244" t="s">
        <v>119</v>
      </c>
      <c r="AD2244" t="s">
        <v>113</v>
      </c>
      <c r="AE2244" t="s">
        <v>120</v>
      </c>
      <c r="AG2244" t="s">
        <v>121</v>
      </c>
    </row>
    <row r="2245" spans="1:33" x14ac:dyDescent="0.25">
      <c r="A2245" t="str">
        <f>"1891778668"</f>
        <v>1891778668</v>
      </c>
      <c r="B2245" t="str">
        <f>"02494659"</f>
        <v>02494659</v>
      </c>
      <c r="C2245" t="s">
        <v>12869</v>
      </c>
      <c r="D2245" t="s">
        <v>12870</v>
      </c>
      <c r="E2245" t="s">
        <v>12871</v>
      </c>
      <c r="G2245" t="s">
        <v>12872</v>
      </c>
      <c r="H2245" t="s">
        <v>707</v>
      </c>
      <c r="J2245" t="s">
        <v>12873</v>
      </c>
      <c r="L2245" t="s">
        <v>112</v>
      </c>
      <c r="M2245" t="s">
        <v>113</v>
      </c>
      <c r="R2245" t="s">
        <v>12874</v>
      </c>
      <c r="W2245" t="s">
        <v>12871</v>
      </c>
      <c r="X2245" t="s">
        <v>12875</v>
      </c>
      <c r="Y2245" t="s">
        <v>240</v>
      </c>
      <c r="Z2245" t="s">
        <v>117</v>
      </c>
      <c r="AA2245" t="str">
        <f>"14221-7800"</f>
        <v>14221-7800</v>
      </c>
      <c r="AB2245" t="s">
        <v>118</v>
      </c>
      <c r="AC2245" t="s">
        <v>119</v>
      </c>
      <c r="AD2245" t="s">
        <v>113</v>
      </c>
      <c r="AE2245" t="s">
        <v>120</v>
      </c>
      <c r="AG2245" t="s">
        <v>121</v>
      </c>
    </row>
    <row r="2246" spans="1:33" x14ac:dyDescent="0.25">
      <c r="A2246" t="str">
        <f>"1891780045"</f>
        <v>1891780045</v>
      </c>
      <c r="B2246" t="str">
        <f>"01830280"</f>
        <v>01830280</v>
      </c>
      <c r="C2246" t="s">
        <v>12876</v>
      </c>
      <c r="D2246" t="s">
        <v>12877</v>
      </c>
      <c r="E2246" t="s">
        <v>12878</v>
      </c>
      <c r="G2246" t="s">
        <v>12876</v>
      </c>
      <c r="H2246" t="s">
        <v>12879</v>
      </c>
      <c r="J2246" t="s">
        <v>12880</v>
      </c>
      <c r="L2246" t="s">
        <v>150</v>
      </c>
      <c r="M2246" t="s">
        <v>113</v>
      </c>
      <c r="R2246" t="s">
        <v>12881</v>
      </c>
      <c r="W2246" t="s">
        <v>12878</v>
      </c>
      <c r="X2246" t="s">
        <v>12882</v>
      </c>
      <c r="Y2246" t="s">
        <v>958</v>
      </c>
      <c r="Z2246" t="s">
        <v>117</v>
      </c>
      <c r="AA2246" t="str">
        <f>"14226-2925"</f>
        <v>14226-2925</v>
      </c>
      <c r="AB2246" t="s">
        <v>118</v>
      </c>
      <c r="AC2246" t="s">
        <v>119</v>
      </c>
      <c r="AD2246" t="s">
        <v>113</v>
      </c>
      <c r="AE2246" t="s">
        <v>120</v>
      </c>
      <c r="AG2246" t="s">
        <v>121</v>
      </c>
    </row>
    <row r="2247" spans="1:33" x14ac:dyDescent="0.25">
      <c r="A2247" t="str">
        <f>"1891791976"</f>
        <v>1891791976</v>
      </c>
      <c r="B2247" t="str">
        <f>"01167817"</f>
        <v>01167817</v>
      </c>
      <c r="C2247" t="s">
        <v>12883</v>
      </c>
      <c r="D2247" t="s">
        <v>12884</v>
      </c>
      <c r="E2247" t="s">
        <v>201</v>
      </c>
      <c r="G2247" t="s">
        <v>196</v>
      </c>
      <c r="H2247" t="s">
        <v>197</v>
      </c>
      <c r="I2247">
        <v>214</v>
      </c>
      <c r="J2247" t="s">
        <v>198</v>
      </c>
      <c r="L2247" t="s">
        <v>69</v>
      </c>
      <c r="M2247" t="s">
        <v>113</v>
      </c>
      <c r="R2247" t="s">
        <v>12883</v>
      </c>
      <c r="W2247" t="s">
        <v>12885</v>
      </c>
      <c r="X2247" t="s">
        <v>2241</v>
      </c>
      <c r="Y2247" t="s">
        <v>153</v>
      </c>
      <c r="Z2247" t="s">
        <v>117</v>
      </c>
      <c r="AA2247" t="str">
        <f>"14301-1807"</f>
        <v>14301-1807</v>
      </c>
      <c r="AB2247" t="s">
        <v>872</v>
      </c>
      <c r="AC2247" t="s">
        <v>119</v>
      </c>
      <c r="AD2247" t="s">
        <v>113</v>
      </c>
      <c r="AE2247" t="s">
        <v>120</v>
      </c>
      <c r="AG2247" t="s">
        <v>121</v>
      </c>
    </row>
    <row r="2248" spans="1:33" x14ac:dyDescent="0.25">
      <c r="A2248" t="str">
        <f>"1891799656"</f>
        <v>1891799656</v>
      </c>
      <c r="B2248" t="str">
        <f>"02564432"</f>
        <v>02564432</v>
      </c>
      <c r="C2248" t="s">
        <v>12886</v>
      </c>
      <c r="D2248" t="s">
        <v>12887</v>
      </c>
      <c r="E2248" t="s">
        <v>12888</v>
      </c>
      <c r="G2248" t="s">
        <v>12889</v>
      </c>
      <c r="H2248" t="s">
        <v>4979</v>
      </c>
      <c r="L2248" t="s">
        <v>150</v>
      </c>
      <c r="M2248" t="s">
        <v>113</v>
      </c>
      <c r="R2248" t="s">
        <v>12889</v>
      </c>
      <c r="W2248" t="s">
        <v>12888</v>
      </c>
      <c r="X2248" t="s">
        <v>6083</v>
      </c>
      <c r="Y2248" t="s">
        <v>4839</v>
      </c>
      <c r="Z2248" t="s">
        <v>117</v>
      </c>
      <c r="AA2248" t="str">
        <f>"14111"</f>
        <v>14111</v>
      </c>
      <c r="AB2248" t="s">
        <v>118</v>
      </c>
      <c r="AC2248" t="s">
        <v>119</v>
      </c>
      <c r="AD2248" t="s">
        <v>113</v>
      </c>
      <c r="AE2248" t="s">
        <v>120</v>
      </c>
      <c r="AG2248" t="s">
        <v>121</v>
      </c>
    </row>
    <row r="2249" spans="1:33" x14ac:dyDescent="0.25">
      <c r="A2249" t="str">
        <f>"1134293541"</f>
        <v>1134293541</v>
      </c>
      <c r="B2249" t="str">
        <f>"02994241"</f>
        <v>02994241</v>
      </c>
      <c r="C2249" t="s">
        <v>11183</v>
      </c>
      <c r="D2249" t="s">
        <v>11184</v>
      </c>
      <c r="E2249" t="s">
        <v>11185</v>
      </c>
      <c r="G2249" t="s">
        <v>7169</v>
      </c>
      <c r="H2249" t="s">
        <v>7170</v>
      </c>
      <c r="J2249" t="s">
        <v>7171</v>
      </c>
      <c r="L2249" t="s">
        <v>14</v>
      </c>
      <c r="M2249" t="s">
        <v>113</v>
      </c>
      <c r="R2249" t="s">
        <v>11183</v>
      </c>
      <c r="W2249" t="s">
        <v>11186</v>
      </c>
      <c r="X2249" t="s">
        <v>11187</v>
      </c>
      <c r="Y2249" t="s">
        <v>2762</v>
      </c>
      <c r="Z2249" t="s">
        <v>117</v>
      </c>
      <c r="AA2249" t="str">
        <f>"14611-2335"</f>
        <v>14611-2335</v>
      </c>
      <c r="AB2249" t="s">
        <v>291</v>
      </c>
      <c r="AC2249" t="s">
        <v>119</v>
      </c>
      <c r="AD2249" t="s">
        <v>113</v>
      </c>
      <c r="AE2249" t="s">
        <v>120</v>
      </c>
      <c r="AG2249" t="s">
        <v>121</v>
      </c>
    </row>
    <row r="2250" spans="1:33" x14ac:dyDescent="0.25">
      <c r="A2250" t="str">
        <f>"1821061227"</f>
        <v>1821061227</v>
      </c>
      <c r="B2250" t="str">
        <f>"01077063"</f>
        <v>01077063</v>
      </c>
      <c r="C2250" t="s">
        <v>12892</v>
      </c>
      <c r="D2250" t="s">
        <v>12893</v>
      </c>
      <c r="E2250" t="s">
        <v>12894</v>
      </c>
      <c r="G2250" t="s">
        <v>12892</v>
      </c>
      <c r="H2250" t="s">
        <v>12895</v>
      </c>
      <c r="J2250" t="s">
        <v>12896</v>
      </c>
      <c r="L2250" t="s">
        <v>1033</v>
      </c>
      <c r="M2250" t="s">
        <v>199</v>
      </c>
      <c r="R2250" t="s">
        <v>12897</v>
      </c>
      <c r="W2250" t="s">
        <v>12894</v>
      </c>
      <c r="X2250" t="s">
        <v>253</v>
      </c>
      <c r="Y2250" t="s">
        <v>116</v>
      </c>
      <c r="Z2250" t="s">
        <v>117</v>
      </c>
      <c r="AA2250" t="str">
        <f>"14215-3021"</f>
        <v>14215-3021</v>
      </c>
      <c r="AB2250" t="s">
        <v>118</v>
      </c>
      <c r="AC2250" t="s">
        <v>119</v>
      </c>
      <c r="AD2250" t="s">
        <v>113</v>
      </c>
      <c r="AE2250" t="s">
        <v>120</v>
      </c>
      <c r="AG2250" t="s">
        <v>121</v>
      </c>
    </row>
    <row r="2251" spans="1:33" x14ac:dyDescent="0.25">
      <c r="A2251" t="str">
        <f>"1821062720"</f>
        <v>1821062720</v>
      </c>
      <c r="B2251" t="str">
        <f>"01248517"</f>
        <v>01248517</v>
      </c>
      <c r="C2251" t="s">
        <v>12898</v>
      </c>
      <c r="D2251" t="s">
        <v>12899</v>
      </c>
      <c r="E2251" t="s">
        <v>12900</v>
      </c>
      <c r="G2251" t="s">
        <v>12901</v>
      </c>
      <c r="H2251" t="s">
        <v>12902</v>
      </c>
      <c r="L2251" t="s">
        <v>142</v>
      </c>
      <c r="M2251" t="s">
        <v>113</v>
      </c>
      <c r="R2251" t="s">
        <v>12901</v>
      </c>
      <c r="W2251" t="s">
        <v>12903</v>
      </c>
      <c r="X2251" t="s">
        <v>12904</v>
      </c>
      <c r="Y2251" t="s">
        <v>978</v>
      </c>
      <c r="Z2251" t="s">
        <v>117</v>
      </c>
      <c r="AA2251" t="str">
        <f>"14081-9750"</f>
        <v>14081-9750</v>
      </c>
      <c r="AB2251" t="s">
        <v>1755</v>
      </c>
      <c r="AC2251" t="s">
        <v>119</v>
      </c>
      <c r="AD2251" t="s">
        <v>113</v>
      </c>
      <c r="AE2251" t="s">
        <v>120</v>
      </c>
      <c r="AG2251" t="s">
        <v>121</v>
      </c>
    </row>
    <row r="2252" spans="1:33" x14ac:dyDescent="0.25">
      <c r="A2252" t="str">
        <f>"1821063561"</f>
        <v>1821063561</v>
      </c>
      <c r="B2252" t="str">
        <f>"02280371"</f>
        <v>02280371</v>
      </c>
      <c r="C2252" t="s">
        <v>12905</v>
      </c>
      <c r="D2252" t="s">
        <v>12906</v>
      </c>
      <c r="E2252" t="s">
        <v>12907</v>
      </c>
      <c r="G2252" t="s">
        <v>12905</v>
      </c>
      <c r="H2252" t="s">
        <v>12908</v>
      </c>
      <c r="J2252" t="s">
        <v>12909</v>
      </c>
      <c r="L2252" t="s">
        <v>142</v>
      </c>
      <c r="M2252" t="s">
        <v>113</v>
      </c>
      <c r="R2252" t="s">
        <v>12910</v>
      </c>
      <c r="W2252" t="s">
        <v>12907</v>
      </c>
      <c r="X2252" t="s">
        <v>3599</v>
      </c>
      <c r="Y2252" t="s">
        <v>986</v>
      </c>
      <c r="Z2252" t="s">
        <v>117</v>
      </c>
      <c r="AA2252" t="str">
        <f>"14701-7077"</f>
        <v>14701-7077</v>
      </c>
      <c r="AB2252" t="s">
        <v>118</v>
      </c>
      <c r="AC2252" t="s">
        <v>119</v>
      </c>
      <c r="AD2252" t="s">
        <v>113</v>
      </c>
      <c r="AE2252" t="s">
        <v>120</v>
      </c>
      <c r="AG2252" t="s">
        <v>121</v>
      </c>
    </row>
    <row r="2253" spans="1:33" x14ac:dyDescent="0.25">
      <c r="A2253" t="str">
        <f>"1821064718"</f>
        <v>1821064718</v>
      </c>
      <c r="B2253" t="str">
        <f>"02343135"</f>
        <v>02343135</v>
      </c>
      <c r="C2253" t="s">
        <v>12911</v>
      </c>
      <c r="D2253" t="s">
        <v>12912</v>
      </c>
      <c r="E2253" t="s">
        <v>12913</v>
      </c>
      <c r="G2253" t="s">
        <v>12911</v>
      </c>
      <c r="H2253" t="s">
        <v>579</v>
      </c>
      <c r="J2253" t="s">
        <v>12914</v>
      </c>
      <c r="L2253" t="s">
        <v>1033</v>
      </c>
      <c r="M2253" t="s">
        <v>113</v>
      </c>
      <c r="R2253" t="s">
        <v>12915</v>
      </c>
      <c r="W2253" t="s">
        <v>12913</v>
      </c>
      <c r="X2253" t="s">
        <v>896</v>
      </c>
      <c r="Y2253" t="s">
        <v>116</v>
      </c>
      <c r="Z2253" t="s">
        <v>117</v>
      </c>
      <c r="AA2253" t="str">
        <f>"14203-1154"</f>
        <v>14203-1154</v>
      </c>
      <c r="AB2253" t="s">
        <v>118</v>
      </c>
      <c r="AC2253" t="s">
        <v>119</v>
      </c>
      <c r="AD2253" t="s">
        <v>113</v>
      </c>
      <c r="AE2253" t="s">
        <v>120</v>
      </c>
      <c r="AG2253" t="s">
        <v>121</v>
      </c>
    </row>
    <row r="2254" spans="1:33" x14ac:dyDescent="0.25">
      <c r="A2254" t="str">
        <f>"1487693859"</f>
        <v>1487693859</v>
      </c>
      <c r="B2254" t="str">
        <f>"00722014"</f>
        <v>00722014</v>
      </c>
      <c r="C2254" t="s">
        <v>12916</v>
      </c>
      <c r="D2254" t="s">
        <v>12917</v>
      </c>
      <c r="E2254" t="s">
        <v>12918</v>
      </c>
      <c r="G2254" t="s">
        <v>12916</v>
      </c>
      <c r="H2254" t="s">
        <v>12919</v>
      </c>
      <c r="J2254" t="s">
        <v>1774</v>
      </c>
      <c r="L2254" t="s">
        <v>150</v>
      </c>
      <c r="M2254" t="s">
        <v>113</v>
      </c>
      <c r="R2254" t="s">
        <v>12920</v>
      </c>
      <c r="W2254" t="s">
        <v>12918</v>
      </c>
      <c r="X2254" t="s">
        <v>12921</v>
      </c>
      <c r="Y2254" t="s">
        <v>12922</v>
      </c>
      <c r="Z2254" t="s">
        <v>117</v>
      </c>
      <c r="AA2254" t="str">
        <f>"14752"</f>
        <v>14752</v>
      </c>
      <c r="AB2254" t="s">
        <v>118</v>
      </c>
      <c r="AC2254" t="s">
        <v>119</v>
      </c>
      <c r="AD2254" t="s">
        <v>113</v>
      </c>
      <c r="AE2254" t="s">
        <v>120</v>
      </c>
      <c r="AG2254" t="s">
        <v>121</v>
      </c>
    </row>
    <row r="2255" spans="1:33" x14ac:dyDescent="0.25">
      <c r="A2255" t="str">
        <f>"1639192677"</f>
        <v>1639192677</v>
      </c>
      <c r="B2255" t="str">
        <f>"00838091"</f>
        <v>00838091</v>
      </c>
      <c r="C2255" t="s">
        <v>12923</v>
      </c>
      <c r="D2255" t="s">
        <v>12924</v>
      </c>
      <c r="E2255" t="s">
        <v>12925</v>
      </c>
      <c r="G2255" t="s">
        <v>12923</v>
      </c>
      <c r="H2255" t="s">
        <v>12926</v>
      </c>
      <c r="J2255" t="s">
        <v>12927</v>
      </c>
      <c r="L2255" t="s">
        <v>142</v>
      </c>
      <c r="M2255" t="s">
        <v>113</v>
      </c>
      <c r="R2255" t="s">
        <v>12928</v>
      </c>
      <c r="W2255" t="s">
        <v>12925</v>
      </c>
      <c r="X2255" t="s">
        <v>12929</v>
      </c>
      <c r="Y2255" t="s">
        <v>318</v>
      </c>
      <c r="Z2255" t="s">
        <v>117</v>
      </c>
      <c r="AA2255" t="str">
        <f>"14225-4758"</f>
        <v>14225-4758</v>
      </c>
      <c r="AB2255" t="s">
        <v>1755</v>
      </c>
      <c r="AC2255" t="s">
        <v>119</v>
      </c>
      <c r="AD2255" t="s">
        <v>113</v>
      </c>
      <c r="AE2255" t="s">
        <v>120</v>
      </c>
      <c r="AG2255" t="s">
        <v>121</v>
      </c>
    </row>
    <row r="2256" spans="1:33" x14ac:dyDescent="0.25">
      <c r="A2256" t="str">
        <f>"1639204829"</f>
        <v>1639204829</v>
      </c>
      <c r="B2256" t="str">
        <f>"03475743"</f>
        <v>03475743</v>
      </c>
      <c r="C2256" t="s">
        <v>12930</v>
      </c>
      <c r="D2256" t="s">
        <v>12931</v>
      </c>
      <c r="E2256" t="s">
        <v>12932</v>
      </c>
      <c r="G2256" t="s">
        <v>12930</v>
      </c>
      <c r="H2256" t="s">
        <v>707</v>
      </c>
      <c r="J2256" t="s">
        <v>12933</v>
      </c>
      <c r="L2256" t="s">
        <v>142</v>
      </c>
      <c r="M2256" t="s">
        <v>113</v>
      </c>
      <c r="R2256" t="s">
        <v>12934</v>
      </c>
      <c r="W2256" t="s">
        <v>12932</v>
      </c>
      <c r="X2256" t="s">
        <v>709</v>
      </c>
      <c r="Y2256" t="s">
        <v>116</v>
      </c>
      <c r="Z2256" t="s">
        <v>117</v>
      </c>
      <c r="AA2256" t="str">
        <f>"14263-0001"</f>
        <v>14263-0001</v>
      </c>
      <c r="AB2256" t="s">
        <v>118</v>
      </c>
      <c r="AC2256" t="s">
        <v>119</v>
      </c>
      <c r="AD2256" t="s">
        <v>113</v>
      </c>
      <c r="AE2256" t="s">
        <v>120</v>
      </c>
      <c r="AG2256" t="s">
        <v>121</v>
      </c>
    </row>
    <row r="2257" spans="1:33" x14ac:dyDescent="0.25">
      <c r="A2257" t="str">
        <f>"1225083074"</f>
        <v>1225083074</v>
      </c>
      <c r="B2257" t="str">
        <f>"00354632"</f>
        <v>00354632</v>
      </c>
      <c r="C2257" t="s">
        <v>1516</v>
      </c>
      <c r="D2257" t="s">
        <v>1517</v>
      </c>
      <c r="E2257" t="s">
        <v>1518</v>
      </c>
      <c r="G2257" t="s">
        <v>15939</v>
      </c>
      <c r="H2257" t="s">
        <v>1519</v>
      </c>
      <c r="J2257" t="s">
        <v>15940</v>
      </c>
      <c r="L2257" t="s">
        <v>1520</v>
      </c>
      <c r="M2257" t="s">
        <v>199</v>
      </c>
      <c r="R2257" t="s">
        <v>1516</v>
      </c>
      <c r="W2257" t="s">
        <v>1518</v>
      </c>
      <c r="X2257" t="s">
        <v>1098</v>
      </c>
      <c r="Y2257" t="s">
        <v>305</v>
      </c>
      <c r="Z2257" t="s">
        <v>117</v>
      </c>
      <c r="AA2257" t="str">
        <f>"14760-1513"</f>
        <v>14760-1513</v>
      </c>
      <c r="AB2257" t="s">
        <v>979</v>
      </c>
      <c r="AC2257" t="s">
        <v>119</v>
      </c>
      <c r="AD2257" t="s">
        <v>113</v>
      </c>
      <c r="AE2257" t="s">
        <v>120</v>
      </c>
      <c r="AG2257" t="s">
        <v>121</v>
      </c>
    </row>
    <row r="2258" spans="1:33" x14ac:dyDescent="0.25">
      <c r="A2258" t="str">
        <f>"1639217151"</f>
        <v>1639217151</v>
      </c>
      <c r="B2258" t="str">
        <f>"01531479"</f>
        <v>01531479</v>
      </c>
      <c r="C2258" t="s">
        <v>12935</v>
      </c>
      <c r="D2258" t="s">
        <v>12936</v>
      </c>
      <c r="E2258" t="s">
        <v>12937</v>
      </c>
      <c r="H2258" t="s">
        <v>12938</v>
      </c>
      <c r="L2258" t="s">
        <v>112</v>
      </c>
      <c r="M2258" t="s">
        <v>113</v>
      </c>
      <c r="R2258" t="s">
        <v>12939</v>
      </c>
      <c r="W2258" t="s">
        <v>12937</v>
      </c>
      <c r="X2258" t="s">
        <v>8946</v>
      </c>
      <c r="Y2258" t="s">
        <v>153</v>
      </c>
      <c r="Z2258" t="s">
        <v>117</v>
      </c>
      <c r="AA2258" t="str">
        <f>"14301-1072"</f>
        <v>14301-1072</v>
      </c>
      <c r="AB2258" t="s">
        <v>634</v>
      </c>
      <c r="AC2258" t="s">
        <v>119</v>
      </c>
      <c r="AD2258" t="s">
        <v>113</v>
      </c>
      <c r="AE2258" t="s">
        <v>120</v>
      </c>
      <c r="AG2258" t="s">
        <v>121</v>
      </c>
    </row>
    <row r="2259" spans="1:33" x14ac:dyDescent="0.25">
      <c r="A2259" t="str">
        <f>"1740224641"</f>
        <v>1740224641</v>
      </c>
      <c r="B2259" t="str">
        <f>"02187011"</f>
        <v>02187011</v>
      </c>
      <c r="C2259" t="s">
        <v>12940</v>
      </c>
      <c r="D2259" t="s">
        <v>12941</v>
      </c>
      <c r="E2259" t="s">
        <v>12942</v>
      </c>
      <c r="G2259" t="s">
        <v>12940</v>
      </c>
      <c r="H2259" t="s">
        <v>2994</v>
      </c>
      <c r="J2259" t="s">
        <v>12943</v>
      </c>
      <c r="L2259" t="s">
        <v>150</v>
      </c>
      <c r="M2259" t="s">
        <v>113</v>
      </c>
      <c r="R2259" t="s">
        <v>12944</v>
      </c>
      <c r="W2259" t="s">
        <v>12942</v>
      </c>
      <c r="X2259" t="s">
        <v>12945</v>
      </c>
      <c r="Y2259" t="s">
        <v>116</v>
      </c>
      <c r="Z2259" t="s">
        <v>117</v>
      </c>
      <c r="AA2259" t="str">
        <f>"14215-3247"</f>
        <v>14215-3247</v>
      </c>
      <c r="AB2259" t="s">
        <v>118</v>
      </c>
      <c r="AC2259" t="s">
        <v>119</v>
      </c>
      <c r="AD2259" t="s">
        <v>113</v>
      </c>
      <c r="AE2259" t="s">
        <v>120</v>
      </c>
      <c r="AG2259" t="s">
        <v>121</v>
      </c>
    </row>
    <row r="2260" spans="1:33" x14ac:dyDescent="0.25">
      <c r="A2260" t="str">
        <f>"1740230564"</f>
        <v>1740230564</v>
      </c>
      <c r="B2260" t="str">
        <f>"01027063"</f>
        <v>01027063</v>
      </c>
      <c r="C2260" t="s">
        <v>12946</v>
      </c>
      <c r="D2260" t="s">
        <v>12947</v>
      </c>
      <c r="E2260" t="s">
        <v>12948</v>
      </c>
      <c r="G2260" t="s">
        <v>12946</v>
      </c>
      <c r="H2260" t="s">
        <v>205</v>
      </c>
      <c r="J2260" t="s">
        <v>12949</v>
      </c>
      <c r="L2260" t="s">
        <v>150</v>
      </c>
      <c r="M2260" t="s">
        <v>113</v>
      </c>
      <c r="R2260" t="s">
        <v>12950</v>
      </c>
      <c r="W2260" t="s">
        <v>12948</v>
      </c>
      <c r="X2260" t="s">
        <v>12951</v>
      </c>
      <c r="Y2260" t="s">
        <v>116</v>
      </c>
      <c r="Z2260" t="s">
        <v>117</v>
      </c>
      <c r="AA2260" t="str">
        <f>"14209"</f>
        <v>14209</v>
      </c>
      <c r="AB2260" t="s">
        <v>118</v>
      </c>
      <c r="AC2260" t="s">
        <v>119</v>
      </c>
      <c r="AD2260" t="s">
        <v>113</v>
      </c>
      <c r="AE2260" t="s">
        <v>120</v>
      </c>
      <c r="AG2260" t="s">
        <v>121</v>
      </c>
    </row>
    <row r="2261" spans="1:33" x14ac:dyDescent="0.25">
      <c r="A2261" t="str">
        <f>"1740232263"</f>
        <v>1740232263</v>
      </c>
      <c r="B2261" t="str">
        <f>"01702047"</f>
        <v>01702047</v>
      </c>
      <c r="C2261" t="s">
        <v>12952</v>
      </c>
      <c r="D2261" t="s">
        <v>12953</v>
      </c>
      <c r="E2261" t="s">
        <v>12954</v>
      </c>
      <c r="G2261" t="s">
        <v>12955</v>
      </c>
      <c r="H2261" t="s">
        <v>12956</v>
      </c>
      <c r="J2261" t="s">
        <v>12957</v>
      </c>
      <c r="L2261" t="s">
        <v>8364</v>
      </c>
      <c r="M2261" t="s">
        <v>113</v>
      </c>
      <c r="R2261" t="s">
        <v>12958</v>
      </c>
      <c r="W2261" t="s">
        <v>12959</v>
      </c>
      <c r="X2261" t="s">
        <v>12960</v>
      </c>
      <c r="Y2261" t="s">
        <v>116</v>
      </c>
      <c r="Z2261" t="s">
        <v>117</v>
      </c>
      <c r="AA2261" t="str">
        <f>"14214-3001"</f>
        <v>14214-3001</v>
      </c>
      <c r="AB2261" t="s">
        <v>634</v>
      </c>
      <c r="AC2261" t="s">
        <v>119</v>
      </c>
      <c r="AD2261" t="s">
        <v>113</v>
      </c>
      <c r="AE2261" t="s">
        <v>120</v>
      </c>
      <c r="AG2261" t="s">
        <v>121</v>
      </c>
    </row>
    <row r="2262" spans="1:33" x14ac:dyDescent="0.25">
      <c r="A2262" t="str">
        <f>"1740238906"</f>
        <v>1740238906</v>
      </c>
      <c r="B2262" t="str">
        <f>"01570974"</f>
        <v>01570974</v>
      </c>
      <c r="C2262" t="s">
        <v>12961</v>
      </c>
      <c r="D2262" t="s">
        <v>12962</v>
      </c>
      <c r="E2262" t="s">
        <v>12963</v>
      </c>
      <c r="G2262" t="s">
        <v>12961</v>
      </c>
      <c r="H2262" t="s">
        <v>1115</v>
      </c>
      <c r="J2262" t="s">
        <v>12964</v>
      </c>
      <c r="L2262" t="s">
        <v>1033</v>
      </c>
      <c r="M2262" t="s">
        <v>113</v>
      </c>
      <c r="R2262" t="s">
        <v>12965</v>
      </c>
      <c r="W2262" t="s">
        <v>12963</v>
      </c>
      <c r="X2262" t="s">
        <v>12966</v>
      </c>
      <c r="Y2262" t="s">
        <v>305</v>
      </c>
      <c r="Z2262" t="s">
        <v>117</v>
      </c>
      <c r="AA2262" t="str">
        <f>"14760"</f>
        <v>14760</v>
      </c>
      <c r="AB2262" t="s">
        <v>118</v>
      </c>
      <c r="AC2262" t="s">
        <v>119</v>
      </c>
      <c r="AD2262" t="s">
        <v>113</v>
      </c>
      <c r="AE2262" t="s">
        <v>120</v>
      </c>
      <c r="AG2262" t="s">
        <v>121</v>
      </c>
    </row>
    <row r="2263" spans="1:33" x14ac:dyDescent="0.25">
      <c r="A2263" t="str">
        <f>"1740239037"</f>
        <v>1740239037</v>
      </c>
      <c r="B2263" t="str">
        <f>"02021621"</f>
        <v>02021621</v>
      </c>
      <c r="C2263" t="s">
        <v>12967</v>
      </c>
      <c r="D2263" t="s">
        <v>12968</v>
      </c>
      <c r="E2263" t="s">
        <v>12969</v>
      </c>
      <c r="G2263" t="s">
        <v>12970</v>
      </c>
      <c r="H2263" t="s">
        <v>12971</v>
      </c>
      <c r="J2263" t="s">
        <v>12972</v>
      </c>
      <c r="L2263" t="s">
        <v>112</v>
      </c>
      <c r="M2263" t="s">
        <v>113</v>
      </c>
      <c r="R2263" t="s">
        <v>12973</v>
      </c>
      <c r="W2263" t="s">
        <v>12974</v>
      </c>
      <c r="X2263" t="s">
        <v>12975</v>
      </c>
      <c r="Y2263" t="s">
        <v>326</v>
      </c>
      <c r="Z2263" t="s">
        <v>117</v>
      </c>
      <c r="AA2263" t="str">
        <f>"14127-2155"</f>
        <v>14127-2155</v>
      </c>
      <c r="AB2263" t="s">
        <v>634</v>
      </c>
      <c r="AC2263" t="s">
        <v>119</v>
      </c>
      <c r="AD2263" t="s">
        <v>113</v>
      </c>
      <c r="AE2263" t="s">
        <v>120</v>
      </c>
      <c r="AG2263" t="s">
        <v>121</v>
      </c>
    </row>
    <row r="2264" spans="1:33" x14ac:dyDescent="0.25">
      <c r="A2264" t="str">
        <f>"1740241918"</f>
        <v>1740241918</v>
      </c>
      <c r="B2264" t="str">
        <f>"01477696"</f>
        <v>01477696</v>
      </c>
      <c r="C2264" t="s">
        <v>12976</v>
      </c>
      <c r="D2264" t="s">
        <v>12977</v>
      </c>
      <c r="E2264" t="s">
        <v>12978</v>
      </c>
      <c r="G2264" t="s">
        <v>12976</v>
      </c>
      <c r="H2264" t="s">
        <v>12979</v>
      </c>
      <c r="J2264" t="s">
        <v>12980</v>
      </c>
      <c r="L2264" t="s">
        <v>728</v>
      </c>
      <c r="M2264" t="s">
        <v>113</v>
      </c>
      <c r="R2264" t="s">
        <v>12981</v>
      </c>
      <c r="W2264" t="s">
        <v>12978</v>
      </c>
      <c r="X2264" t="s">
        <v>176</v>
      </c>
      <c r="Y2264" t="s">
        <v>116</v>
      </c>
      <c r="Z2264" t="s">
        <v>117</v>
      </c>
      <c r="AA2264" t="str">
        <f>"14203-1126"</f>
        <v>14203-1126</v>
      </c>
      <c r="AB2264" t="s">
        <v>118</v>
      </c>
      <c r="AC2264" t="s">
        <v>119</v>
      </c>
      <c r="AD2264" t="s">
        <v>113</v>
      </c>
      <c r="AE2264" t="s">
        <v>120</v>
      </c>
      <c r="AG2264" t="s">
        <v>121</v>
      </c>
    </row>
    <row r="2265" spans="1:33" x14ac:dyDescent="0.25">
      <c r="A2265" t="str">
        <f>"1740243344"</f>
        <v>1740243344</v>
      </c>
      <c r="B2265" t="str">
        <f>"02160236"</f>
        <v>02160236</v>
      </c>
      <c r="C2265" t="s">
        <v>12982</v>
      </c>
      <c r="D2265" t="s">
        <v>12983</v>
      </c>
      <c r="E2265" t="s">
        <v>12984</v>
      </c>
      <c r="G2265" t="s">
        <v>12985</v>
      </c>
      <c r="H2265" t="s">
        <v>1507</v>
      </c>
      <c r="J2265" t="s">
        <v>12986</v>
      </c>
      <c r="L2265" t="s">
        <v>112</v>
      </c>
      <c r="M2265" t="s">
        <v>113</v>
      </c>
      <c r="R2265" t="s">
        <v>12987</v>
      </c>
      <c r="W2265" t="s">
        <v>12988</v>
      </c>
      <c r="X2265" t="s">
        <v>12989</v>
      </c>
      <c r="Y2265" t="s">
        <v>1593</v>
      </c>
      <c r="Z2265" t="s">
        <v>117</v>
      </c>
      <c r="AA2265" t="str">
        <f>"14068-1219"</f>
        <v>14068-1219</v>
      </c>
      <c r="AB2265" t="s">
        <v>118</v>
      </c>
      <c r="AC2265" t="s">
        <v>119</v>
      </c>
      <c r="AD2265" t="s">
        <v>113</v>
      </c>
      <c r="AE2265" t="s">
        <v>120</v>
      </c>
      <c r="AG2265" t="s">
        <v>121</v>
      </c>
    </row>
    <row r="2266" spans="1:33" x14ac:dyDescent="0.25">
      <c r="A2266" t="str">
        <f>"1740243476"</f>
        <v>1740243476</v>
      </c>
      <c r="B2266" t="str">
        <f>"01821365"</f>
        <v>01821365</v>
      </c>
      <c r="C2266" t="s">
        <v>12990</v>
      </c>
      <c r="D2266" t="s">
        <v>12991</v>
      </c>
      <c r="E2266" t="s">
        <v>12992</v>
      </c>
      <c r="H2266" t="s">
        <v>12993</v>
      </c>
      <c r="L2266" t="s">
        <v>150</v>
      </c>
      <c r="M2266" t="s">
        <v>113</v>
      </c>
      <c r="R2266" t="s">
        <v>12994</v>
      </c>
      <c r="W2266" t="s">
        <v>12992</v>
      </c>
      <c r="X2266" t="s">
        <v>12995</v>
      </c>
      <c r="Y2266" t="s">
        <v>153</v>
      </c>
      <c r="Z2266" t="s">
        <v>117</v>
      </c>
      <c r="AA2266" t="str">
        <f>"14301-1127"</f>
        <v>14301-1127</v>
      </c>
      <c r="AB2266" t="s">
        <v>118</v>
      </c>
      <c r="AC2266" t="s">
        <v>119</v>
      </c>
      <c r="AD2266" t="s">
        <v>113</v>
      </c>
      <c r="AE2266" t="s">
        <v>120</v>
      </c>
      <c r="AG2266" t="s">
        <v>121</v>
      </c>
    </row>
    <row r="2267" spans="1:33" x14ac:dyDescent="0.25">
      <c r="A2267" t="str">
        <f>"1740244797"</f>
        <v>1740244797</v>
      </c>
      <c r="B2267" t="str">
        <f>"01291905"</f>
        <v>01291905</v>
      </c>
      <c r="C2267" t="s">
        <v>12996</v>
      </c>
      <c r="D2267" t="s">
        <v>12997</v>
      </c>
      <c r="E2267" t="s">
        <v>12998</v>
      </c>
      <c r="G2267" t="s">
        <v>12999</v>
      </c>
      <c r="H2267" t="s">
        <v>213</v>
      </c>
      <c r="J2267" t="s">
        <v>13000</v>
      </c>
      <c r="L2267" t="s">
        <v>142</v>
      </c>
      <c r="M2267" t="s">
        <v>199</v>
      </c>
      <c r="R2267" t="s">
        <v>13001</v>
      </c>
      <c r="W2267" t="s">
        <v>12998</v>
      </c>
      <c r="X2267" t="s">
        <v>216</v>
      </c>
      <c r="Y2267" t="s">
        <v>116</v>
      </c>
      <c r="Z2267" t="s">
        <v>117</v>
      </c>
      <c r="AA2267" t="str">
        <f>"14222-2099"</f>
        <v>14222-2099</v>
      </c>
      <c r="AB2267" t="s">
        <v>118</v>
      </c>
      <c r="AC2267" t="s">
        <v>119</v>
      </c>
      <c r="AD2267" t="s">
        <v>113</v>
      </c>
      <c r="AE2267" t="s">
        <v>120</v>
      </c>
      <c r="AG2267" t="s">
        <v>121</v>
      </c>
    </row>
    <row r="2268" spans="1:33" x14ac:dyDescent="0.25">
      <c r="A2268" t="str">
        <f>"1740245083"</f>
        <v>1740245083</v>
      </c>
      <c r="B2268" t="str">
        <f>"02558501"</f>
        <v>02558501</v>
      </c>
      <c r="C2268" t="s">
        <v>13002</v>
      </c>
      <c r="D2268" t="s">
        <v>13003</v>
      </c>
      <c r="E2268" t="s">
        <v>13004</v>
      </c>
      <c r="G2268" t="s">
        <v>13002</v>
      </c>
      <c r="H2268" t="s">
        <v>2963</v>
      </c>
      <c r="J2268" t="s">
        <v>13005</v>
      </c>
      <c r="L2268" t="s">
        <v>150</v>
      </c>
      <c r="M2268" t="s">
        <v>113</v>
      </c>
      <c r="R2268" t="s">
        <v>13006</v>
      </c>
      <c r="W2268" t="s">
        <v>13004</v>
      </c>
      <c r="X2268" t="s">
        <v>339</v>
      </c>
      <c r="Y2268" t="s">
        <v>240</v>
      </c>
      <c r="Z2268" t="s">
        <v>117</v>
      </c>
      <c r="AA2268" t="str">
        <f>"14221-6883"</f>
        <v>14221-6883</v>
      </c>
      <c r="AB2268" t="s">
        <v>118</v>
      </c>
      <c r="AC2268" t="s">
        <v>119</v>
      </c>
      <c r="AD2268" t="s">
        <v>113</v>
      </c>
      <c r="AE2268" t="s">
        <v>120</v>
      </c>
      <c r="AG2268" t="s">
        <v>121</v>
      </c>
    </row>
    <row r="2269" spans="1:33" x14ac:dyDescent="0.25">
      <c r="A2269" t="str">
        <f>"1740245992"</f>
        <v>1740245992</v>
      </c>
      <c r="B2269" t="str">
        <f>"02502541"</f>
        <v>02502541</v>
      </c>
      <c r="C2269" t="s">
        <v>13007</v>
      </c>
      <c r="D2269" t="s">
        <v>13008</v>
      </c>
      <c r="E2269" t="s">
        <v>13009</v>
      </c>
      <c r="G2269" t="s">
        <v>13007</v>
      </c>
      <c r="H2269" t="s">
        <v>1006</v>
      </c>
      <c r="J2269" t="s">
        <v>13010</v>
      </c>
      <c r="L2269" t="s">
        <v>142</v>
      </c>
      <c r="M2269" t="s">
        <v>113</v>
      </c>
      <c r="R2269" t="s">
        <v>13011</v>
      </c>
      <c r="W2269" t="s">
        <v>13009</v>
      </c>
      <c r="X2269" t="s">
        <v>1297</v>
      </c>
      <c r="Y2269" t="s">
        <v>240</v>
      </c>
      <c r="Z2269" t="s">
        <v>117</v>
      </c>
      <c r="AA2269" t="str">
        <f>"14221-2917"</f>
        <v>14221-2917</v>
      </c>
      <c r="AB2269" t="s">
        <v>118</v>
      </c>
      <c r="AC2269" t="s">
        <v>119</v>
      </c>
      <c r="AD2269" t="s">
        <v>113</v>
      </c>
      <c r="AE2269" t="s">
        <v>120</v>
      </c>
      <c r="AG2269" t="s">
        <v>121</v>
      </c>
    </row>
    <row r="2270" spans="1:33" x14ac:dyDescent="0.25">
      <c r="A2270" t="str">
        <f>"1740246016"</f>
        <v>1740246016</v>
      </c>
      <c r="B2270" t="str">
        <f>"02344310"</f>
        <v>02344310</v>
      </c>
      <c r="C2270" t="s">
        <v>13012</v>
      </c>
      <c r="D2270" t="s">
        <v>13013</v>
      </c>
      <c r="E2270" t="s">
        <v>13014</v>
      </c>
      <c r="G2270" t="s">
        <v>13015</v>
      </c>
      <c r="H2270" t="s">
        <v>3800</v>
      </c>
      <c r="J2270" t="s">
        <v>13016</v>
      </c>
      <c r="L2270" t="s">
        <v>142</v>
      </c>
      <c r="M2270" t="s">
        <v>113</v>
      </c>
      <c r="R2270" t="s">
        <v>13017</v>
      </c>
      <c r="W2270" t="s">
        <v>13014</v>
      </c>
      <c r="X2270" t="s">
        <v>9601</v>
      </c>
      <c r="Y2270" t="s">
        <v>240</v>
      </c>
      <c r="Z2270" t="s">
        <v>117</v>
      </c>
      <c r="AA2270" t="str">
        <f>"14221-8243"</f>
        <v>14221-8243</v>
      </c>
      <c r="AB2270" t="s">
        <v>118</v>
      </c>
      <c r="AC2270" t="s">
        <v>119</v>
      </c>
      <c r="AD2270" t="s">
        <v>113</v>
      </c>
      <c r="AE2270" t="s">
        <v>120</v>
      </c>
      <c r="AG2270" t="s">
        <v>121</v>
      </c>
    </row>
    <row r="2271" spans="1:33" x14ac:dyDescent="0.25">
      <c r="A2271" t="str">
        <f>"1740246735"</f>
        <v>1740246735</v>
      </c>
      <c r="B2271" t="str">
        <f>"01226122"</f>
        <v>01226122</v>
      </c>
      <c r="C2271" t="s">
        <v>13018</v>
      </c>
      <c r="D2271" t="s">
        <v>13019</v>
      </c>
      <c r="E2271" t="s">
        <v>13020</v>
      </c>
      <c r="G2271" t="s">
        <v>13021</v>
      </c>
      <c r="H2271" t="s">
        <v>337</v>
      </c>
      <c r="J2271" t="s">
        <v>13022</v>
      </c>
      <c r="L2271" t="s">
        <v>150</v>
      </c>
      <c r="M2271" t="s">
        <v>113</v>
      </c>
      <c r="R2271" t="s">
        <v>13023</v>
      </c>
      <c r="W2271" t="s">
        <v>13020</v>
      </c>
      <c r="X2271" t="s">
        <v>176</v>
      </c>
      <c r="Y2271" t="s">
        <v>116</v>
      </c>
      <c r="Z2271" t="s">
        <v>117</v>
      </c>
      <c r="AA2271" t="str">
        <f>"14203-1126"</f>
        <v>14203-1126</v>
      </c>
      <c r="AB2271" t="s">
        <v>118</v>
      </c>
      <c r="AC2271" t="s">
        <v>119</v>
      </c>
      <c r="AD2271" t="s">
        <v>113</v>
      </c>
      <c r="AE2271" t="s">
        <v>120</v>
      </c>
      <c r="AG2271" t="s">
        <v>121</v>
      </c>
    </row>
    <row r="2272" spans="1:33" x14ac:dyDescent="0.25">
      <c r="A2272" t="str">
        <f>"1740247600"</f>
        <v>1740247600</v>
      </c>
      <c r="B2272" t="str">
        <f>"01420442"</f>
        <v>01420442</v>
      </c>
      <c r="C2272" t="s">
        <v>13024</v>
      </c>
      <c r="D2272" t="s">
        <v>13025</v>
      </c>
      <c r="E2272" t="s">
        <v>13026</v>
      </c>
      <c r="G2272" t="s">
        <v>13024</v>
      </c>
      <c r="H2272" t="s">
        <v>908</v>
      </c>
      <c r="J2272" t="s">
        <v>13027</v>
      </c>
      <c r="L2272" t="s">
        <v>142</v>
      </c>
      <c r="M2272" t="s">
        <v>113</v>
      </c>
      <c r="R2272" t="s">
        <v>13028</v>
      </c>
      <c r="W2272" t="s">
        <v>13026</v>
      </c>
      <c r="X2272" t="s">
        <v>13029</v>
      </c>
      <c r="Y2272" t="s">
        <v>240</v>
      </c>
      <c r="Z2272" t="s">
        <v>117</v>
      </c>
      <c r="AA2272" t="str">
        <f>"14221-8214"</f>
        <v>14221-8214</v>
      </c>
      <c r="AB2272" t="s">
        <v>118</v>
      </c>
      <c r="AC2272" t="s">
        <v>119</v>
      </c>
      <c r="AD2272" t="s">
        <v>113</v>
      </c>
      <c r="AE2272" t="s">
        <v>120</v>
      </c>
      <c r="AG2272" t="s">
        <v>121</v>
      </c>
    </row>
    <row r="2273" spans="1:33" x14ac:dyDescent="0.25">
      <c r="A2273" t="str">
        <f>"1740248855"</f>
        <v>1740248855</v>
      </c>
      <c r="B2273" t="str">
        <f>"01075772"</f>
        <v>01075772</v>
      </c>
      <c r="C2273" t="s">
        <v>13030</v>
      </c>
      <c r="D2273" t="s">
        <v>13031</v>
      </c>
      <c r="E2273" t="s">
        <v>13032</v>
      </c>
      <c r="G2273" t="s">
        <v>13030</v>
      </c>
      <c r="H2273" t="s">
        <v>205</v>
      </c>
      <c r="J2273" t="s">
        <v>13033</v>
      </c>
      <c r="L2273" t="s">
        <v>142</v>
      </c>
      <c r="M2273" t="s">
        <v>113</v>
      </c>
      <c r="R2273" t="s">
        <v>13034</v>
      </c>
      <c r="W2273" t="s">
        <v>13032</v>
      </c>
      <c r="X2273" t="s">
        <v>13035</v>
      </c>
      <c r="Y2273" t="s">
        <v>958</v>
      </c>
      <c r="Z2273" t="s">
        <v>117</v>
      </c>
      <c r="AA2273" t="str">
        <f>"14226-1900"</f>
        <v>14226-1900</v>
      </c>
      <c r="AB2273" t="s">
        <v>118</v>
      </c>
      <c r="AC2273" t="s">
        <v>119</v>
      </c>
      <c r="AD2273" t="s">
        <v>113</v>
      </c>
      <c r="AE2273" t="s">
        <v>120</v>
      </c>
      <c r="AG2273" t="s">
        <v>121</v>
      </c>
    </row>
    <row r="2274" spans="1:33" x14ac:dyDescent="0.25">
      <c r="A2274" t="str">
        <f>"1740251552"</f>
        <v>1740251552</v>
      </c>
      <c r="B2274" t="str">
        <f>"00751359"</f>
        <v>00751359</v>
      </c>
      <c r="C2274" t="s">
        <v>13036</v>
      </c>
      <c r="D2274" t="s">
        <v>13037</v>
      </c>
      <c r="E2274" t="s">
        <v>13038</v>
      </c>
      <c r="G2274" t="s">
        <v>13036</v>
      </c>
      <c r="H2274" t="s">
        <v>13039</v>
      </c>
      <c r="J2274" t="s">
        <v>13040</v>
      </c>
      <c r="L2274" t="s">
        <v>142</v>
      </c>
      <c r="M2274" t="s">
        <v>113</v>
      </c>
      <c r="R2274" t="s">
        <v>13041</v>
      </c>
      <c r="W2274" t="s">
        <v>13038</v>
      </c>
      <c r="X2274" t="s">
        <v>11453</v>
      </c>
      <c r="Y2274" t="s">
        <v>116</v>
      </c>
      <c r="Z2274" t="s">
        <v>117</v>
      </c>
      <c r="AA2274" t="str">
        <f>"14226-1855"</f>
        <v>14226-1855</v>
      </c>
      <c r="AB2274" t="s">
        <v>118</v>
      </c>
      <c r="AC2274" t="s">
        <v>119</v>
      </c>
      <c r="AD2274" t="s">
        <v>113</v>
      </c>
      <c r="AE2274" t="s">
        <v>120</v>
      </c>
      <c r="AG2274" t="s">
        <v>121</v>
      </c>
    </row>
    <row r="2275" spans="1:33" x14ac:dyDescent="0.25">
      <c r="A2275" t="str">
        <f>"1740265537"</f>
        <v>1740265537</v>
      </c>
      <c r="B2275" t="str">
        <f>"01412591"</f>
        <v>01412591</v>
      </c>
      <c r="C2275" t="s">
        <v>13042</v>
      </c>
      <c r="D2275" t="s">
        <v>13043</v>
      </c>
      <c r="E2275" t="s">
        <v>13044</v>
      </c>
      <c r="G2275" t="s">
        <v>13045</v>
      </c>
      <c r="H2275" t="s">
        <v>449</v>
      </c>
      <c r="J2275" t="s">
        <v>13046</v>
      </c>
      <c r="L2275" t="s">
        <v>112</v>
      </c>
      <c r="M2275" t="s">
        <v>113</v>
      </c>
      <c r="R2275" t="s">
        <v>13047</v>
      </c>
      <c r="W2275" t="s">
        <v>13044</v>
      </c>
      <c r="X2275" t="s">
        <v>13048</v>
      </c>
      <c r="Y2275" t="s">
        <v>116</v>
      </c>
      <c r="Z2275" t="s">
        <v>117</v>
      </c>
      <c r="AA2275" t="str">
        <f>"14214-2673"</f>
        <v>14214-2673</v>
      </c>
      <c r="AB2275" t="s">
        <v>118</v>
      </c>
      <c r="AC2275" t="s">
        <v>119</v>
      </c>
      <c r="AD2275" t="s">
        <v>113</v>
      </c>
      <c r="AE2275" t="s">
        <v>120</v>
      </c>
      <c r="AG2275" t="s">
        <v>121</v>
      </c>
    </row>
    <row r="2276" spans="1:33" x14ac:dyDescent="0.25">
      <c r="A2276" t="str">
        <f>"1740266048"</f>
        <v>1740266048</v>
      </c>
      <c r="B2276" t="str">
        <f>"02141977"</f>
        <v>02141977</v>
      </c>
      <c r="C2276" t="s">
        <v>13049</v>
      </c>
      <c r="D2276" t="s">
        <v>13050</v>
      </c>
      <c r="E2276" t="s">
        <v>13051</v>
      </c>
      <c r="G2276" t="s">
        <v>13049</v>
      </c>
      <c r="H2276" t="s">
        <v>449</v>
      </c>
      <c r="J2276" t="s">
        <v>13052</v>
      </c>
      <c r="L2276" t="s">
        <v>142</v>
      </c>
      <c r="M2276" t="s">
        <v>113</v>
      </c>
      <c r="R2276" t="s">
        <v>13053</v>
      </c>
      <c r="W2276" t="s">
        <v>13051</v>
      </c>
      <c r="X2276" t="s">
        <v>13054</v>
      </c>
      <c r="Y2276" t="s">
        <v>116</v>
      </c>
      <c r="Z2276" t="s">
        <v>117</v>
      </c>
      <c r="AA2276" t="str">
        <f>"14209-1194"</f>
        <v>14209-1194</v>
      </c>
      <c r="AB2276" t="s">
        <v>118</v>
      </c>
      <c r="AC2276" t="s">
        <v>119</v>
      </c>
      <c r="AD2276" t="s">
        <v>113</v>
      </c>
      <c r="AE2276" t="s">
        <v>120</v>
      </c>
      <c r="AG2276" t="s">
        <v>121</v>
      </c>
    </row>
    <row r="2277" spans="1:33" x14ac:dyDescent="0.25">
      <c r="A2277" t="str">
        <f>"1740266139"</f>
        <v>1740266139</v>
      </c>
      <c r="B2277" t="str">
        <f>"02343988"</f>
        <v>02343988</v>
      </c>
      <c r="C2277" t="s">
        <v>13055</v>
      </c>
      <c r="D2277" t="s">
        <v>13056</v>
      </c>
      <c r="E2277" t="s">
        <v>13057</v>
      </c>
      <c r="G2277" t="s">
        <v>13058</v>
      </c>
      <c r="H2277" t="s">
        <v>236</v>
      </c>
      <c r="J2277" t="s">
        <v>13059</v>
      </c>
      <c r="L2277" t="s">
        <v>142</v>
      </c>
      <c r="M2277" t="s">
        <v>113</v>
      </c>
      <c r="R2277" t="s">
        <v>13060</v>
      </c>
      <c r="W2277" t="s">
        <v>13057</v>
      </c>
      <c r="X2277" t="s">
        <v>7730</v>
      </c>
      <c r="Y2277" t="s">
        <v>958</v>
      </c>
      <c r="Z2277" t="s">
        <v>117</v>
      </c>
      <c r="AA2277" t="str">
        <f>"14226-2500"</f>
        <v>14226-2500</v>
      </c>
      <c r="AB2277" t="s">
        <v>118</v>
      </c>
      <c r="AC2277" t="s">
        <v>119</v>
      </c>
      <c r="AD2277" t="s">
        <v>113</v>
      </c>
      <c r="AE2277" t="s">
        <v>120</v>
      </c>
      <c r="AG2277" t="s">
        <v>121</v>
      </c>
    </row>
    <row r="2278" spans="1:33" x14ac:dyDescent="0.25">
      <c r="A2278" t="str">
        <f>"1740266451"</f>
        <v>1740266451</v>
      </c>
      <c r="B2278" t="str">
        <f>"01029556"</f>
        <v>01029556</v>
      </c>
      <c r="C2278" t="s">
        <v>13061</v>
      </c>
      <c r="D2278" t="s">
        <v>13062</v>
      </c>
      <c r="E2278" t="s">
        <v>13063</v>
      </c>
      <c r="G2278" t="s">
        <v>13061</v>
      </c>
      <c r="H2278" t="s">
        <v>398</v>
      </c>
      <c r="J2278" t="s">
        <v>13064</v>
      </c>
      <c r="L2278" t="s">
        <v>150</v>
      </c>
      <c r="M2278" t="s">
        <v>113</v>
      </c>
      <c r="R2278" t="s">
        <v>13065</v>
      </c>
      <c r="W2278" t="s">
        <v>13066</v>
      </c>
      <c r="X2278" t="s">
        <v>13067</v>
      </c>
      <c r="Y2278" t="s">
        <v>116</v>
      </c>
      <c r="Z2278" t="s">
        <v>117</v>
      </c>
      <c r="AA2278" t="str">
        <f>"14209-1603"</f>
        <v>14209-1603</v>
      </c>
      <c r="AB2278" t="s">
        <v>118</v>
      </c>
      <c r="AC2278" t="s">
        <v>119</v>
      </c>
      <c r="AD2278" t="s">
        <v>113</v>
      </c>
      <c r="AE2278" t="s">
        <v>120</v>
      </c>
      <c r="AG2278" t="s">
        <v>121</v>
      </c>
    </row>
    <row r="2279" spans="1:33" x14ac:dyDescent="0.25">
      <c r="A2279" t="str">
        <f>"1740274752"</f>
        <v>1740274752</v>
      </c>
      <c r="B2279" t="str">
        <f>"02061181"</f>
        <v>02061181</v>
      </c>
      <c r="C2279" t="s">
        <v>13068</v>
      </c>
      <c r="D2279" t="s">
        <v>13069</v>
      </c>
      <c r="E2279" t="s">
        <v>13070</v>
      </c>
      <c r="G2279" t="s">
        <v>13068</v>
      </c>
      <c r="H2279" t="s">
        <v>1507</v>
      </c>
      <c r="J2279" t="s">
        <v>13071</v>
      </c>
      <c r="L2279" t="s">
        <v>112</v>
      </c>
      <c r="M2279" t="s">
        <v>199</v>
      </c>
      <c r="R2279" t="s">
        <v>13072</v>
      </c>
      <c r="W2279" t="s">
        <v>13070</v>
      </c>
      <c r="Y2279" t="s">
        <v>240</v>
      </c>
      <c r="Z2279" t="s">
        <v>117</v>
      </c>
      <c r="AA2279" t="str">
        <f>"14221-3698"</f>
        <v>14221-3698</v>
      </c>
      <c r="AB2279" t="s">
        <v>118</v>
      </c>
      <c r="AC2279" t="s">
        <v>119</v>
      </c>
      <c r="AD2279" t="s">
        <v>113</v>
      </c>
      <c r="AE2279" t="s">
        <v>120</v>
      </c>
      <c r="AG2279" t="s">
        <v>121</v>
      </c>
    </row>
    <row r="2280" spans="1:33" x14ac:dyDescent="0.25">
      <c r="A2280" t="str">
        <f>"1740278316"</f>
        <v>1740278316</v>
      </c>
      <c r="B2280" t="str">
        <f>"00687352"</f>
        <v>00687352</v>
      </c>
      <c r="C2280" t="s">
        <v>13073</v>
      </c>
      <c r="D2280" t="s">
        <v>13074</v>
      </c>
      <c r="E2280" t="s">
        <v>13075</v>
      </c>
      <c r="G2280" t="s">
        <v>13073</v>
      </c>
      <c r="H2280" t="s">
        <v>13076</v>
      </c>
      <c r="J2280" t="s">
        <v>13077</v>
      </c>
      <c r="L2280" t="s">
        <v>150</v>
      </c>
      <c r="M2280" t="s">
        <v>113</v>
      </c>
      <c r="R2280" t="s">
        <v>13078</v>
      </c>
      <c r="W2280" t="s">
        <v>13075</v>
      </c>
      <c r="X2280" t="s">
        <v>13079</v>
      </c>
      <c r="Y2280" t="s">
        <v>116</v>
      </c>
      <c r="Z2280" t="s">
        <v>117</v>
      </c>
      <c r="AA2280" t="str">
        <f>"14203-1154"</f>
        <v>14203-1154</v>
      </c>
      <c r="AB2280" t="s">
        <v>118</v>
      </c>
      <c r="AC2280" t="s">
        <v>119</v>
      </c>
      <c r="AD2280" t="s">
        <v>113</v>
      </c>
      <c r="AE2280" t="s">
        <v>120</v>
      </c>
      <c r="AG2280" t="s">
        <v>121</v>
      </c>
    </row>
    <row r="2281" spans="1:33" x14ac:dyDescent="0.25">
      <c r="A2281" t="str">
        <f>"1942647797"</f>
        <v>1942647797</v>
      </c>
      <c r="B2281" t="str">
        <f>"03638864"</f>
        <v>03638864</v>
      </c>
      <c r="C2281" t="s">
        <v>13080</v>
      </c>
      <c r="D2281" t="s">
        <v>13081</v>
      </c>
      <c r="E2281" t="s">
        <v>13082</v>
      </c>
      <c r="G2281" t="s">
        <v>13083</v>
      </c>
      <c r="H2281" t="s">
        <v>590</v>
      </c>
      <c r="J2281" t="s">
        <v>13084</v>
      </c>
      <c r="L2281" t="s">
        <v>112</v>
      </c>
      <c r="M2281" t="s">
        <v>113</v>
      </c>
      <c r="R2281" t="s">
        <v>13085</v>
      </c>
      <c r="W2281" t="s">
        <v>13082</v>
      </c>
      <c r="X2281" t="s">
        <v>13086</v>
      </c>
      <c r="Y2281" t="s">
        <v>326</v>
      </c>
      <c r="Z2281" t="s">
        <v>117</v>
      </c>
      <c r="AA2281" t="str">
        <f>"14127-0631"</f>
        <v>14127-0631</v>
      </c>
      <c r="AB2281" t="s">
        <v>528</v>
      </c>
      <c r="AC2281" t="s">
        <v>119</v>
      </c>
      <c r="AD2281" t="s">
        <v>113</v>
      </c>
      <c r="AE2281" t="s">
        <v>120</v>
      </c>
      <c r="AG2281" t="s">
        <v>121</v>
      </c>
    </row>
    <row r="2282" spans="1:33" x14ac:dyDescent="0.25">
      <c r="A2282" t="str">
        <f>"1952304024"</f>
        <v>1952304024</v>
      </c>
      <c r="B2282" t="str">
        <f>"02410277"</f>
        <v>02410277</v>
      </c>
      <c r="C2282" t="s">
        <v>13087</v>
      </c>
      <c r="D2282" t="s">
        <v>13088</v>
      </c>
      <c r="E2282" t="s">
        <v>13089</v>
      </c>
      <c r="G2282" t="s">
        <v>13090</v>
      </c>
      <c r="H2282" t="s">
        <v>10467</v>
      </c>
      <c r="J2282" t="s">
        <v>13091</v>
      </c>
      <c r="L2282" t="s">
        <v>150</v>
      </c>
      <c r="M2282" t="s">
        <v>113</v>
      </c>
      <c r="R2282" t="s">
        <v>13092</v>
      </c>
      <c r="W2282" t="s">
        <v>13089</v>
      </c>
      <c r="X2282" t="s">
        <v>4765</v>
      </c>
      <c r="Y2282" t="s">
        <v>116</v>
      </c>
      <c r="Z2282" t="s">
        <v>117</v>
      </c>
      <c r="AA2282" t="str">
        <f>"14209-1802"</f>
        <v>14209-1802</v>
      </c>
      <c r="AB2282" t="s">
        <v>118</v>
      </c>
      <c r="AC2282" t="s">
        <v>119</v>
      </c>
      <c r="AD2282" t="s">
        <v>113</v>
      </c>
      <c r="AE2282" t="s">
        <v>120</v>
      </c>
      <c r="AG2282" t="s">
        <v>121</v>
      </c>
    </row>
    <row r="2283" spans="1:33" x14ac:dyDescent="0.25">
      <c r="A2283" t="str">
        <f>"1760511976"</f>
        <v>1760511976</v>
      </c>
      <c r="B2283" t="str">
        <f>"01952538"</f>
        <v>01952538</v>
      </c>
      <c r="C2283" t="s">
        <v>13227</v>
      </c>
      <c r="D2283" t="s">
        <v>13228</v>
      </c>
      <c r="E2283" t="s">
        <v>13229</v>
      </c>
      <c r="H2283" t="s">
        <v>13230</v>
      </c>
      <c r="L2283" t="s">
        <v>67</v>
      </c>
      <c r="M2283" t="s">
        <v>113</v>
      </c>
      <c r="R2283" t="s">
        <v>13227</v>
      </c>
      <c r="W2283" t="s">
        <v>13229</v>
      </c>
      <c r="X2283" t="s">
        <v>1459</v>
      </c>
      <c r="Y2283" t="s">
        <v>305</v>
      </c>
      <c r="Z2283" t="s">
        <v>117</v>
      </c>
      <c r="AA2283" t="str">
        <f>"14760-1100"</f>
        <v>14760-1100</v>
      </c>
      <c r="AB2283" t="s">
        <v>291</v>
      </c>
      <c r="AC2283" t="s">
        <v>119</v>
      </c>
      <c r="AD2283" t="s">
        <v>113</v>
      </c>
      <c r="AE2283" t="s">
        <v>120</v>
      </c>
      <c r="AG2283" t="s">
        <v>121</v>
      </c>
    </row>
    <row r="2284" spans="1:33" x14ac:dyDescent="0.25">
      <c r="B2284" t="str">
        <f>"02699136"</f>
        <v>02699136</v>
      </c>
      <c r="C2284" t="s">
        <v>11675</v>
      </c>
      <c r="D2284" t="s">
        <v>11676</v>
      </c>
      <c r="E2284" t="s">
        <v>11675</v>
      </c>
      <c r="F2284">
        <v>160769044</v>
      </c>
      <c r="H2284" t="s">
        <v>1596</v>
      </c>
      <c r="L2284" t="s">
        <v>69</v>
      </c>
      <c r="M2284" t="s">
        <v>199</v>
      </c>
      <c r="W2284" t="s">
        <v>11675</v>
      </c>
      <c r="X2284" t="s">
        <v>11666</v>
      </c>
      <c r="Y2284" t="s">
        <v>116</v>
      </c>
      <c r="Z2284" t="s">
        <v>117</v>
      </c>
      <c r="AA2284" t="str">
        <f>"14214"</f>
        <v>14214</v>
      </c>
      <c r="AB2284" t="s">
        <v>291</v>
      </c>
      <c r="AC2284" t="s">
        <v>119</v>
      </c>
      <c r="AD2284" t="s">
        <v>113</v>
      </c>
      <c r="AE2284" t="s">
        <v>120</v>
      </c>
      <c r="AG2284" t="s">
        <v>121</v>
      </c>
    </row>
    <row r="2285" spans="1:33" x14ac:dyDescent="0.25">
      <c r="A2285" t="str">
        <f>"1285692657"</f>
        <v>1285692657</v>
      </c>
      <c r="B2285" t="str">
        <f>"02347060"</f>
        <v>02347060</v>
      </c>
      <c r="C2285" t="s">
        <v>13099</v>
      </c>
      <c r="D2285" t="s">
        <v>13100</v>
      </c>
      <c r="E2285" t="s">
        <v>13101</v>
      </c>
      <c r="L2285" t="s">
        <v>142</v>
      </c>
      <c r="M2285" t="s">
        <v>113</v>
      </c>
      <c r="R2285" t="s">
        <v>13102</v>
      </c>
      <c r="W2285" t="s">
        <v>13101</v>
      </c>
      <c r="X2285" t="s">
        <v>13103</v>
      </c>
      <c r="Y2285" t="s">
        <v>362</v>
      </c>
      <c r="Z2285" t="s">
        <v>117</v>
      </c>
      <c r="AA2285" t="str">
        <f>"14108-1026"</f>
        <v>14108-1026</v>
      </c>
      <c r="AB2285" t="s">
        <v>118</v>
      </c>
      <c r="AC2285" t="s">
        <v>119</v>
      </c>
      <c r="AD2285" t="s">
        <v>113</v>
      </c>
      <c r="AE2285" t="s">
        <v>120</v>
      </c>
      <c r="AG2285" t="s">
        <v>121</v>
      </c>
    </row>
    <row r="2286" spans="1:33" x14ac:dyDescent="0.25">
      <c r="A2286" t="str">
        <f>"1285699744"</f>
        <v>1285699744</v>
      </c>
      <c r="B2286" t="str">
        <f>"00982283"</f>
        <v>00982283</v>
      </c>
      <c r="C2286" t="s">
        <v>13104</v>
      </c>
      <c r="D2286" t="s">
        <v>13105</v>
      </c>
      <c r="E2286" t="s">
        <v>13106</v>
      </c>
      <c r="G2286" t="s">
        <v>13107</v>
      </c>
      <c r="H2286" t="s">
        <v>13108</v>
      </c>
      <c r="J2286" t="s">
        <v>13109</v>
      </c>
      <c r="L2286" t="s">
        <v>142</v>
      </c>
      <c r="M2286" t="s">
        <v>113</v>
      </c>
      <c r="R2286" t="s">
        <v>13110</v>
      </c>
      <c r="W2286" t="s">
        <v>13106</v>
      </c>
      <c r="X2286" t="s">
        <v>13111</v>
      </c>
      <c r="Y2286" t="s">
        <v>1312</v>
      </c>
      <c r="Z2286" t="s">
        <v>117</v>
      </c>
      <c r="AA2286" t="str">
        <f>"14226-4548"</f>
        <v>14226-4548</v>
      </c>
      <c r="AB2286" t="s">
        <v>118</v>
      </c>
      <c r="AC2286" t="s">
        <v>119</v>
      </c>
      <c r="AD2286" t="s">
        <v>113</v>
      </c>
      <c r="AE2286" t="s">
        <v>120</v>
      </c>
      <c r="AG2286" t="s">
        <v>121</v>
      </c>
    </row>
    <row r="2287" spans="1:33" x14ac:dyDescent="0.25">
      <c r="A2287" t="str">
        <f>"1285722462"</f>
        <v>1285722462</v>
      </c>
      <c r="B2287" t="str">
        <f>"02089201"</f>
        <v>02089201</v>
      </c>
      <c r="C2287" t="s">
        <v>13112</v>
      </c>
      <c r="D2287" t="s">
        <v>13113</v>
      </c>
      <c r="E2287" t="s">
        <v>13114</v>
      </c>
      <c r="G2287" t="s">
        <v>13112</v>
      </c>
      <c r="H2287" t="s">
        <v>272</v>
      </c>
      <c r="J2287" t="s">
        <v>13115</v>
      </c>
      <c r="L2287" t="s">
        <v>150</v>
      </c>
      <c r="M2287" t="s">
        <v>199</v>
      </c>
      <c r="R2287" t="s">
        <v>13116</v>
      </c>
      <c r="W2287" t="s">
        <v>13114</v>
      </c>
      <c r="X2287" t="s">
        <v>966</v>
      </c>
      <c r="Y2287" t="s">
        <v>116</v>
      </c>
      <c r="Z2287" t="s">
        <v>117</v>
      </c>
      <c r="AA2287" t="str">
        <f>"14207-1816"</f>
        <v>14207-1816</v>
      </c>
      <c r="AB2287" t="s">
        <v>118</v>
      </c>
      <c r="AC2287" t="s">
        <v>119</v>
      </c>
      <c r="AD2287" t="s">
        <v>113</v>
      </c>
      <c r="AE2287" t="s">
        <v>120</v>
      </c>
      <c r="AG2287" t="s">
        <v>121</v>
      </c>
    </row>
    <row r="2288" spans="1:33" x14ac:dyDescent="0.25">
      <c r="A2288" t="str">
        <f>"1285730432"</f>
        <v>1285730432</v>
      </c>
      <c r="C2288" t="s">
        <v>13117</v>
      </c>
      <c r="G2288" t="s">
        <v>13118</v>
      </c>
      <c r="H2288" t="s">
        <v>351</v>
      </c>
      <c r="J2288" t="s">
        <v>352</v>
      </c>
      <c r="K2288" t="s">
        <v>303</v>
      </c>
      <c r="L2288" t="s">
        <v>229</v>
      </c>
      <c r="M2288" t="s">
        <v>113</v>
      </c>
      <c r="R2288" t="s">
        <v>13119</v>
      </c>
      <c r="S2288" t="s">
        <v>1091</v>
      </c>
      <c r="T2288" t="s">
        <v>116</v>
      </c>
      <c r="U2288" t="s">
        <v>117</v>
      </c>
      <c r="V2288" t="str">
        <f>"142072341"</f>
        <v>142072341</v>
      </c>
      <c r="AC2288" t="s">
        <v>119</v>
      </c>
      <c r="AD2288" t="s">
        <v>113</v>
      </c>
      <c r="AE2288" t="s">
        <v>306</v>
      </c>
      <c r="AG2288" t="s">
        <v>121</v>
      </c>
    </row>
    <row r="2289" spans="1:33" x14ac:dyDescent="0.25">
      <c r="A2289" t="str">
        <f>"1306052113"</f>
        <v>1306052113</v>
      </c>
      <c r="C2289" t="s">
        <v>3490</v>
      </c>
      <c r="G2289" t="s">
        <v>13120</v>
      </c>
      <c r="H2289" t="s">
        <v>3494</v>
      </c>
      <c r="J2289" t="s">
        <v>3495</v>
      </c>
      <c r="K2289" t="s">
        <v>303</v>
      </c>
      <c r="L2289" t="s">
        <v>229</v>
      </c>
      <c r="M2289" t="s">
        <v>113</v>
      </c>
      <c r="R2289" t="s">
        <v>3490</v>
      </c>
      <c r="S2289" t="s">
        <v>253</v>
      </c>
      <c r="T2289" t="s">
        <v>116</v>
      </c>
      <c r="U2289" t="s">
        <v>117</v>
      </c>
      <c r="V2289" t="str">
        <f>"142153021"</f>
        <v>142153021</v>
      </c>
      <c r="AC2289" t="s">
        <v>119</v>
      </c>
      <c r="AD2289" t="s">
        <v>113</v>
      </c>
      <c r="AE2289" t="s">
        <v>306</v>
      </c>
      <c r="AG2289" t="s">
        <v>121</v>
      </c>
    </row>
    <row r="2290" spans="1:33" x14ac:dyDescent="0.25">
      <c r="A2290" t="str">
        <f>"1306072020"</f>
        <v>1306072020</v>
      </c>
      <c r="B2290" t="str">
        <f>"03809125"</f>
        <v>03809125</v>
      </c>
      <c r="C2290" t="s">
        <v>13121</v>
      </c>
      <c r="D2290" t="s">
        <v>13122</v>
      </c>
      <c r="E2290" t="s">
        <v>13123</v>
      </c>
      <c r="G2290" t="s">
        <v>13124</v>
      </c>
      <c r="H2290" t="s">
        <v>1071</v>
      </c>
      <c r="J2290" t="s">
        <v>13125</v>
      </c>
      <c r="L2290" t="s">
        <v>112</v>
      </c>
      <c r="M2290" t="s">
        <v>113</v>
      </c>
      <c r="R2290" t="s">
        <v>13126</v>
      </c>
      <c r="W2290" t="s">
        <v>13123</v>
      </c>
      <c r="X2290" t="s">
        <v>474</v>
      </c>
      <c r="Y2290" t="s">
        <v>116</v>
      </c>
      <c r="Z2290" t="s">
        <v>117</v>
      </c>
      <c r="AA2290" t="str">
        <f>"14214-1316"</f>
        <v>14214-1316</v>
      </c>
      <c r="AB2290" t="s">
        <v>621</v>
      </c>
      <c r="AC2290" t="s">
        <v>119</v>
      </c>
      <c r="AD2290" t="s">
        <v>113</v>
      </c>
      <c r="AE2290" t="s">
        <v>120</v>
      </c>
      <c r="AG2290" t="s">
        <v>121</v>
      </c>
    </row>
    <row r="2291" spans="1:33" x14ac:dyDescent="0.25">
      <c r="A2291" t="str">
        <f>"1306088190"</f>
        <v>1306088190</v>
      </c>
      <c r="B2291" t="str">
        <f>"03512838"</f>
        <v>03512838</v>
      </c>
      <c r="C2291" t="s">
        <v>13127</v>
      </c>
      <c r="D2291" t="s">
        <v>13128</v>
      </c>
      <c r="E2291" t="s">
        <v>13129</v>
      </c>
      <c r="G2291" t="s">
        <v>13127</v>
      </c>
      <c r="H2291" t="s">
        <v>572</v>
      </c>
      <c r="J2291" t="s">
        <v>13130</v>
      </c>
      <c r="L2291" t="s">
        <v>150</v>
      </c>
      <c r="M2291" t="s">
        <v>113</v>
      </c>
      <c r="R2291" t="s">
        <v>13129</v>
      </c>
      <c r="W2291" t="s">
        <v>13129</v>
      </c>
      <c r="X2291" t="s">
        <v>13131</v>
      </c>
      <c r="Y2291" t="s">
        <v>348</v>
      </c>
      <c r="Z2291" t="s">
        <v>117</v>
      </c>
      <c r="AA2291" t="str">
        <f>"14043-4776"</f>
        <v>14043-4776</v>
      </c>
      <c r="AB2291" t="s">
        <v>118</v>
      </c>
      <c r="AC2291" t="s">
        <v>119</v>
      </c>
      <c r="AD2291" t="s">
        <v>113</v>
      </c>
      <c r="AE2291" t="s">
        <v>120</v>
      </c>
      <c r="AG2291" t="s">
        <v>121</v>
      </c>
    </row>
    <row r="2292" spans="1:33" x14ac:dyDescent="0.25">
      <c r="A2292" t="str">
        <f>"1306088745"</f>
        <v>1306088745</v>
      </c>
      <c r="B2292" t="str">
        <f>"03457985"</f>
        <v>03457985</v>
      </c>
      <c r="C2292" t="s">
        <v>13132</v>
      </c>
      <c r="D2292" t="s">
        <v>13133</v>
      </c>
      <c r="E2292" t="s">
        <v>13134</v>
      </c>
      <c r="G2292" t="s">
        <v>13132</v>
      </c>
      <c r="H2292" t="s">
        <v>1964</v>
      </c>
      <c r="J2292" t="s">
        <v>13135</v>
      </c>
      <c r="L2292" t="s">
        <v>142</v>
      </c>
      <c r="M2292" t="s">
        <v>113</v>
      </c>
      <c r="R2292" t="s">
        <v>13136</v>
      </c>
      <c r="W2292" t="s">
        <v>13134</v>
      </c>
      <c r="X2292" t="s">
        <v>1727</v>
      </c>
      <c r="Y2292" t="s">
        <v>192</v>
      </c>
      <c r="Z2292" t="s">
        <v>117</v>
      </c>
      <c r="AA2292" t="str">
        <f>"14020-1631"</f>
        <v>14020-1631</v>
      </c>
      <c r="AB2292" t="s">
        <v>118</v>
      </c>
      <c r="AC2292" t="s">
        <v>119</v>
      </c>
      <c r="AD2292" t="s">
        <v>113</v>
      </c>
      <c r="AE2292" t="s">
        <v>120</v>
      </c>
      <c r="AG2292" t="s">
        <v>121</v>
      </c>
    </row>
    <row r="2293" spans="1:33" x14ac:dyDescent="0.25">
      <c r="A2293" t="str">
        <f>"1306092556"</f>
        <v>1306092556</v>
      </c>
      <c r="B2293" t="str">
        <f>"03454946"</f>
        <v>03454946</v>
      </c>
      <c r="C2293" t="s">
        <v>13137</v>
      </c>
      <c r="D2293" t="s">
        <v>13138</v>
      </c>
      <c r="E2293" t="s">
        <v>13139</v>
      </c>
      <c r="G2293" t="s">
        <v>13137</v>
      </c>
      <c r="H2293" t="s">
        <v>13140</v>
      </c>
      <c r="J2293" t="s">
        <v>13141</v>
      </c>
      <c r="L2293" t="s">
        <v>1033</v>
      </c>
      <c r="M2293" t="s">
        <v>199</v>
      </c>
      <c r="R2293" t="s">
        <v>13142</v>
      </c>
      <c r="W2293" t="s">
        <v>13139</v>
      </c>
      <c r="X2293" t="s">
        <v>13143</v>
      </c>
      <c r="Y2293" t="s">
        <v>116</v>
      </c>
      <c r="Z2293" t="s">
        <v>117</v>
      </c>
      <c r="AA2293" t="str">
        <f>"14215-3021"</f>
        <v>14215-3021</v>
      </c>
      <c r="AB2293" t="s">
        <v>118</v>
      </c>
      <c r="AC2293" t="s">
        <v>119</v>
      </c>
      <c r="AD2293" t="s">
        <v>113</v>
      </c>
      <c r="AE2293" t="s">
        <v>120</v>
      </c>
      <c r="AG2293" t="s">
        <v>121</v>
      </c>
    </row>
    <row r="2294" spans="1:33" x14ac:dyDescent="0.25">
      <c r="A2294" t="str">
        <f>"1306095468"</f>
        <v>1306095468</v>
      </c>
      <c r="B2294" t="str">
        <f>"03251301"</f>
        <v>03251301</v>
      </c>
      <c r="C2294" t="s">
        <v>13144</v>
      </c>
      <c r="D2294" t="s">
        <v>13145</v>
      </c>
      <c r="E2294" t="s">
        <v>13146</v>
      </c>
      <c r="G2294" t="s">
        <v>13144</v>
      </c>
      <c r="H2294" t="s">
        <v>2186</v>
      </c>
      <c r="J2294" t="s">
        <v>13147</v>
      </c>
      <c r="L2294" t="s">
        <v>150</v>
      </c>
      <c r="M2294" t="s">
        <v>199</v>
      </c>
      <c r="R2294" t="s">
        <v>13148</v>
      </c>
      <c r="W2294" t="s">
        <v>13146</v>
      </c>
      <c r="X2294" t="s">
        <v>4765</v>
      </c>
      <c r="Y2294" t="s">
        <v>116</v>
      </c>
      <c r="Z2294" t="s">
        <v>117</v>
      </c>
      <c r="AA2294" t="str">
        <f>"14209-1802"</f>
        <v>14209-1802</v>
      </c>
      <c r="AB2294" t="s">
        <v>118</v>
      </c>
      <c r="AC2294" t="s">
        <v>119</v>
      </c>
      <c r="AD2294" t="s">
        <v>113</v>
      </c>
      <c r="AE2294" t="s">
        <v>120</v>
      </c>
      <c r="AG2294" t="s">
        <v>121</v>
      </c>
    </row>
    <row r="2295" spans="1:33" x14ac:dyDescent="0.25">
      <c r="A2295" t="str">
        <f>"1306100896"</f>
        <v>1306100896</v>
      </c>
      <c r="B2295" t="str">
        <f>"03580325"</f>
        <v>03580325</v>
      </c>
      <c r="C2295" t="s">
        <v>13149</v>
      </c>
      <c r="D2295" t="s">
        <v>13150</v>
      </c>
      <c r="E2295" t="s">
        <v>13151</v>
      </c>
      <c r="G2295" t="s">
        <v>13149</v>
      </c>
      <c r="J2295" t="s">
        <v>13152</v>
      </c>
      <c r="L2295" t="s">
        <v>112</v>
      </c>
      <c r="M2295" t="s">
        <v>113</v>
      </c>
      <c r="R2295" t="s">
        <v>13151</v>
      </c>
      <c r="W2295" t="s">
        <v>13151</v>
      </c>
      <c r="X2295" t="s">
        <v>253</v>
      </c>
      <c r="Y2295" t="s">
        <v>116</v>
      </c>
      <c r="Z2295" t="s">
        <v>117</v>
      </c>
      <c r="AA2295" t="str">
        <f>"14215-3021"</f>
        <v>14215-3021</v>
      </c>
      <c r="AB2295" t="s">
        <v>118</v>
      </c>
      <c r="AC2295" t="s">
        <v>119</v>
      </c>
      <c r="AD2295" t="s">
        <v>113</v>
      </c>
      <c r="AE2295" t="s">
        <v>120</v>
      </c>
      <c r="AG2295" t="s">
        <v>121</v>
      </c>
    </row>
    <row r="2296" spans="1:33" x14ac:dyDescent="0.25">
      <c r="A2296" t="str">
        <f>"1306118732"</f>
        <v>1306118732</v>
      </c>
      <c r="C2296" t="s">
        <v>13153</v>
      </c>
      <c r="G2296" t="s">
        <v>13154</v>
      </c>
      <c r="H2296" t="s">
        <v>590</v>
      </c>
      <c r="J2296" t="s">
        <v>13155</v>
      </c>
      <c r="K2296" t="s">
        <v>303</v>
      </c>
      <c r="L2296" t="s">
        <v>112</v>
      </c>
      <c r="M2296" t="s">
        <v>113</v>
      </c>
      <c r="R2296" t="s">
        <v>13156</v>
      </c>
      <c r="S2296" t="s">
        <v>13157</v>
      </c>
      <c r="T2296" t="s">
        <v>1257</v>
      </c>
      <c r="U2296" t="s">
        <v>117</v>
      </c>
      <c r="V2296" t="str">
        <f>"141411375"</f>
        <v>141411375</v>
      </c>
      <c r="AC2296" t="s">
        <v>119</v>
      </c>
      <c r="AD2296" t="s">
        <v>113</v>
      </c>
      <c r="AE2296" t="s">
        <v>306</v>
      </c>
      <c r="AG2296" t="s">
        <v>121</v>
      </c>
    </row>
    <row r="2297" spans="1:33" x14ac:dyDescent="0.25">
      <c r="A2297" t="str">
        <f>"1336100551"</f>
        <v>1336100551</v>
      </c>
      <c r="B2297" t="str">
        <f>"01182512"</f>
        <v>01182512</v>
      </c>
      <c r="C2297" t="s">
        <v>9177</v>
      </c>
      <c r="D2297" t="s">
        <v>9178</v>
      </c>
      <c r="E2297" t="s">
        <v>9179</v>
      </c>
      <c r="H2297" t="s">
        <v>9180</v>
      </c>
      <c r="L2297" t="s">
        <v>19</v>
      </c>
      <c r="M2297" t="s">
        <v>113</v>
      </c>
      <c r="R2297" t="s">
        <v>9177</v>
      </c>
      <c r="W2297" t="s">
        <v>9181</v>
      </c>
      <c r="X2297" t="s">
        <v>9182</v>
      </c>
      <c r="Y2297" t="s">
        <v>9183</v>
      </c>
      <c r="Z2297" t="s">
        <v>117</v>
      </c>
      <c r="AA2297" t="str">
        <f>"14086-9523"</f>
        <v>14086-9523</v>
      </c>
      <c r="AB2297" t="s">
        <v>282</v>
      </c>
      <c r="AC2297" t="s">
        <v>119</v>
      </c>
      <c r="AD2297" t="s">
        <v>113</v>
      </c>
      <c r="AE2297" t="s">
        <v>120</v>
      </c>
      <c r="AG2297" t="s">
        <v>121</v>
      </c>
    </row>
    <row r="2298" spans="1:33" x14ac:dyDescent="0.25">
      <c r="A2298" t="str">
        <f>"1306142989"</f>
        <v>1306142989</v>
      </c>
      <c r="C2298" t="s">
        <v>13163</v>
      </c>
      <c r="G2298" t="s">
        <v>13164</v>
      </c>
      <c r="J2298" t="s">
        <v>352</v>
      </c>
      <c r="K2298" t="s">
        <v>303</v>
      </c>
      <c r="L2298" t="s">
        <v>112</v>
      </c>
      <c r="M2298" t="s">
        <v>113</v>
      </c>
      <c r="R2298" t="s">
        <v>13165</v>
      </c>
      <c r="S2298" t="s">
        <v>13166</v>
      </c>
      <c r="T2298" t="s">
        <v>145</v>
      </c>
      <c r="U2298" t="s">
        <v>117</v>
      </c>
      <c r="V2298" t="str">
        <f>"140511427"</f>
        <v>140511427</v>
      </c>
      <c r="AC2298" t="s">
        <v>119</v>
      </c>
      <c r="AD2298" t="s">
        <v>113</v>
      </c>
      <c r="AE2298" t="s">
        <v>306</v>
      </c>
      <c r="AG2298" t="s">
        <v>121</v>
      </c>
    </row>
    <row r="2299" spans="1:33" x14ac:dyDescent="0.25">
      <c r="A2299" t="str">
        <f>"1306144712"</f>
        <v>1306144712</v>
      </c>
      <c r="C2299" t="s">
        <v>13167</v>
      </c>
      <c r="G2299" t="s">
        <v>13168</v>
      </c>
      <c r="H2299" t="s">
        <v>1115</v>
      </c>
      <c r="J2299" t="s">
        <v>438</v>
      </c>
      <c r="K2299" t="s">
        <v>303</v>
      </c>
      <c r="L2299" t="s">
        <v>112</v>
      </c>
      <c r="M2299" t="s">
        <v>113</v>
      </c>
      <c r="R2299" t="s">
        <v>13169</v>
      </c>
      <c r="S2299" t="s">
        <v>1994</v>
      </c>
      <c r="T2299" t="s">
        <v>116</v>
      </c>
      <c r="U2299" t="s">
        <v>117</v>
      </c>
      <c r="V2299" t="str">
        <f>"142041811"</f>
        <v>142041811</v>
      </c>
      <c r="AC2299" t="s">
        <v>119</v>
      </c>
      <c r="AD2299" t="s">
        <v>113</v>
      </c>
      <c r="AE2299" t="s">
        <v>306</v>
      </c>
      <c r="AG2299" t="s">
        <v>121</v>
      </c>
    </row>
    <row r="2300" spans="1:33" x14ac:dyDescent="0.25">
      <c r="A2300" t="str">
        <f>"1306160734"</f>
        <v>1306160734</v>
      </c>
      <c r="B2300" t="str">
        <f>"03906567"</f>
        <v>03906567</v>
      </c>
      <c r="C2300" t="s">
        <v>13170</v>
      </c>
      <c r="D2300" t="s">
        <v>13171</v>
      </c>
      <c r="E2300" t="s">
        <v>13172</v>
      </c>
      <c r="G2300" t="s">
        <v>13173</v>
      </c>
      <c r="J2300" t="s">
        <v>352</v>
      </c>
      <c r="L2300" t="s">
        <v>229</v>
      </c>
      <c r="M2300" t="s">
        <v>113</v>
      </c>
      <c r="R2300" t="s">
        <v>13174</v>
      </c>
      <c r="W2300" t="s">
        <v>13172</v>
      </c>
      <c r="X2300" t="s">
        <v>13175</v>
      </c>
      <c r="Y2300" t="s">
        <v>153</v>
      </c>
      <c r="Z2300" t="s">
        <v>117</v>
      </c>
      <c r="AA2300" t="str">
        <f>"14301-2232"</f>
        <v>14301-2232</v>
      </c>
      <c r="AB2300" t="s">
        <v>621</v>
      </c>
      <c r="AC2300" t="s">
        <v>119</v>
      </c>
      <c r="AD2300" t="s">
        <v>113</v>
      </c>
      <c r="AE2300" t="s">
        <v>120</v>
      </c>
      <c r="AG2300" t="s">
        <v>121</v>
      </c>
    </row>
    <row r="2301" spans="1:33" x14ac:dyDescent="0.25">
      <c r="A2301" t="str">
        <f>"1306171079"</f>
        <v>1306171079</v>
      </c>
      <c r="C2301" t="s">
        <v>13176</v>
      </c>
      <c r="G2301" t="s">
        <v>13176</v>
      </c>
      <c r="H2301" t="s">
        <v>590</v>
      </c>
      <c r="J2301" t="s">
        <v>13177</v>
      </c>
      <c r="K2301" t="s">
        <v>303</v>
      </c>
      <c r="L2301" t="s">
        <v>229</v>
      </c>
      <c r="M2301" t="s">
        <v>113</v>
      </c>
      <c r="R2301" t="s">
        <v>13178</v>
      </c>
      <c r="S2301" t="s">
        <v>3004</v>
      </c>
      <c r="T2301" t="s">
        <v>116</v>
      </c>
      <c r="U2301" t="s">
        <v>117</v>
      </c>
      <c r="V2301" t="str">
        <f>"142092111"</f>
        <v>142092111</v>
      </c>
      <c r="AC2301" t="s">
        <v>119</v>
      </c>
      <c r="AD2301" t="s">
        <v>113</v>
      </c>
      <c r="AE2301" t="s">
        <v>306</v>
      </c>
      <c r="AG2301" t="s">
        <v>121</v>
      </c>
    </row>
    <row r="2302" spans="1:33" x14ac:dyDescent="0.25">
      <c r="A2302" t="str">
        <f>"1306181524"</f>
        <v>1306181524</v>
      </c>
      <c r="B2302" t="str">
        <f>"03553115"</f>
        <v>03553115</v>
      </c>
      <c r="C2302" t="s">
        <v>13179</v>
      </c>
      <c r="D2302" t="s">
        <v>13180</v>
      </c>
      <c r="E2302" t="s">
        <v>13181</v>
      </c>
      <c r="G2302" t="s">
        <v>13179</v>
      </c>
      <c r="J2302" t="s">
        <v>13182</v>
      </c>
      <c r="L2302" t="s">
        <v>112</v>
      </c>
      <c r="M2302" t="s">
        <v>113</v>
      </c>
      <c r="R2302" t="s">
        <v>13183</v>
      </c>
      <c r="W2302" t="s">
        <v>13181</v>
      </c>
      <c r="X2302" t="s">
        <v>10332</v>
      </c>
      <c r="Y2302" t="s">
        <v>116</v>
      </c>
      <c r="Z2302" t="s">
        <v>117</v>
      </c>
      <c r="AA2302" t="str">
        <f>"14220-2039"</f>
        <v>14220-2039</v>
      </c>
      <c r="AB2302" t="s">
        <v>118</v>
      </c>
      <c r="AC2302" t="s">
        <v>119</v>
      </c>
      <c r="AD2302" t="s">
        <v>113</v>
      </c>
      <c r="AE2302" t="s">
        <v>120</v>
      </c>
      <c r="AG2302" t="s">
        <v>121</v>
      </c>
    </row>
    <row r="2303" spans="1:33" x14ac:dyDescent="0.25">
      <c r="A2303" t="str">
        <f>"1093786287"</f>
        <v>1093786287</v>
      </c>
      <c r="B2303" t="str">
        <f>"03049649"</f>
        <v>03049649</v>
      </c>
      <c r="C2303" t="s">
        <v>13184</v>
      </c>
      <c r="D2303" t="s">
        <v>13185</v>
      </c>
      <c r="E2303" t="s">
        <v>13186</v>
      </c>
      <c r="G2303" t="s">
        <v>13184</v>
      </c>
      <c r="H2303" t="s">
        <v>1964</v>
      </c>
      <c r="J2303" t="s">
        <v>13187</v>
      </c>
      <c r="L2303" t="s">
        <v>142</v>
      </c>
      <c r="M2303" t="s">
        <v>113</v>
      </c>
      <c r="R2303" t="s">
        <v>13186</v>
      </c>
      <c r="W2303" t="s">
        <v>13186</v>
      </c>
      <c r="X2303" t="s">
        <v>13188</v>
      </c>
      <c r="Y2303" t="s">
        <v>958</v>
      </c>
      <c r="Z2303" t="s">
        <v>117</v>
      </c>
      <c r="AA2303" t="str">
        <f>"14228-2302"</f>
        <v>14228-2302</v>
      </c>
      <c r="AB2303" t="s">
        <v>118</v>
      </c>
      <c r="AC2303" t="s">
        <v>119</v>
      </c>
      <c r="AD2303" t="s">
        <v>113</v>
      </c>
      <c r="AE2303" t="s">
        <v>120</v>
      </c>
      <c r="AG2303" t="s">
        <v>121</v>
      </c>
    </row>
    <row r="2304" spans="1:33" x14ac:dyDescent="0.25">
      <c r="A2304" t="str">
        <f>"1649276189"</f>
        <v>1649276189</v>
      </c>
      <c r="B2304" t="str">
        <f>"01218271"</f>
        <v>01218271</v>
      </c>
      <c r="C2304" t="s">
        <v>13189</v>
      </c>
      <c r="D2304" t="s">
        <v>13190</v>
      </c>
      <c r="E2304" t="s">
        <v>13191</v>
      </c>
      <c r="G2304" t="s">
        <v>13189</v>
      </c>
      <c r="H2304" t="s">
        <v>13192</v>
      </c>
      <c r="J2304" t="s">
        <v>13193</v>
      </c>
      <c r="L2304" t="s">
        <v>150</v>
      </c>
      <c r="M2304" t="s">
        <v>113</v>
      </c>
      <c r="R2304" t="s">
        <v>13194</v>
      </c>
      <c r="W2304" t="s">
        <v>13191</v>
      </c>
      <c r="X2304" t="s">
        <v>11948</v>
      </c>
      <c r="Y2304" t="s">
        <v>116</v>
      </c>
      <c r="Z2304" t="s">
        <v>117</v>
      </c>
      <c r="AA2304" t="str">
        <f>"14209-1120"</f>
        <v>14209-1120</v>
      </c>
      <c r="AB2304" t="s">
        <v>118</v>
      </c>
      <c r="AC2304" t="s">
        <v>119</v>
      </c>
      <c r="AD2304" t="s">
        <v>113</v>
      </c>
      <c r="AE2304" t="s">
        <v>120</v>
      </c>
      <c r="AG2304" t="s">
        <v>121</v>
      </c>
    </row>
    <row r="2305" spans="1:33" x14ac:dyDescent="0.25">
      <c r="A2305" t="str">
        <f>"1760471072"</f>
        <v>1760471072</v>
      </c>
      <c r="B2305" t="str">
        <f>"01885116"</f>
        <v>01885116</v>
      </c>
      <c r="C2305" t="s">
        <v>13195</v>
      </c>
      <c r="D2305" t="s">
        <v>13196</v>
      </c>
      <c r="E2305" t="s">
        <v>13197</v>
      </c>
      <c r="G2305" t="s">
        <v>13195</v>
      </c>
      <c r="H2305" t="s">
        <v>13198</v>
      </c>
      <c r="J2305" t="s">
        <v>13199</v>
      </c>
      <c r="L2305" t="s">
        <v>142</v>
      </c>
      <c r="M2305" t="s">
        <v>113</v>
      </c>
      <c r="R2305" t="s">
        <v>13200</v>
      </c>
      <c r="W2305" t="s">
        <v>13197</v>
      </c>
      <c r="X2305" t="s">
        <v>1648</v>
      </c>
      <c r="Y2305" t="s">
        <v>116</v>
      </c>
      <c r="Z2305" t="s">
        <v>117</v>
      </c>
      <c r="AA2305" t="str">
        <f>"14214-2648"</f>
        <v>14214-2648</v>
      </c>
      <c r="AB2305" t="s">
        <v>118</v>
      </c>
      <c r="AC2305" t="s">
        <v>119</v>
      </c>
      <c r="AD2305" t="s">
        <v>113</v>
      </c>
      <c r="AE2305" t="s">
        <v>120</v>
      </c>
      <c r="AG2305" t="s">
        <v>121</v>
      </c>
    </row>
    <row r="2306" spans="1:33" x14ac:dyDescent="0.25">
      <c r="A2306" t="str">
        <f>"1760478457"</f>
        <v>1760478457</v>
      </c>
      <c r="B2306" t="str">
        <f>"02195215"</f>
        <v>02195215</v>
      </c>
      <c r="C2306" t="s">
        <v>13201</v>
      </c>
      <c r="D2306" t="s">
        <v>13202</v>
      </c>
      <c r="E2306" t="s">
        <v>13203</v>
      </c>
      <c r="G2306" t="s">
        <v>13204</v>
      </c>
      <c r="H2306" t="s">
        <v>13205</v>
      </c>
      <c r="J2306" t="s">
        <v>13206</v>
      </c>
      <c r="L2306" t="s">
        <v>142</v>
      </c>
      <c r="M2306" t="s">
        <v>113</v>
      </c>
      <c r="R2306" t="s">
        <v>13207</v>
      </c>
      <c r="W2306" t="s">
        <v>13208</v>
      </c>
      <c r="X2306" t="s">
        <v>13209</v>
      </c>
      <c r="Y2306" t="s">
        <v>13210</v>
      </c>
      <c r="Z2306" t="s">
        <v>117</v>
      </c>
      <c r="AA2306" t="str">
        <f>"13066-6637"</f>
        <v>13066-6637</v>
      </c>
      <c r="AB2306" t="s">
        <v>118</v>
      </c>
      <c r="AC2306" t="s">
        <v>119</v>
      </c>
      <c r="AD2306" t="s">
        <v>113</v>
      </c>
      <c r="AE2306" t="s">
        <v>120</v>
      </c>
      <c r="AG2306" t="s">
        <v>121</v>
      </c>
    </row>
    <row r="2307" spans="1:33" x14ac:dyDescent="0.25">
      <c r="A2307" t="str">
        <f>"1760489736"</f>
        <v>1760489736</v>
      </c>
      <c r="B2307" t="str">
        <f>"02628251"</f>
        <v>02628251</v>
      </c>
      <c r="C2307" t="s">
        <v>13211</v>
      </c>
      <c r="D2307" t="s">
        <v>13212</v>
      </c>
      <c r="E2307" t="s">
        <v>13213</v>
      </c>
      <c r="G2307" t="s">
        <v>13211</v>
      </c>
      <c r="H2307" t="s">
        <v>13214</v>
      </c>
      <c r="J2307" t="s">
        <v>13215</v>
      </c>
      <c r="L2307" t="s">
        <v>142</v>
      </c>
      <c r="M2307" t="s">
        <v>113</v>
      </c>
      <c r="R2307" t="s">
        <v>13216</v>
      </c>
      <c r="W2307" t="s">
        <v>13213</v>
      </c>
      <c r="X2307" t="s">
        <v>152</v>
      </c>
      <c r="Y2307" t="s">
        <v>153</v>
      </c>
      <c r="Z2307" t="s">
        <v>117</v>
      </c>
      <c r="AA2307" t="str">
        <f>"14301-1813"</f>
        <v>14301-1813</v>
      </c>
      <c r="AB2307" t="s">
        <v>118</v>
      </c>
      <c r="AC2307" t="s">
        <v>119</v>
      </c>
      <c r="AD2307" t="s">
        <v>113</v>
      </c>
      <c r="AE2307" t="s">
        <v>120</v>
      </c>
      <c r="AG2307" t="s">
        <v>121</v>
      </c>
    </row>
    <row r="2308" spans="1:33" x14ac:dyDescent="0.25">
      <c r="A2308" t="str">
        <f>"1760489975"</f>
        <v>1760489975</v>
      </c>
      <c r="B2308" t="str">
        <f>"01480419"</f>
        <v>01480419</v>
      </c>
      <c r="C2308" t="s">
        <v>13217</v>
      </c>
      <c r="D2308" t="s">
        <v>13218</v>
      </c>
      <c r="E2308" t="s">
        <v>13219</v>
      </c>
      <c r="G2308" t="s">
        <v>196</v>
      </c>
      <c r="H2308" t="s">
        <v>197</v>
      </c>
      <c r="I2308">
        <v>214</v>
      </c>
      <c r="J2308" t="s">
        <v>198</v>
      </c>
      <c r="L2308" t="s">
        <v>150</v>
      </c>
      <c r="M2308" t="s">
        <v>199</v>
      </c>
      <c r="R2308" t="s">
        <v>13220</v>
      </c>
      <c r="W2308" t="s">
        <v>13219</v>
      </c>
      <c r="Y2308" t="s">
        <v>153</v>
      </c>
      <c r="Z2308" t="s">
        <v>117</v>
      </c>
      <c r="AA2308" t="str">
        <f>"14304-3087"</f>
        <v>14304-3087</v>
      </c>
      <c r="AB2308" t="s">
        <v>118</v>
      </c>
      <c r="AC2308" t="s">
        <v>119</v>
      </c>
      <c r="AD2308" t="s">
        <v>113</v>
      </c>
      <c r="AE2308" t="s">
        <v>120</v>
      </c>
      <c r="AG2308" t="s">
        <v>121</v>
      </c>
    </row>
    <row r="2309" spans="1:33" x14ac:dyDescent="0.25">
      <c r="A2309" t="str">
        <f>"1760495824"</f>
        <v>1760495824</v>
      </c>
      <c r="B2309" t="str">
        <f>"02877796"</f>
        <v>02877796</v>
      </c>
      <c r="C2309" t="s">
        <v>13221</v>
      </c>
      <c r="D2309" t="s">
        <v>13222</v>
      </c>
      <c r="E2309" t="s">
        <v>13223</v>
      </c>
      <c r="G2309" t="s">
        <v>13224</v>
      </c>
      <c r="H2309" t="s">
        <v>1196</v>
      </c>
      <c r="J2309" t="s">
        <v>13225</v>
      </c>
      <c r="L2309" t="s">
        <v>142</v>
      </c>
      <c r="M2309" t="s">
        <v>113</v>
      </c>
      <c r="R2309" t="s">
        <v>13226</v>
      </c>
      <c r="W2309" t="s">
        <v>13223</v>
      </c>
      <c r="X2309" t="s">
        <v>3803</v>
      </c>
      <c r="Y2309" t="s">
        <v>129</v>
      </c>
      <c r="Z2309" t="s">
        <v>117</v>
      </c>
      <c r="AA2309" t="str">
        <f>"14224-2654"</f>
        <v>14224-2654</v>
      </c>
      <c r="AB2309" t="s">
        <v>118</v>
      </c>
      <c r="AC2309" t="s">
        <v>119</v>
      </c>
      <c r="AD2309" t="s">
        <v>113</v>
      </c>
      <c r="AE2309" t="s">
        <v>120</v>
      </c>
      <c r="AG2309" t="s">
        <v>121</v>
      </c>
    </row>
    <row r="2310" spans="1:33" x14ac:dyDescent="0.25">
      <c r="A2310" t="str">
        <f>"1013904283"</f>
        <v>1013904283</v>
      </c>
      <c r="B2310" t="str">
        <f>"01323793"</f>
        <v>01323793</v>
      </c>
      <c r="C2310" t="s">
        <v>24824</v>
      </c>
      <c r="D2310" t="s">
        <v>24825</v>
      </c>
      <c r="E2310" t="s">
        <v>24826</v>
      </c>
      <c r="G2310" t="s">
        <v>24717</v>
      </c>
      <c r="H2310" t="s">
        <v>24718</v>
      </c>
      <c r="J2310" t="s">
        <v>24719</v>
      </c>
      <c r="L2310" t="s">
        <v>280</v>
      </c>
      <c r="M2310" t="s">
        <v>199</v>
      </c>
      <c r="R2310" t="s">
        <v>24827</v>
      </c>
      <c r="W2310" t="s">
        <v>24826</v>
      </c>
      <c r="X2310" t="s">
        <v>24828</v>
      </c>
      <c r="Y2310" t="s">
        <v>240</v>
      </c>
      <c r="Z2310" t="s">
        <v>117</v>
      </c>
      <c r="AA2310" t="str">
        <f>"14221-7332"</f>
        <v>14221-7332</v>
      </c>
      <c r="AB2310" t="s">
        <v>282</v>
      </c>
      <c r="AC2310" t="s">
        <v>119</v>
      </c>
      <c r="AD2310" t="s">
        <v>113</v>
      </c>
      <c r="AE2310" t="s">
        <v>120</v>
      </c>
      <c r="AG2310" t="s">
        <v>121</v>
      </c>
    </row>
    <row r="2311" spans="1:33" x14ac:dyDescent="0.25">
      <c r="A2311" t="str">
        <f>"1760513204"</f>
        <v>1760513204</v>
      </c>
      <c r="B2311" t="str">
        <f>"03512374"</f>
        <v>03512374</v>
      </c>
      <c r="C2311" t="s">
        <v>13231</v>
      </c>
      <c r="D2311" t="s">
        <v>13232</v>
      </c>
      <c r="E2311" t="s">
        <v>13233</v>
      </c>
      <c r="G2311" t="s">
        <v>13231</v>
      </c>
      <c r="H2311" t="s">
        <v>13234</v>
      </c>
      <c r="J2311" t="s">
        <v>13235</v>
      </c>
      <c r="L2311" t="s">
        <v>142</v>
      </c>
      <c r="M2311" t="s">
        <v>113</v>
      </c>
      <c r="R2311" t="s">
        <v>13236</v>
      </c>
      <c r="W2311" t="s">
        <v>13233</v>
      </c>
      <c r="X2311" t="s">
        <v>216</v>
      </c>
      <c r="Y2311" t="s">
        <v>116</v>
      </c>
      <c r="Z2311" t="s">
        <v>117</v>
      </c>
      <c r="AA2311" t="str">
        <f>"14222-2006"</f>
        <v>14222-2006</v>
      </c>
      <c r="AB2311" t="s">
        <v>118</v>
      </c>
      <c r="AC2311" t="s">
        <v>119</v>
      </c>
      <c r="AD2311" t="s">
        <v>113</v>
      </c>
      <c r="AE2311" t="s">
        <v>120</v>
      </c>
      <c r="AG2311" t="s">
        <v>121</v>
      </c>
    </row>
    <row r="2312" spans="1:33" x14ac:dyDescent="0.25">
      <c r="A2312" t="str">
        <f>"1760536551"</f>
        <v>1760536551</v>
      </c>
      <c r="B2312" t="str">
        <f>"02890600"</f>
        <v>02890600</v>
      </c>
      <c r="C2312" t="s">
        <v>13237</v>
      </c>
      <c r="D2312" t="s">
        <v>13238</v>
      </c>
      <c r="E2312" t="s">
        <v>13239</v>
      </c>
      <c r="G2312" t="s">
        <v>13240</v>
      </c>
      <c r="H2312" t="s">
        <v>13241</v>
      </c>
      <c r="J2312" t="s">
        <v>13242</v>
      </c>
      <c r="L2312" t="s">
        <v>142</v>
      </c>
      <c r="M2312" t="s">
        <v>113</v>
      </c>
      <c r="R2312" t="s">
        <v>13243</v>
      </c>
      <c r="W2312" t="s">
        <v>13244</v>
      </c>
      <c r="X2312" t="s">
        <v>13245</v>
      </c>
      <c r="Y2312" t="s">
        <v>978</v>
      </c>
      <c r="Z2312" t="s">
        <v>117</v>
      </c>
      <c r="AA2312" t="str">
        <f>"14081-9300"</f>
        <v>14081-9300</v>
      </c>
      <c r="AB2312" t="s">
        <v>634</v>
      </c>
      <c r="AC2312" t="s">
        <v>119</v>
      </c>
      <c r="AD2312" t="s">
        <v>113</v>
      </c>
      <c r="AE2312" t="s">
        <v>120</v>
      </c>
      <c r="AG2312" t="s">
        <v>121</v>
      </c>
    </row>
    <row r="2313" spans="1:33" x14ac:dyDescent="0.25">
      <c r="A2313" t="str">
        <f>"1508821638"</f>
        <v>1508821638</v>
      </c>
      <c r="B2313" t="str">
        <f>"01454104"</f>
        <v>01454104</v>
      </c>
      <c r="C2313" t="s">
        <v>13246</v>
      </c>
      <c r="D2313" t="s">
        <v>13247</v>
      </c>
      <c r="E2313" t="s">
        <v>13248</v>
      </c>
      <c r="G2313" t="s">
        <v>13249</v>
      </c>
      <c r="H2313" t="s">
        <v>13250</v>
      </c>
      <c r="L2313" t="s">
        <v>142</v>
      </c>
      <c r="M2313" t="s">
        <v>113</v>
      </c>
      <c r="R2313" t="s">
        <v>13251</v>
      </c>
      <c r="W2313" t="s">
        <v>13248</v>
      </c>
      <c r="X2313" t="s">
        <v>13252</v>
      </c>
      <c r="Y2313" t="s">
        <v>663</v>
      </c>
      <c r="Z2313" t="s">
        <v>117</v>
      </c>
      <c r="AA2313" t="str">
        <f>"14094-3616"</f>
        <v>14094-3616</v>
      </c>
      <c r="AB2313" t="s">
        <v>118</v>
      </c>
      <c r="AC2313" t="s">
        <v>119</v>
      </c>
      <c r="AD2313" t="s">
        <v>113</v>
      </c>
      <c r="AE2313" t="s">
        <v>120</v>
      </c>
      <c r="AG2313" t="s">
        <v>121</v>
      </c>
    </row>
    <row r="2314" spans="1:33" x14ac:dyDescent="0.25">
      <c r="A2314" t="str">
        <f>"1508826322"</f>
        <v>1508826322</v>
      </c>
      <c r="B2314" t="str">
        <f>"02521740"</f>
        <v>02521740</v>
      </c>
      <c r="C2314" t="s">
        <v>13253</v>
      </c>
      <c r="D2314" t="s">
        <v>13254</v>
      </c>
      <c r="E2314" t="s">
        <v>13255</v>
      </c>
      <c r="G2314" t="s">
        <v>13256</v>
      </c>
      <c r="H2314" t="s">
        <v>579</v>
      </c>
      <c r="J2314" t="s">
        <v>13257</v>
      </c>
      <c r="L2314" t="s">
        <v>142</v>
      </c>
      <c r="M2314" t="s">
        <v>113</v>
      </c>
      <c r="R2314" t="s">
        <v>13258</v>
      </c>
      <c r="W2314" t="s">
        <v>13255</v>
      </c>
      <c r="X2314" t="s">
        <v>13259</v>
      </c>
      <c r="Y2314" t="s">
        <v>153</v>
      </c>
      <c r="Z2314" t="s">
        <v>117</v>
      </c>
      <c r="AA2314" t="str">
        <f>"14301-1813"</f>
        <v>14301-1813</v>
      </c>
      <c r="AB2314" t="s">
        <v>118</v>
      </c>
      <c r="AC2314" t="s">
        <v>119</v>
      </c>
      <c r="AD2314" t="s">
        <v>113</v>
      </c>
      <c r="AE2314" t="s">
        <v>120</v>
      </c>
      <c r="AG2314" t="s">
        <v>121</v>
      </c>
    </row>
    <row r="2315" spans="1:33" x14ac:dyDescent="0.25">
      <c r="A2315" t="str">
        <f>"1508828906"</f>
        <v>1508828906</v>
      </c>
      <c r="B2315" t="str">
        <f>"01086382"</f>
        <v>01086382</v>
      </c>
      <c r="C2315" t="s">
        <v>13260</v>
      </c>
      <c r="D2315" t="s">
        <v>13261</v>
      </c>
      <c r="E2315" t="s">
        <v>13262</v>
      </c>
      <c r="G2315" t="s">
        <v>13260</v>
      </c>
      <c r="H2315" t="s">
        <v>165</v>
      </c>
      <c r="J2315" t="s">
        <v>13263</v>
      </c>
      <c r="L2315" t="s">
        <v>150</v>
      </c>
      <c r="M2315" t="s">
        <v>113</v>
      </c>
      <c r="R2315" t="s">
        <v>13264</v>
      </c>
      <c r="W2315" t="s">
        <v>13262</v>
      </c>
      <c r="X2315" t="s">
        <v>13265</v>
      </c>
      <c r="Y2315" t="s">
        <v>116</v>
      </c>
      <c r="Z2315" t="s">
        <v>117</v>
      </c>
      <c r="AA2315" t="str">
        <f>"14201"</f>
        <v>14201</v>
      </c>
      <c r="AB2315" t="s">
        <v>118</v>
      </c>
      <c r="AC2315" t="s">
        <v>119</v>
      </c>
      <c r="AD2315" t="s">
        <v>113</v>
      </c>
      <c r="AE2315" t="s">
        <v>120</v>
      </c>
      <c r="AG2315" t="s">
        <v>121</v>
      </c>
    </row>
    <row r="2316" spans="1:33" x14ac:dyDescent="0.25">
      <c r="B2316" t="str">
        <f>"02011961"</f>
        <v>02011961</v>
      </c>
      <c r="C2316" t="s">
        <v>1594</v>
      </c>
      <c r="D2316" t="s">
        <v>1595</v>
      </c>
      <c r="E2316" t="s">
        <v>1594</v>
      </c>
      <c r="F2316">
        <v>160769044</v>
      </c>
      <c r="H2316" t="s">
        <v>1596</v>
      </c>
      <c r="L2316" t="s">
        <v>69</v>
      </c>
      <c r="M2316" t="s">
        <v>199</v>
      </c>
      <c r="W2316" t="s">
        <v>1594</v>
      </c>
      <c r="X2316" t="s">
        <v>1597</v>
      </c>
      <c r="Y2316" t="s">
        <v>116</v>
      </c>
      <c r="Z2316" t="s">
        <v>117</v>
      </c>
      <c r="AA2316" t="str">
        <f>"14203-2233"</f>
        <v>14203-2233</v>
      </c>
      <c r="AB2316" t="s">
        <v>291</v>
      </c>
      <c r="AC2316" t="s">
        <v>119</v>
      </c>
      <c r="AD2316" t="s">
        <v>113</v>
      </c>
      <c r="AE2316" t="s">
        <v>120</v>
      </c>
      <c r="AG2316" t="s">
        <v>121</v>
      </c>
    </row>
    <row r="2317" spans="1:33" x14ac:dyDescent="0.25">
      <c r="A2317" t="str">
        <f>"1508838871"</f>
        <v>1508838871</v>
      </c>
      <c r="B2317" t="str">
        <f>"02577360"</f>
        <v>02577360</v>
      </c>
      <c r="C2317" t="s">
        <v>13269</v>
      </c>
      <c r="D2317" t="s">
        <v>13270</v>
      </c>
      <c r="E2317" t="s">
        <v>13271</v>
      </c>
      <c r="G2317" t="s">
        <v>13272</v>
      </c>
      <c r="H2317" t="s">
        <v>3807</v>
      </c>
      <c r="J2317" t="s">
        <v>13273</v>
      </c>
      <c r="L2317" t="s">
        <v>112</v>
      </c>
      <c r="M2317" t="s">
        <v>113</v>
      </c>
      <c r="R2317" t="s">
        <v>13274</v>
      </c>
      <c r="W2317" t="s">
        <v>13271</v>
      </c>
      <c r="X2317" t="s">
        <v>7272</v>
      </c>
      <c r="Y2317" t="s">
        <v>326</v>
      </c>
      <c r="Z2317" t="s">
        <v>117</v>
      </c>
      <c r="AA2317" t="str">
        <f>"14127-1732"</f>
        <v>14127-1732</v>
      </c>
      <c r="AB2317" t="s">
        <v>118</v>
      </c>
      <c r="AC2317" t="s">
        <v>119</v>
      </c>
      <c r="AD2317" t="s">
        <v>113</v>
      </c>
      <c r="AE2317" t="s">
        <v>120</v>
      </c>
      <c r="AG2317" t="s">
        <v>121</v>
      </c>
    </row>
    <row r="2318" spans="1:33" x14ac:dyDescent="0.25">
      <c r="A2318" t="str">
        <f>"1508854688"</f>
        <v>1508854688</v>
      </c>
      <c r="B2318" t="str">
        <f>"01995853"</f>
        <v>01995853</v>
      </c>
      <c r="C2318" t="s">
        <v>13275</v>
      </c>
      <c r="D2318" t="s">
        <v>13276</v>
      </c>
      <c r="E2318" t="s">
        <v>13277</v>
      </c>
      <c r="L2318" t="s">
        <v>142</v>
      </c>
      <c r="M2318" t="s">
        <v>199</v>
      </c>
      <c r="R2318" t="s">
        <v>13278</v>
      </c>
      <c r="W2318" t="s">
        <v>13277</v>
      </c>
      <c r="X2318" t="s">
        <v>13279</v>
      </c>
      <c r="Y2318" t="s">
        <v>663</v>
      </c>
      <c r="Z2318" t="s">
        <v>117</v>
      </c>
      <c r="AA2318" t="str">
        <f>"14094-6317"</f>
        <v>14094-6317</v>
      </c>
      <c r="AB2318" t="s">
        <v>634</v>
      </c>
      <c r="AC2318" t="s">
        <v>119</v>
      </c>
      <c r="AD2318" t="s">
        <v>113</v>
      </c>
      <c r="AE2318" t="s">
        <v>120</v>
      </c>
      <c r="AG2318" t="s">
        <v>121</v>
      </c>
    </row>
    <row r="2319" spans="1:33" x14ac:dyDescent="0.25">
      <c r="A2319" t="str">
        <f>"1508864505"</f>
        <v>1508864505</v>
      </c>
      <c r="B2319" t="str">
        <f>"01023752"</f>
        <v>01023752</v>
      </c>
      <c r="C2319" t="s">
        <v>13280</v>
      </c>
      <c r="D2319" t="s">
        <v>13281</v>
      </c>
      <c r="E2319" t="s">
        <v>13282</v>
      </c>
      <c r="G2319" t="s">
        <v>1203</v>
      </c>
      <c r="H2319" t="s">
        <v>1204</v>
      </c>
      <c r="J2319" t="s">
        <v>1205</v>
      </c>
      <c r="L2319" t="s">
        <v>150</v>
      </c>
      <c r="M2319" t="s">
        <v>113</v>
      </c>
      <c r="R2319" t="s">
        <v>13283</v>
      </c>
      <c r="W2319" t="s">
        <v>13282</v>
      </c>
      <c r="X2319" t="s">
        <v>1207</v>
      </c>
      <c r="Y2319" t="s">
        <v>153</v>
      </c>
      <c r="Z2319" t="s">
        <v>117</v>
      </c>
      <c r="AA2319" t="str">
        <f>"14304-5705"</f>
        <v>14304-5705</v>
      </c>
      <c r="AB2319" t="s">
        <v>118</v>
      </c>
      <c r="AC2319" t="s">
        <v>119</v>
      </c>
      <c r="AD2319" t="s">
        <v>113</v>
      </c>
      <c r="AE2319" t="s">
        <v>120</v>
      </c>
      <c r="AG2319" t="s">
        <v>121</v>
      </c>
    </row>
    <row r="2320" spans="1:33" x14ac:dyDescent="0.25">
      <c r="A2320" t="str">
        <f>"1508865601"</f>
        <v>1508865601</v>
      </c>
      <c r="B2320" t="str">
        <f>"00839478"</f>
        <v>00839478</v>
      </c>
      <c r="C2320" t="s">
        <v>13284</v>
      </c>
      <c r="D2320" t="s">
        <v>13285</v>
      </c>
      <c r="E2320" t="s">
        <v>13286</v>
      </c>
      <c r="G2320" t="s">
        <v>4593</v>
      </c>
      <c r="H2320" t="s">
        <v>4594</v>
      </c>
      <c r="J2320" t="s">
        <v>4595</v>
      </c>
      <c r="L2320" t="s">
        <v>142</v>
      </c>
      <c r="M2320" t="s">
        <v>113</v>
      </c>
      <c r="R2320" t="s">
        <v>13287</v>
      </c>
      <c r="W2320" t="s">
        <v>13288</v>
      </c>
      <c r="X2320" t="s">
        <v>518</v>
      </c>
      <c r="Y2320" t="s">
        <v>305</v>
      </c>
      <c r="Z2320" t="s">
        <v>117</v>
      </c>
      <c r="AA2320" t="str">
        <f>"14760-1500"</f>
        <v>14760-1500</v>
      </c>
      <c r="AB2320" t="s">
        <v>118</v>
      </c>
      <c r="AC2320" t="s">
        <v>119</v>
      </c>
      <c r="AD2320" t="s">
        <v>113</v>
      </c>
      <c r="AE2320" t="s">
        <v>120</v>
      </c>
      <c r="AG2320" t="s">
        <v>121</v>
      </c>
    </row>
    <row r="2321" spans="1:33" x14ac:dyDescent="0.25">
      <c r="A2321" t="str">
        <f>"1508868407"</f>
        <v>1508868407</v>
      </c>
      <c r="C2321" t="s">
        <v>13289</v>
      </c>
      <c r="G2321" t="s">
        <v>13290</v>
      </c>
      <c r="H2321" t="s">
        <v>5969</v>
      </c>
      <c r="I2321">
        <v>112</v>
      </c>
      <c r="J2321" t="s">
        <v>5970</v>
      </c>
      <c r="K2321" t="s">
        <v>303</v>
      </c>
      <c r="L2321" t="s">
        <v>229</v>
      </c>
      <c r="M2321" t="s">
        <v>113</v>
      </c>
      <c r="R2321" t="s">
        <v>13289</v>
      </c>
      <c r="S2321" t="s">
        <v>13291</v>
      </c>
      <c r="T2321" t="s">
        <v>116</v>
      </c>
      <c r="U2321" t="s">
        <v>117</v>
      </c>
      <c r="V2321" t="str">
        <f>"142022016"</f>
        <v>142022016</v>
      </c>
      <c r="AC2321" t="s">
        <v>119</v>
      </c>
      <c r="AD2321" t="s">
        <v>113</v>
      </c>
      <c r="AE2321" t="s">
        <v>306</v>
      </c>
      <c r="AG2321" t="s">
        <v>121</v>
      </c>
    </row>
    <row r="2322" spans="1:33" x14ac:dyDescent="0.25">
      <c r="A2322" t="str">
        <f>"1508873084"</f>
        <v>1508873084</v>
      </c>
      <c r="C2322" t="s">
        <v>13292</v>
      </c>
      <c r="G2322" t="s">
        <v>13293</v>
      </c>
      <c r="H2322" t="s">
        <v>13294</v>
      </c>
      <c r="J2322" t="s">
        <v>13295</v>
      </c>
      <c r="K2322" t="s">
        <v>303</v>
      </c>
      <c r="L2322" t="s">
        <v>229</v>
      </c>
      <c r="M2322" t="s">
        <v>113</v>
      </c>
      <c r="R2322" t="s">
        <v>13296</v>
      </c>
      <c r="S2322" t="s">
        <v>176</v>
      </c>
      <c r="T2322" t="s">
        <v>116</v>
      </c>
      <c r="U2322" t="s">
        <v>117</v>
      </c>
      <c r="V2322" t="str">
        <f>"142031126"</f>
        <v>142031126</v>
      </c>
      <c r="AC2322" t="s">
        <v>119</v>
      </c>
      <c r="AD2322" t="s">
        <v>113</v>
      </c>
      <c r="AE2322" t="s">
        <v>306</v>
      </c>
      <c r="AG2322" t="s">
        <v>121</v>
      </c>
    </row>
    <row r="2323" spans="1:33" x14ac:dyDescent="0.25">
      <c r="A2323" t="str">
        <f>"1508896457"</f>
        <v>1508896457</v>
      </c>
      <c r="B2323" t="str">
        <f>"01371553"</f>
        <v>01371553</v>
      </c>
      <c r="C2323" t="s">
        <v>13297</v>
      </c>
      <c r="D2323" t="s">
        <v>13298</v>
      </c>
      <c r="E2323" t="s">
        <v>13299</v>
      </c>
      <c r="G2323" t="s">
        <v>13300</v>
      </c>
      <c r="H2323" t="s">
        <v>13301</v>
      </c>
      <c r="J2323" t="s">
        <v>13302</v>
      </c>
      <c r="L2323" t="s">
        <v>150</v>
      </c>
      <c r="M2323" t="s">
        <v>113</v>
      </c>
      <c r="R2323" t="s">
        <v>13303</v>
      </c>
      <c r="W2323" t="s">
        <v>13299</v>
      </c>
      <c r="X2323" t="s">
        <v>13304</v>
      </c>
      <c r="Y2323" t="s">
        <v>153</v>
      </c>
      <c r="Z2323" t="s">
        <v>117</v>
      </c>
      <c r="AA2323" t="str">
        <f>"14304-3080"</f>
        <v>14304-3080</v>
      </c>
      <c r="AB2323" t="s">
        <v>118</v>
      </c>
      <c r="AC2323" t="s">
        <v>119</v>
      </c>
      <c r="AD2323" t="s">
        <v>113</v>
      </c>
      <c r="AE2323" t="s">
        <v>120</v>
      </c>
      <c r="AG2323" t="s">
        <v>121</v>
      </c>
    </row>
    <row r="2324" spans="1:33" x14ac:dyDescent="0.25">
      <c r="A2324" t="str">
        <f>"1508898305"</f>
        <v>1508898305</v>
      </c>
      <c r="B2324" t="str">
        <f>"02332410"</f>
        <v>02332410</v>
      </c>
      <c r="C2324" t="s">
        <v>13305</v>
      </c>
      <c r="D2324" t="s">
        <v>13306</v>
      </c>
      <c r="E2324" t="s">
        <v>13307</v>
      </c>
      <c r="G2324" t="s">
        <v>6204</v>
      </c>
      <c r="H2324" t="s">
        <v>4748</v>
      </c>
      <c r="J2324" t="s">
        <v>6205</v>
      </c>
      <c r="L2324" t="s">
        <v>69</v>
      </c>
      <c r="M2324" t="s">
        <v>113</v>
      </c>
      <c r="R2324" t="s">
        <v>13305</v>
      </c>
      <c r="W2324" t="s">
        <v>13305</v>
      </c>
      <c r="X2324" t="s">
        <v>253</v>
      </c>
      <c r="Y2324" t="s">
        <v>116</v>
      </c>
      <c r="Z2324" t="s">
        <v>117</v>
      </c>
      <c r="AA2324" t="str">
        <f>"14215-3021"</f>
        <v>14215-3021</v>
      </c>
      <c r="AB2324" t="s">
        <v>872</v>
      </c>
      <c r="AC2324" t="s">
        <v>119</v>
      </c>
      <c r="AD2324" t="s">
        <v>113</v>
      </c>
      <c r="AE2324" t="s">
        <v>120</v>
      </c>
      <c r="AG2324" t="s">
        <v>121</v>
      </c>
    </row>
    <row r="2325" spans="1:33" x14ac:dyDescent="0.25">
      <c r="A2325" t="str">
        <f>"1508919465"</f>
        <v>1508919465</v>
      </c>
      <c r="B2325" t="str">
        <f>"01363982"</f>
        <v>01363982</v>
      </c>
      <c r="C2325" t="s">
        <v>13308</v>
      </c>
      <c r="D2325" t="s">
        <v>13309</v>
      </c>
      <c r="E2325" t="s">
        <v>13310</v>
      </c>
      <c r="H2325" t="s">
        <v>13311</v>
      </c>
      <c r="L2325" t="s">
        <v>69</v>
      </c>
      <c r="M2325" t="s">
        <v>113</v>
      </c>
      <c r="R2325" t="s">
        <v>13308</v>
      </c>
      <c r="W2325" t="s">
        <v>13310</v>
      </c>
      <c r="X2325" t="s">
        <v>13312</v>
      </c>
      <c r="Y2325" t="s">
        <v>116</v>
      </c>
      <c r="Z2325" t="s">
        <v>117</v>
      </c>
      <c r="AA2325" t="str">
        <f>"14202-3307"</f>
        <v>14202-3307</v>
      </c>
      <c r="AB2325" t="s">
        <v>1146</v>
      </c>
      <c r="AC2325" t="s">
        <v>119</v>
      </c>
      <c r="AD2325" t="s">
        <v>113</v>
      </c>
      <c r="AE2325" t="s">
        <v>120</v>
      </c>
      <c r="AG2325" t="s">
        <v>121</v>
      </c>
    </row>
    <row r="2326" spans="1:33" x14ac:dyDescent="0.25">
      <c r="A2326" t="str">
        <f>"1508926254"</f>
        <v>1508926254</v>
      </c>
      <c r="B2326" t="str">
        <f>"00624286"</f>
        <v>00624286</v>
      </c>
      <c r="C2326" t="s">
        <v>13313</v>
      </c>
      <c r="D2326" t="s">
        <v>13314</v>
      </c>
      <c r="E2326" t="s">
        <v>13315</v>
      </c>
      <c r="G2326" t="s">
        <v>13313</v>
      </c>
      <c r="H2326" t="s">
        <v>13316</v>
      </c>
      <c r="J2326" t="s">
        <v>13317</v>
      </c>
      <c r="L2326" t="s">
        <v>142</v>
      </c>
      <c r="M2326" t="s">
        <v>113</v>
      </c>
      <c r="R2326" t="s">
        <v>13318</v>
      </c>
      <c r="W2326" t="s">
        <v>13315</v>
      </c>
      <c r="X2326" t="s">
        <v>13319</v>
      </c>
      <c r="Y2326" t="s">
        <v>889</v>
      </c>
      <c r="Z2326" t="s">
        <v>117</v>
      </c>
      <c r="AA2326" t="str">
        <f>"14120-4444"</f>
        <v>14120-4444</v>
      </c>
      <c r="AB2326" t="s">
        <v>1755</v>
      </c>
      <c r="AC2326" t="s">
        <v>119</v>
      </c>
      <c r="AD2326" t="s">
        <v>113</v>
      </c>
      <c r="AE2326" t="s">
        <v>120</v>
      </c>
      <c r="AG2326" t="s">
        <v>121</v>
      </c>
    </row>
    <row r="2327" spans="1:33" x14ac:dyDescent="0.25">
      <c r="A2327" t="str">
        <f>"1508930363"</f>
        <v>1508930363</v>
      </c>
      <c r="B2327" t="str">
        <f>"03214362"</f>
        <v>03214362</v>
      </c>
      <c r="C2327" t="s">
        <v>13320</v>
      </c>
      <c r="D2327" t="s">
        <v>13321</v>
      </c>
      <c r="E2327" t="s">
        <v>13322</v>
      </c>
      <c r="G2327" t="s">
        <v>13320</v>
      </c>
      <c r="H2327" t="s">
        <v>2057</v>
      </c>
      <c r="J2327" t="s">
        <v>13323</v>
      </c>
      <c r="L2327" t="s">
        <v>142</v>
      </c>
      <c r="M2327" t="s">
        <v>113</v>
      </c>
      <c r="R2327" t="s">
        <v>13324</v>
      </c>
      <c r="W2327" t="s">
        <v>13325</v>
      </c>
      <c r="X2327" t="s">
        <v>253</v>
      </c>
      <c r="Y2327" t="s">
        <v>116</v>
      </c>
      <c r="Z2327" t="s">
        <v>117</v>
      </c>
      <c r="AA2327" t="str">
        <f>"14215-3021"</f>
        <v>14215-3021</v>
      </c>
      <c r="AB2327" t="s">
        <v>118</v>
      </c>
      <c r="AC2327" t="s">
        <v>119</v>
      </c>
      <c r="AD2327" t="s">
        <v>113</v>
      </c>
      <c r="AE2327" t="s">
        <v>120</v>
      </c>
      <c r="AG2327" t="s">
        <v>121</v>
      </c>
    </row>
    <row r="2328" spans="1:33" x14ac:dyDescent="0.25">
      <c r="A2328" t="str">
        <f>"1174924971"</f>
        <v>1174924971</v>
      </c>
      <c r="C2328" t="s">
        <v>13326</v>
      </c>
      <c r="G2328" t="s">
        <v>13327</v>
      </c>
      <c r="H2328" t="s">
        <v>590</v>
      </c>
      <c r="J2328" t="s">
        <v>13328</v>
      </c>
      <c r="K2328" t="s">
        <v>303</v>
      </c>
      <c r="L2328" t="s">
        <v>112</v>
      </c>
      <c r="M2328" t="s">
        <v>113</v>
      </c>
      <c r="R2328" t="s">
        <v>13329</v>
      </c>
      <c r="S2328" t="s">
        <v>651</v>
      </c>
      <c r="T2328" t="s">
        <v>116</v>
      </c>
      <c r="U2328" t="s">
        <v>117</v>
      </c>
      <c r="V2328" t="str">
        <f>"142091912"</f>
        <v>142091912</v>
      </c>
      <c r="AC2328" t="s">
        <v>119</v>
      </c>
      <c r="AD2328" t="s">
        <v>113</v>
      </c>
      <c r="AE2328" t="s">
        <v>306</v>
      </c>
      <c r="AG2328" t="s">
        <v>121</v>
      </c>
    </row>
    <row r="2329" spans="1:33" x14ac:dyDescent="0.25">
      <c r="A2329" t="str">
        <f>"1174954861"</f>
        <v>1174954861</v>
      </c>
      <c r="C2329" t="s">
        <v>13330</v>
      </c>
      <c r="G2329" t="s">
        <v>13331</v>
      </c>
      <c r="H2329" t="s">
        <v>351</v>
      </c>
      <c r="J2329" t="s">
        <v>352</v>
      </c>
      <c r="K2329" t="s">
        <v>303</v>
      </c>
      <c r="L2329" t="s">
        <v>229</v>
      </c>
      <c r="M2329" t="s">
        <v>113</v>
      </c>
      <c r="R2329" t="s">
        <v>13332</v>
      </c>
      <c r="S2329" t="s">
        <v>354</v>
      </c>
      <c r="T2329" t="s">
        <v>116</v>
      </c>
      <c r="U2329" t="s">
        <v>117</v>
      </c>
      <c r="V2329" t="str">
        <f>"142152814"</f>
        <v>142152814</v>
      </c>
      <c r="AC2329" t="s">
        <v>119</v>
      </c>
      <c r="AD2329" t="s">
        <v>113</v>
      </c>
      <c r="AE2329" t="s">
        <v>306</v>
      </c>
      <c r="AG2329" t="s">
        <v>121</v>
      </c>
    </row>
    <row r="2330" spans="1:33" x14ac:dyDescent="0.25">
      <c r="A2330" t="str">
        <f>"1184025090"</f>
        <v>1184025090</v>
      </c>
      <c r="C2330" t="s">
        <v>13333</v>
      </c>
      <c r="G2330" t="s">
        <v>13334</v>
      </c>
      <c r="H2330" t="s">
        <v>590</v>
      </c>
      <c r="J2330" t="s">
        <v>13335</v>
      </c>
      <c r="K2330" t="s">
        <v>303</v>
      </c>
      <c r="L2330" t="s">
        <v>112</v>
      </c>
      <c r="M2330" t="s">
        <v>113</v>
      </c>
      <c r="R2330" t="s">
        <v>13336</v>
      </c>
      <c r="S2330" t="s">
        <v>651</v>
      </c>
      <c r="T2330" t="s">
        <v>116</v>
      </c>
      <c r="U2330" t="s">
        <v>117</v>
      </c>
      <c r="V2330" t="str">
        <f>"142091912"</f>
        <v>142091912</v>
      </c>
      <c r="AC2330" t="s">
        <v>119</v>
      </c>
      <c r="AD2330" t="s">
        <v>113</v>
      </c>
      <c r="AE2330" t="s">
        <v>306</v>
      </c>
      <c r="AG2330" t="s">
        <v>121</v>
      </c>
    </row>
    <row r="2331" spans="1:33" x14ac:dyDescent="0.25">
      <c r="A2331" t="str">
        <f>"1215198924"</f>
        <v>1215198924</v>
      </c>
      <c r="B2331" t="str">
        <f>"03414720"</f>
        <v>03414720</v>
      </c>
      <c r="C2331" t="s">
        <v>13337</v>
      </c>
      <c r="D2331" t="s">
        <v>13338</v>
      </c>
      <c r="E2331" t="s">
        <v>13339</v>
      </c>
      <c r="L2331" t="s">
        <v>150</v>
      </c>
      <c r="M2331" t="s">
        <v>113</v>
      </c>
      <c r="R2331" t="s">
        <v>13337</v>
      </c>
      <c r="W2331" t="s">
        <v>13339</v>
      </c>
      <c r="X2331" t="s">
        <v>13340</v>
      </c>
      <c r="Y2331" t="s">
        <v>2762</v>
      </c>
      <c r="Z2331" t="s">
        <v>117</v>
      </c>
      <c r="AA2331" t="str">
        <f>"14617-3535"</f>
        <v>14617-3535</v>
      </c>
      <c r="AB2331" t="s">
        <v>118</v>
      </c>
      <c r="AC2331" t="s">
        <v>119</v>
      </c>
      <c r="AD2331" t="s">
        <v>113</v>
      </c>
      <c r="AE2331" t="s">
        <v>120</v>
      </c>
      <c r="AG2331" t="s">
        <v>121</v>
      </c>
    </row>
    <row r="2332" spans="1:33" x14ac:dyDescent="0.25">
      <c r="A2332" t="str">
        <f>"1215201504"</f>
        <v>1215201504</v>
      </c>
      <c r="B2332" t="str">
        <f>"03873329"</f>
        <v>03873329</v>
      </c>
      <c r="C2332" t="s">
        <v>13341</v>
      </c>
      <c r="D2332" t="s">
        <v>13342</v>
      </c>
      <c r="E2332" t="s">
        <v>13343</v>
      </c>
      <c r="G2332" t="s">
        <v>13341</v>
      </c>
      <c r="H2332" t="s">
        <v>13344</v>
      </c>
      <c r="J2332" t="s">
        <v>13345</v>
      </c>
      <c r="L2332" t="s">
        <v>112</v>
      </c>
      <c r="M2332" t="s">
        <v>113</v>
      </c>
      <c r="R2332" t="s">
        <v>13346</v>
      </c>
      <c r="W2332" t="s">
        <v>13343</v>
      </c>
      <c r="X2332" t="s">
        <v>216</v>
      </c>
      <c r="Y2332" t="s">
        <v>116</v>
      </c>
      <c r="Z2332" t="s">
        <v>117</v>
      </c>
      <c r="AA2332" t="str">
        <f>"14222-2006"</f>
        <v>14222-2006</v>
      </c>
      <c r="AB2332" t="s">
        <v>118</v>
      </c>
      <c r="AC2332" t="s">
        <v>119</v>
      </c>
      <c r="AD2332" t="s">
        <v>113</v>
      </c>
      <c r="AE2332" t="s">
        <v>120</v>
      </c>
      <c r="AG2332" t="s">
        <v>121</v>
      </c>
    </row>
    <row r="2333" spans="1:33" x14ac:dyDescent="0.25">
      <c r="A2333" t="str">
        <f>"1215238258"</f>
        <v>1215238258</v>
      </c>
      <c r="B2333" t="str">
        <f>"03298299"</f>
        <v>03298299</v>
      </c>
      <c r="C2333" t="s">
        <v>13347</v>
      </c>
      <c r="D2333" t="s">
        <v>13348</v>
      </c>
      <c r="E2333" t="s">
        <v>13349</v>
      </c>
      <c r="G2333" t="s">
        <v>196</v>
      </c>
      <c r="H2333" t="s">
        <v>197</v>
      </c>
      <c r="I2333">
        <v>214</v>
      </c>
      <c r="J2333" t="s">
        <v>198</v>
      </c>
      <c r="L2333" t="s">
        <v>150</v>
      </c>
      <c r="M2333" t="s">
        <v>199</v>
      </c>
      <c r="R2333" t="s">
        <v>13350</v>
      </c>
      <c r="W2333" t="s">
        <v>13349</v>
      </c>
      <c r="X2333" t="s">
        <v>10376</v>
      </c>
      <c r="Y2333" t="s">
        <v>153</v>
      </c>
      <c r="Z2333" t="s">
        <v>117</v>
      </c>
      <c r="AA2333" t="str">
        <f>"14304-3022"</f>
        <v>14304-3022</v>
      </c>
      <c r="AB2333" t="s">
        <v>118</v>
      </c>
      <c r="AC2333" t="s">
        <v>119</v>
      </c>
      <c r="AD2333" t="s">
        <v>113</v>
      </c>
      <c r="AE2333" t="s">
        <v>120</v>
      </c>
      <c r="AG2333" t="s">
        <v>121</v>
      </c>
    </row>
    <row r="2334" spans="1:33" x14ac:dyDescent="0.25">
      <c r="A2334" t="str">
        <f>"1215242904"</f>
        <v>1215242904</v>
      </c>
      <c r="C2334" t="s">
        <v>13351</v>
      </c>
      <c r="G2334" t="s">
        <v>13351</v>
      </c>
      <c r="H2334" t="s">
        <v>7991</v>
      </c>
      <c r="J2334" t="s">
        <v>13352</v>
      </c>
      <c r="K2334" t="s">
        <v>303</v>
      </c>
      <c r="L2334" t="s">
        <v>229</v>
      </c>
      <c r="M2334" t="s">
        <v>113</v>
      </c>
      <c r="R2334" t="s">
        <v>13353</v>
      </c>
      <c r="S2334" t="s">
        <v>1709</v>
      </c>
      <c r="T2334" t="s">
        <v>116</v>
      </c>
      <c r="U2334" t="s">
        <v>117</v>
      </c>
      <c r="V2334" t="str">
        <f>"142131207"</f>
        <v>142131207</v>
      </c>
      <c r="AC2334" t="s">
        <v>119</v>
      </c>
      <c r="AD2334" t="s">
        <v>113</v>
      </c>
      <c r="AE2334" t="s">
        <v>306</v>
      </c>
      <c r="AG2334" t="s">
        <v>121</v>
      </c>
    </row>
    <row r="2335" spans="1:33" x14ac:dyDescent="0.25">
      <c r="A2335" t="str">
        <f>"1215245469"</f>
        <v>1215245469</v>
      </c>
      <c r="C2335" t="s">
        <v>13354</v>
      </c>
      <c r="G2335" t="s">
        <v>13355</v>
      </c>
      <c r="H2335" t="s">
        <v>351</v>
      </c>
      <c r="J2335" t="s">
        <v>352</v>
      </c>
      <c r="K2335" t="s">
        <v>303</v>
      </c>
      <c r="L2335" t="s">
        <v>112</v>
      </c>
      <c r="M2335" t="s">
        <v>113</v>
      </c>
      <c r="R2335" t="s">
        <v>13356</v>
      </c>
      <c r="S2335" t="s">
        <v>409</v>
      </c>
      <c r="T2335" t="s">
        <v>116</v>
      </c>
      <c r="U2335" t="s">
        <v>117</v>
      </c>
      <c r="V2335" t="str">
        <f>"142152814"</f>
        <v>142152814</v>
      </c>
      <c r="AC2335" t="s">
        <v>119</v>
      </c>
      <c r="AD2335" t="s">
        <v>113</v>
      </c>
      <c r="AE2335" t="s">
        <v>306</v>
      </c>
      <c r="AG2335" t="s">
        <v>121</v>
      </c>
    </row>
    <row r="2336" spans="1:33" x14ac:dyDescent="0.25">
      <c r="A2336" t="str">
        <f>"1215250279"</f>
        <v>1215250279</v>
      </c>
      <c r="B2336" t="str">
        <f>"03600295"</f>
        <v>03600295</v>
      </c>
      <c r="C2336" t="s">
        <v>13357</v>
      </c>
      <c r="D2336" t="s">
        <v>13358</v>
      </c>
      <c r="E2336" t="s">
        <v>13359</v>
      </c>
      <c r="G2336" t="s">
        <v>13357</v>
      </c>
      <c r="H2336" t="s">
        <v>1507</v>
      </c>
      <c r="J2336" t="s">
        <v>13360</v>
      </c>
      <c r="L2336" t="s">
        <v>112</v>
      </c>
      <c r="M2336" t="s">
        <v>199</v>
      </c>
      <c r="R2336" t="s">
        <v>13361</v>
      </c>
      <c r="W2336" t="s">
        <v>13359</v>
      </c>
      <c r="X2336" t="s">
        <v>253</v>
      </c>
      <c r="Y2336" t="s">
        <v>116</v>
      </c>
      <c r="Z2336" t="s">
        <v>117</v>
      </c>
      <c r="AA2336" t="str">
        <f>"14215-3021"</f>
        <v>14215-3021</v>
      </c>
      <c r="AB2336" t="s">
        <v>118</v>
      </c>
      <c r="AC2336" t="s">
        <v>119</v>
      </c>
      <c r="AD2336" t="s">
        <v>113</v>
      </c>
      <c r="AE2336" t="s">
        <v>120</v>
      </c>
      <c r="AG2336" t="s">
        <v>121</v>
      </c>
    </row>
    <row r="2337" spans="1:33" x14ac:dyDescent="0.25">
      <c r="A2337" t="str">
        <f>"1215279435"</f>
        <v>1215279435</v>
      </c>
      <c r="C2337" t="s">
        <v>13362</v>
      </c>
      <c r="G2337" t="s">
        <v>13363</v>
      </c>
      <c r="H2337" t="s">
        <v>471</v>
      </c>
      <c r="J2337" t="s">
        <v>13364</v>
      </c>
      <c r="K2337" t="s">
        <v>303</v>
      </c>
      <c r="L2337" t="s">
        <v>112</v>
      </c>
      <c r="M2337" t="s">
        <v>113</v>
      </c>
      <c r="R2337" t="s">
        <v>13365</v>
      </c>
      <c r="S2337" t="s">
        <v>3331</v>
      </c>
      <c r="T2337" t="s">
        <v>116</v>
      </c>
      <c r="U2337" t="s">
        <v>117</v>
      </c>
      <c r="V2337" t="str">
        <f>"142011886"</f>
        <v>142011886</v>
      </c>
      <c r="AC2337" t="s">
        <v>119</v>
      </c>
      <c r="AD2337" t="s">
        <v>113</v>
      </c>
      <c r="AE2337" t="s">
        <v>306</v>
      </c>
      <c r="AG2337" t="s">
        <v>121</v>
      </c>
    </row>
    <row r="2338" spans="1:33" x14ac:dyDescent="0.25">
      <c r="A2338" t="str">
        <f>"1215901749"</f>
        <v>1215901749</v>
      </c>
      <c r="B2338" t="str">
        <f>"01800999"</f>
        <v>01800999</v>
      </c>
      <c r="C2338" t="s">
        <v>13366</v>
      </c>
      <c r="D2338" t="s">
        <v>13367</v>
      </c>
      <c r="E2338" t="s">
        <v>13368</v>
      </c>
      <c r="G2338" t="s">
        <v>13366</v>
      </c>
      <c r="H2338" t="s">
        <v>13369</v>
      </c>
      <c r="J2338" t="s">
        <v>13370</v>
      </c>
      <c r="L2338" t="s">
        <v>112</v>
      </c>
      <c r="M2338" t="s">
        <v>113</v>
      </c>
      <c r="R2338" t="s">
        <v>13371</v>
      </c>
      <c r="W2338" t="s">
        <v>13368</v>
      </c>
      <c r="X2338" t="s">
        <v>176</v>
      </c>
      <c r="Y2338" t="s">
        <v>116</v>
      </c>
      <c r="Z2338" t="s">
        <v>117</v>
      </c>
      <c r="AA2338" t="str">
        <f>"14203-1126"</f>
        <v>14203-1126</v>
      </c>
      <c r="AB2338" t="s">
        <v>118</v>
      </c>
      <c r="AC2338" t="s">
        <v>119</v>
      </c>
      <c r="AD2338" t="s">
        <v>113</v>
      </c>
      <c r="AE2338" t="s">
        <v>120</v>
      </c>
      <c r="AG2338" t="s">
        <v>121</v>
      </c>
    </row>
    <row r="2339" spans="1:33" x14ac:dyDescent="0.25">
      <c r="A2339" t="str">
        <f>"1215902218"</f>
        <v>1215902218</v>
      </c>
      <c r="B2339" t="str">
        <f>"01166027"</f>
        <v>01166027</v>
      </c>
      <c r="C2339" t="s">
        <v>13372</v>
      </c>
      <c r="D2339" t="s">
        <v>13373</v>
      </c>
      <c r="E2339" t="s">
        <v>13374</v>
      </c>
      <c r="G2339" t="s">
        <v>13372</v>
      </c>
      <c r="H2339" t="s">
        <v>2079</v>
      </c>
      <c r="J2339" t="s">
        <v>13375</v>
      </c>
      <c r="L2339" t="s">
        <v>142</v>
      </c>
      <c r="M2339" t="s">
        <v>113</v>
      </c>
      <c r="R2339" t="s">
        <v>13376</v>
      </c>
      <c r="W2339" t="s">
        <v>13374</v>
      </c>
      <c r="X2339" t="s">
        <v>216</v>
      </c>
      <c r="Y2339" t="s">
        <v>116</v>
      </c>
      <c r="Z2339" t="s">
        <v>117</v>
      </c>
      <c r="AA2339" t="str">
        <f>"14222-2006"</f>
        <v>14222-2006</v>
      </c>
      <c r="AB2339" t="s">
        <v>118</v>
      </c>
      <c r="AC2339" t="s">
        <v>119</v>
      </c>
      <c r="AD2339" t="s">
        <v>113</v>
      </c>
      <c r="AE2339" t="s">
        <v>120</v>
      </c>
      <c r="AG2339" t="s">
        <v>121</v>
      </c>
    </row>
    <row r="2340" spans="1:33" x14ac:dyDescent="0.25">
      <c r="A2340" t="str">
        <f>"1215903299"</f>
        <v>1215903299</v>
      </c>
      <c r="B2340" t="str">
        <f>"02590554"</f>
        <v>02590554</v>
      </c>
      <c r="C2340" t="s">
        <v>13377</v>
      </c>
      <c r="D2340" t="s">
        <v>13378</v>
      </c>
      <c r="E2340" t="s">
        <v>13379</v>
      </c>
      <c r="G2340" t="s">
        <v>13377</v>
      </c>
      <c r="H2340" t="s">
        <v>744</v>
      </c>
      <c r="J2340" t="s">
        <v>13380</v>
      </c>
      <c r="L2340" t="s">
        <v>150</v>
      </c>
      <c r="M2340" t="s">
        <v>113</v>
      </c>
      <c r="R2340" t="s">
        <v>13381</v>
      </c>
      <c r="W2340" t="s">
        <v>13379</v>
      </c>
      <c r="X2340" t="s">
        <v>3261</v>
      </c>
      <c r="Y2340" t="s">
        <v>116</v>
      </c>
      <c r="Z2340" t="s">
        <v>117</v>
      </c>
      <c r="AA2340" t="str">
        <f>"14228-2044"</f>
        <v>14228-2044</v>
      </c>
      <c r="AB2340" t="s">
        <v>118</v>
      </c>
      <c r="AC2340" t="s">
        <v>119</v>
      </c>
      <c r="AD2340" t="s">
        <v>113</v>
      </c>
      <c r="AE2340" t="s">
        <v>120</v>
      </c>
      <c r="AG2340" t="s">
        <v>121</v>
      </c>
    </row>
    <row r="2341" spans="1:33" x14ac:dyDescent="0.25">
      <c r="A2341" t="str">
        <f>"1215911979"</f>
        <v>1215911979</v>
      </c>
      <c r="B2341" t="str">
        <f>"03219183"</f>
        <v>03219183</v>
      </c>
      <c r="C2341" t="s">
        <v>13382</v>
      </c>
      <c r="D2341" t="s">
        <v>13383</v>
      </c>
      <c r="E2341" t="s">
        <v>13384</v>
      </c>
      <c r="G2341" t="s">
        <v>13385</v>
      </c>
      <c r="H2341" t="s">
        <v>13386</v>
      </c>
      <c r="L2341" t="s">
        <v>142</v>
      </c>
      <c r="M2341" t="s">
        <v>113</v>
      </c>
      <c r="R2341" t="s">
        <v>13385</v>
      </c>
      <c r="W2341" t="s">
        <v>13384</v>
      </c>
      <c r="X2341" t="s">
        <v>13387</v>
      </c>
      <c r="Y2341" t="s">
        <v>986</v>
      </c>
      <c r="Z2341" t="s">
        <v>117</v>
      </c>
      <c r="AA2341" t="str">
        <f>"14701-4776"</f>
        <v>14701-4776</v>
      </c>
      <c r="AB2341" t="s">
        <v>118</v>
      </c>
      <c r="AC2341" t="s">
        <v>119</v>
      </c>
      <c r="AD2341" t="s">
        <v>113</v>
      </c>
      <c r="AE2341" t="s">
        <v>120</v>
      </c>
      <c r="AG2341" t="s">
        <v>121</v>
      </c>
    </row>
    <row r="2342" spans="1:33" x14ac:dyDescent="0.25">
      <c r="A2342" t="str">
        <f>"1215915681"</f>
        <v>1215915681</v>
      </c>
      <c r="B2342" t="str">
        <f>"00660068"</f>
        <v>00660068</v>
      </c>
      <c r="C2342" t="s">
        <v>13388</v>
      </c>
      <c r="D2342" t="s">
        <v>13389</v>
      </c>
      <c r="E2342" t="s">
        <v>13390</v>
      </c>
      <c r="G2342" t="s">
        <v>13388</v>
      </c>
      <c r="H2342" t="s">
        <v>1013</v>
      </c>
      <c r="J2342" t="s">
        <v>13391</v>
      </c>
      <c r="L2342" t="s">
        <v>142</v>
      </c>
      <c r="M2342" t="s">
        <v>113</v>
      </c>
      <c r="R2342" t="s">
        <v>13392</v>
      </c>
      <c r="W2342" t="s">
        <v>13390</v>
      </c>
      <c r="X2342" t="s">
        <v>13393</v>
      </c>
      <c r="Y2342" t="s">
        <v>240</v>
      </c>
      <c r="Z2342" t="s">
        <v>117</v>
      </c>
      <c r="AA2342" t="str">
        <f>"14221-5329"</f>
        <v>14221-5329</v>
      </c>
      <c r="AB2342" t="s">
        <v>118</v>
      </c>
      <c r="AC2342" t="s">
        <v>119</v>
      </c>
      <c r="AD2342" t="s">
        <v>113</v>
      </c>
      <c r="AE2342" t="s">
        <v>120</v>
      </c>
      <c r="AG2342" t="s">
        <v>121</v>
      </c>
    </row>
    <row r="2343" spans="1:33" x14ac:dyDescent="0.25">
      <c r="A2343" t="str">
        <f>"1821064809"</f>
        <v>1821064809</v>
      </c>
      <c r="B2343" t="str">
        <f>"01733077"</f>
        <v>01733077</v>
      </c>
      <c r="C2343" t="s">
        <v>13394</v>
      </c>
      <c r="D2343" t="s">
        <v>13395</v>
      </c>
      <c r="E2343" t="s">
        <v>13396</v>
      </c>
      <c r="G2343" t="s">
        <v>13397</v>
      </c>
      <c r="H2343" t="s">
        <v>10212</v>
      </c>
      <c r="J2343" t="s">
        <v>13398</v>
      </c>
      <c r="L2343" t="s">
        <v>1033</v>
      </c>
      <c r="M2343" t="s">
        <v>113</v>
      </c>
      <c r="R2343" t="s">
        <v>13399</v>
      </c>
      <c r="W2343" t="s">
        <v>13400</v>
      </c>
      <c r="X2343" t="s">
        <v>13401</v>
      </c>
      <c r="Y2343" t="s">
        <v>13402</v>
      </c>
      <c r="Z2343" t="s">
        <v>117</v>
      </c>
      <c r="AA2343" t="str">
        <f>"14783-1234"</f>
        <v>14783-1234</v>
      </c>
      <c r="AB2343" t="s">
        <v>621</v>
      </c>
      <c r="AC2343" t="s">
        <v>119</v>
      </c>
      <c r="AD2343" t="s">
        <v>113</v>
      </c>
      <c r="AE2343" t="s">
        <v>120</v>
      </c>
      <c r="AG2343" t="s">
        <v>121</v>
      </c>
    </row>
    <row r="2344" spans="1:33" x14ac:dyDescent="0.25">
      <c r="A2344" t="str">
        <f>"1821067166"</f>
        <v>1821067166</v>
      </c>
      <c r="B2344" t="str">
        <f>"00633298"</f>
        <v>00633298</v>
      </c>
      <c r="C2344" t="s">
        <v>13403</v>
      </c>
      <c r="D2344" t="s">
        <v>13404</v>
      </c>
      <c r="E2344" t="s">
        <v>13405</v>
      </c>
      <c r="G2344" t="s">
        <v>1723</v>
      </c>
      <c r="H2344" t="s">
        <v>13406</v>
      </c>
      <c r="J2344" t="s">
        <v>1725</v>
      </c>
      <c r="L2344" t="s">
        <v>112</v>
      </c>
      <c r="M2344" t="s">
        <v>113</v>
      </c>
      <c r="R2344" t="s">
        <v>13407</v>
      </c>
      <c r="W2344" t="s">
        <v>13405</v>
      </c>
      <c r="X2344" t="s">
        <v>253</v>
      </c>
      <c r="Y2344" t="s">
        <v>116</v>
      </c>
      <c r="Z2344" t="s">
        <v>117</v>
      </c>
      <c r="AA2344" t="str">
        <f>"14215-3021"</f>
        <v>14215-3021</v>
      </c>
      <c r="AB2344" t="s">
        <v>118</v>
      </c>
      <c r="AC2344" t="s">
        <v>119</v>
      </c>
      <c r="AD2344" t="s">
        <v>113</v>
      </c>
      <c r="AE2344" t="s">
        <v>120</v>
      </c>
      <c r="AG2344" t="s">
        <v>121</v>
      </c>
    </row>
    <row r="2345" spans="1:33" x14ac:dyDescent="0.25">
      <c r="A2345" t="str">
        <f>"1821070970"</f>
        <v>1821070970</v>
      </c>
      <c r="B2345" t="str">
        <f>"01458795"</f>
        <v>01458795</v>
      </c>
      <c r="C2345" t="s">
        <v>13408</v>
      </c>
      <c r="D2345" t="s">
        <v>13409</v>
      </c>
      <c r="E2345" t="s">
        <v>13410</v>
      </c>
      <c r="G2345" t="s">
        <v>330</v>
      </c>
      <c r="H2345" t="s">
        <v>10122</v>
      </c>
      <c r="J2345" t="s">
        <v>332</v>
      </c>
      <c r="L2345" t="s">
        <v>150</v>
      </c>
      <c r="M2345" t="s">
        <v>113</v>
      </c>
      <c r="R2345" t="s">
        <v>13411</v>
      </c>
      <c r="W2345" t="s">
        <v>13410</v>
      </c>
      <c r="X2345" t="s">
        <v>13412</v>
      </c>
      <c r="Y2345" t="s">
        <v>1257</v>
      </c>
      <c r="Z2345" t="s">
        <v>117</v>
      </c>
      <c r="AA2345" t="str">
        <f>"14141-1000"</f>
        <v>14141-1000</v>
      </c>
      <c r="AB2345" t="s">
        <v>118</v>
      </c>
      <c r="AC2345" t="s">
        <v>119</v>
      </c>
      <c r="AD2345" t="s">
        <v>113</v>
      </c>
      <c r="AE2345" t="s">
        <v>120</v>
      </c>
      <c r="AG2345" t="s">
        <v>121</v>
      </c>
    </row>
    <row r="2346" spans="1:33" x14ac:dyDescent="0.25">
      <c r="A2346" t="str">
        <f>"1821073388"</f>
        <v>1821073388</v>
      </c>
      <c r="B2346" t="str">
        <f>"00902098"</f>
        <v>00902098</v>
      </c>
      <c r="C2346" t="s">
        <v>13413</v>
      </c>
      <c r="D2346" t="s">
        <v>13414</v>
      </c>
      <c r="E2346" t="s">
        <v>13415</v>
      </c>
      <c r="G2346" t="s">
        <v>13413</v>
      </c>
      <c r="H2346" t="s">
        <v>5911</v>
      </c>
      <c r="J2346" t="s">
        <v>13416</v>
      </c>
      <c r="L2346" t="s">
        <v>142</v>
      </c>
      <c r="M2346" t="s">
        <v>113</v>
      </c>
      <c r="R2346" t="s">
        <v>13417</v>
      </c>
      <c r="W2346" t="s">
        <v>13415</v>
      </c>
      <c r="X2346" t="s">
        <v>3646</v>
      </c>
      <c r="Y2346" t="s">
        <v>240</v>
      </c>
      <c r="Z2346" t="s">
        <v>117</v>
      </c>
      <c r="AA2346" t="str">
        <f>"14221-5974"</f>
        <v>14221-5974</v>
      </c>
      <c r="AB2346" t="s">
        <v>118</v>
      </c>
      <c r="AC2346" t="s">
        <v>119</v>
      </c>
      <c r="AD2346" t="s">
        <v>113</v>
      </c>
      <c r="AE2346" t="s">
        <v>120</v>
      </c>
      <c r="AG2346" t="s">
        <v>121</v>
      </c>
    </row>
    <row r="2347" spans="1:33" x14ac:dyDescent="0.25">
      <c r="A2347" t="str">
        <f>"1700859527"</f>
        <v>1700859527</v>
      </c>
      <c r="B2347" t="str">
        <f>"02100934"</f>
        <v>02100934</v>
      </c>
      <c r="C2347" t="s">
        <v>13418</v>
      </c>
      <c r="D2347" t="s">
        <v>13419</v>
      </c>
      <c r="E2347" t="s">
        <v>13420</v>
      </c>
      <c r="G2347" t="s">
        <v>13418</v>
      </c>
      <c r="H2347" t="s">
        <v>559</v>
      </c>
      <c r="J2347" t="s">
        <v>13421</v>
      </c>
      <c r="L2347" t="s">
        <v>142</v>
      </c>
      <c r="M2347" t="s">
        <v>113</v>
      </c>
      <c r="R2347" t="s">
        <v>13422</v>
      </c>
      <c r="W2347" t="s">
        <v>13420</v>
      </c>
      <c r="X2347" t="s">
        <v>253</v>
      </c>
      <c r="Y2347" t="s">
        <v>116</v>
      </c>
      <c r="Z2347" t="s">
        <v>117</v>
      </c>
      <c r="AA2347" t="str">
        <f>"14215-3021"</f>
        <v>14215-3021</v>
      </c>
      <c r="AB2347" t="s">
        <v>118</v>
      </c>
      <c r="AC2347" t="s">
        <v>119</v>
      </c>
      <c r="AD2347" t="s">
        <v>113</v>
      </c>
      <c r="AE2347" t="s">
        <v>120</v>
      </c>
      <c r="AG2347" t="s">
        <v>121</v>
      </c>
    </row>
    <row r="2348" spans="1:33" x14ac:dyDescent="0.25">
      <c r="A2348" t="str">
        <f>"1700859931"</f>
        <v>1700859931</v>
      </c>
      <c r="B2348" t="str">
        <f>"00674593"</f>
        <v>00674593</v>
      </c>
      <c r="C2348" t="s">
        <v>13423</v>
      </c>
      <c r="D2348" t="s">
        <v>13424</v>
      </c>
      <c r="E2348" t="s">
        <v>13425</v>
      </c>
      <c r="G2348" t="s">
        <v>13423</v>
      </c>
      <c r="H2348" t="s">
        <v>13426</v>
      </c>
      <c r="J2348" t="s">
        <v>13427</v>
      </c>
      <c r="L2348" t="s">
        <v>112</v>
      </c>
      <c r="M2348" t="s">
        <v>113</v>
      </c>
      <c r="R2348" t="s">
        <v>13428</v>
      </c>
      <c r="W2348" t="s">
        <v>13425</v>
      </c>
      <c r="X2348" t="s">
        <v>13429</v>
      </c>
      <c r="Y2348" t="s">
        <v>377</v>
      </c>
      <c r="Z2348" t="s">
        <v>117</v>
      </c>
      <c r="AA2348" t="str">
        <f>"14223-2925"</f>
        <v>14223-2925</v>
      </c>
      <c r="AB2348" t="s">
        <v>118</v>
      </c>
      <c r="AC2348" t="s">
        <v>119</v>
      </c>
      <c r="AD2348" t="s">
        <v>113</v>
      </c>
      <c r="AE2348" t="s">
        <v>120</v>
      </c>
      <c r="AG2348" t="s">
        <v>121</v>
      </c>
    </row>
    <row r="2349" spans="1:33" x14ac:dyDescent="0.25">
      <c r="A2349" t="str">
        <f>"1700868536"</f>
        <v>1700868536</v>
      </c>
      <c r="B2349" t="str">
        <f>"02428857"</f>
        <v>02428857</v>
      </c>
      <c r="C2349" t="s">
        <v>13430</v>
      </c>
      <c r="D2349" t="s">
        <v>13431</v>
      </c>
      <c r="E2349" t="s">
        <v>13432</v>
      </c>
      <c r="G2349" t="s">
        <v>13433</v>
      </c>
      <c r="H2349" t="s">
        <v>1308</v>
      </c>
      <c r="J2349" t="s">
        <v>13434</v>
      </c>
      <c r="L2349" t="s">
        <v>142</v>
      </c>
      <c r="M2349" t="s">
        <v>113</v>
      </c>
      <c r="R2349" t="s">
        <v>13435</v>
      </c>
      <c r="W2349" t="s">
        <v>13436</v>
      </c>
      <c r="X2349" t="s">
        <v>1845</v>
      </c>
      <c r="Y2349" t="s">
        <v>816</v>
      </c>
      <c r="Z2349" t="s">
        <v>117</v>
      </c>
      <c r="AA2349" t="str">
        <f>"14120-6150"</f>
        <v>14120-6150</v>
      </c>
      <c r="AB2349" t="s">
        <v>118</v>
      </c>
      <c r="AC2349" t="s">
        <v>119</v>
      </c>
      <c r="AD2349" t="s">
        <v>113</v>
      </c>
      <c r="AE2349" t="s">
        <v>120</v>
      </c>
      <c r="AG2349" t="s">
        <v>121</v>
      </c>
    </row>
    <row r="2350" spans="1:33" x14ac:dyDescent="0.25">
      <c r="A2350" t="str">
        <f>"1700870425"</f>
        <v>1700870425</v>
      </c>
      <c r="B2350" t="str">
        <f>"01444917"</f>
        <v>01444917</v>
      </c>
      <c r="C2350" t="s">
        <v>13437</v>
      </c>
      <c r="D2350" t="s">
        <v>13438</v>
      </c>
      <c r="E2350" t="s">
        <v>13439</v>
      </c>
      <c r="G2350" t="s">
        <v>859</v>
      </c>
      <c r="H2350" t="s">
        <v>13440</v>
      </c>
      <c r="J2350" t="s">
        <v>861</v>
      </c>
      <c r="L2350" t="s">
        <v>112</v>
      </c>
      <c r="M2350" t="s">
        <v>113</v>
      </c>
      <c r="R2350" t="s">
        <v>13441</v>
      </c>
      <c r="W2350" t="s">
        <v>13439</v>
      </c>
      <c r="X2350" t="s">
        <v>784</v>
      </c>
      <c r="Y2350" t="s">
        <v>116</v>
      </c>
      <c r="Z2350" t="s">
        <v>117</v>
      </c>
      <c r="AA2350" t="str">
        <f>"14209-1194"</f>
        <v>14209-1194</v>
      </c>
      <c r="AB2350" t="s">
        <v>118</v>
      </c>
      <c r="AC2350" t="s">
        <v>119</v>
      </c>
      <c r="AD2350" t="s">
        <v>113</v>
      </c>
      <c r="AE2350" t="s">
        <v>120</v>
      </c>
      <c r="AG2350" t="s">
        <v>121</v>
      </c>
    </row>
    <row r="2351" spans="1:33" x14ac:dyDescent="0.25">
      <c r="A2351" t="str">
        <f>"1700871258"</f>
        <v>1700871258</v>
      </c>
      <c r="B2351" t="str">
        <f>"02504694"</f>
        <v>02504694</v>
      </c>
      <c r="C2351" t="s">
        <v>13442</v>
      </c>
      <c r="D2351" t="s">
        <v>13443</v>
      </c>
      <c r="E2351" t="s">
        <v>13444</v>
      </c>
      <c r="G2351" t="s">
        <v>13445</v>
      </c>
      <c r="H2351" t="s">
        <v>2079</v>
      </c>
      <c r="J2351" t="s">
        <v>13446</v>
      </c>
      <c r="L2351" t="s">
        <v>142</v>
      </c>
      <c r="M2351" t="s">
        <v>113</v>
      </c>
      <c r="R2351" t="s">
        <v>13447</v>
      </c>
      <c r="W2351" t="s">
        <v>13444</v>
      </c>
      <c r="X2351" t="s">
        <v>966</v>
      </c>
      <c r="Y2351" t="s">
        <v>116</v>
      </c>
      <c r="Z2351" t="s">
        <v>117</v>
      </c>
      <c r="AA2351" t="str">
        <f>"14207-1816"</f>
        <v>14207-1816</v>
      </c>
      <c r="AB2351" t="s">
        <v>118</v>
      </c>
      <c r="AC2351" t="s">
        <v>119</v>
      </c>
      <c r="AD2351" t="s">
        <v>113</v>
      </c>
      <c r="AE2351" t="s">
        <v>120</v>
      </c>
      <c r="AG2351" t="s">
        <v>121</v>
      </c>
    </row>
    <row r="2352" spans="1:33" x14ac:dyDescent="0.25">
      <c r="A2352" t="str">
        <f>"1619963519"</f>
        <v>1619963519</v>
      </c>
      <c r="B2352" t="str">
        <f>"01059636"</f>
        <v>01059636</v>
      </c>
      <c r="C2352" t="s">
        <v>13448</v>
      </c>
      <c r="D2352" t="s">
        <v>13449</v>
      </c>
      <c r="E2352" t="s">
        <v>13450</v>
      </c>
      <c r="G2352" t="s">
        <v>13448</v>
      </c>
      <c r="H2352" t="s">
        <v>10022</v>
      </c>
      <c r="J2352" t="s">
        <v>13451</v>
      </c>
      <c r="L2352" t="s">
        <v>112</v>
      </c>
      <c r="M2352" t="s">
        <v>113</v>
      </c>
      <c r="R2352" t="s">
        <v>13452</v>
      </c>
      <c r="W2352" t="s">
        <v>13450</v>
      </c>
      <c r="X2352" t="s">
        <v>11559</v>
      </c>
      <c r="Y2352" t="s">
        <v>240</v>
      </c>
      <c r="Z2352" t="s">
        <v>117</v>
      </c>
      <c r="AA2352" t="str">
        <f>"14221-5411"</f>
        <v>14221-5411</v>
      </c>
      <c r="AB2352" t="s">
        <v>118</v>
      </c>
      <c r="AC2352" t="s">
        <v>119</v>
      </c>
      <c r="AD2352" t="s">
        <v>113</v>
      </c>
      <c r="AE2352" t="s">
        <v>120</v>
      </c>
      <c r="AG2352" t="s">
        <v>121</v>
      </c>
    </row>
    <row r="2353" spans="1:33" x14ac:dyDescent="0.25">
      <c r="A2353" t="str">
        <f>"1619980034"</f>
        <v>1619980034</v>
      </c>
      <c r="B2353" t="str">
        <f>"03267829"</f>
        <v>03267829</v>
      </c>
      <c r="C2353" t="s">
        <v>13453</v>
      </c>
      <c r="D2353" t="s">
        <v>13454</v>
      </c>
      <c r="E2353" t="s">
        <v>13455</v>
      </c>
      <c r="G2353" t="s">
        <v>13456</v>
      </c>
      <c r="H2353" t="s">
        <v>13457</v>
      </c>
      <c r="J2353" t="s">
        <v>13458</v>
      </c>
      <c r="L2353" t="s">
        <v>142</v>
      </c>
      <c r="M2353" t="s">
        <v>113</v>
      </c>
      <c r="R2353" t="s">
        <v>13459</v>
      </c>
      <c r="W2353" t="s">
        <v>13455</v>
      </c>
      <c r="X2353" t="s">
        <v>216</v>
      </c>
      <c r="Y2353" t="s">
        <v>116</v>
      </c>
      <c r="Z2353" t="s">
        <v>117</v>
      </c>
      <c r="AA2353" t="str">
        <f>"14222-2006"</f>
        <v>14222-2006</v>
      </c>
      <c r="AB2353" t="s">
        <v>118</v>
      </c>
      <c r="AC2353" t="s">
        <v>119</v>
      </c>
      <c r="AD2353" t="s">
        <v>113</v>
      </c>
      <c r="AE2353" t="s">
        <v>120</v>
      </c>
      <c r="AG2353" t="s">
        <v>121</v>
      </c>
    </row>
    <row r="2354" spans="1:33" x14ac:dyDescent="0.25">
      <c r="A2354" t="str">
        <f>"1619983434"</f>
        <v>1619983434</v>
      </c>
      <c r="B2354" t="str">
        <f>"02344392"</f>
        <v>02344392</v>
      </c>
      <c r="C2354" t="s">
        <v>13460</v>
      </c>
      <c r="D2354" t="s">
        <v>13461</v>
      </c>
      <c r="E2354" t="s">
        <v>13462</v>
      </c>
      <c r="G2354" t="s">
        <v>13463</v>
      </c>
      <c r="H2354" t="s">
        <v>205</v>
      </c>
      <c r="J2354" t="s">
        <v>13464</v>
      </c>
      <c r="L2354" t="s">
        <v>142</v>
      </c>
      <c r="M2354" t="s">
        <v>113</v>
      </c>
      <c r="R2354" t="s">
        <v>13465</v>
      </c>
      <c r="W2354" t="s">
        <v>13462</v>
      </c>
      <c r="X2354" t="s">
        <v>13466</v>
      </c>
      <c r="Y2354" t="s">
        <v>240</v>
      </c>
      <c r="Z2354" t="s">
        <v>117</v>
      </c>
      <c r="AA2354" t="str">
        <f>"14221-5800"</f>
        <v>14221-5800</v>
      </c>
      <c r="AB2354" t="s">
        <v>118</v>
      </c>
      <c r="AC2354" t="s">
        <v>119</v>
      </c>
      <c r="AD2354" t="s">
        <v>113</v>
      </c>
      <c r="AE2354" t="s">
        <v>120</v>
      </c>
      <c r="AG2354" t="s">
        <v>121</v>
      </c>
    </row>
    <row r="2355" spans="1:33" x14ac:dyDescent="0.25">
      <c r="A2355" t="str">
        <f>"1619992203"</f>
        <v>1619992203</v>
      </c>
      <c r="B2355" t="str">
        <f>"01313368"</f>
        <v>01313368</v>
      </c>
      <c r="C2355" t="s">
        <v>13467</v>
      </c>
      <c r="D2355" t="s">
        <v>13468</v>
      </c>
      <c r="E2355" t="s">
        <v>13469</v>
      </c>
      <c r="G2355" t="s">
        <v>13467</v>
      </c>
      <c r="H2355" t="s">
        <v>3464</v>
      </c>
      <c r="J2355" t="s">
        <v>13470</v>
      </c>
      <c r="L2355" t="s">
        <v>142</v>
      </c>
      <c r="M2355" t="s">
        <v>113</v>
      </c>
      <c r="R2355" t="s">
        <v>13471</v>
      </c>
      <c r="W2355" t="s">
        <v>13469</v>
      </c>
      <c r="X2355" t="s">
        <v>253</v>
      </c>
      <c r="Y2355" t="s">
        <v>116</v>
      </c>
      <c r="Z2355" t="s">
        <v>117</v>
      </c>
      <c r="AA2355" t="str">
        <f>"14215-3021"</f>
        <v>14215-3021</v>
      </c>
      <c r="AB2355" t="s">
        <v>118</v>
      </c>
      <c r="AC2355" t="s">
        <v>119</v>
      </c>
      <c r="AD2355" t="s">
        <v>113</v>
      </c>
      <c r="AE2355" t="s">
        <v>120</v>
      </c>
      <c r="AG2355" t="s">
        <v>121</v>
      </c>
    </row>
    <row r="2356" spans="1:33" x14ac:dyDescent="0.25">
      <c r="A2356" t="str">
        <f>"1629014725"</f>
        <v>1629014725</v>
      </c>
      <c r="C2356" t="s">
        <v>13472</v>
      </c>
      <c r="G2356" t="s">
        <v>13472</v>
      </c>
      <c r="H2356" t="s">
        <v>3967</v>
      </c>
      <c r="J2356" t="s">
        <v>13473</v>
      </c>
      <c r="K2356" t="s">
        <v>303</v>
      </c>
      <c r="L2356" t="s">
        <v>229</v>
      </c>
      <c r="M2356" t="s">
        <v>113</v>
      </c>
      <c r="R2356" t="s">
        <v>13474</v>
      </c>
      <c r="S2356" t="s">
        <v>13475</v>
      </c>
      <c r="T2356" t="s">
        <v>116</v>
      </c>
      <c r="U2356" t="s">
        <v>117</v>
      </c>
      <c r="V2356" t="str">
        <f>"14222"</f>
        <v>14222</v>
      </c>
      <c r="AC2356" t="s">
        <v>119</v>
      </c>
      <c r="AD2356" t="s">
        <v>113</v>
      </c>
      <c r="AE2356" t="s">
        <v>306</v>
      </c>
      <c r="AG2356" t="s">
        <v>121</v>
      </c>
    </row>
    <row r="2357" spans="1:33" x14ac:dyDescent="0.25">
      <c r="A2357" t="str">
        <f>"1629015011"</f>
        <v>1629015011</v>
      </c>
      <c r="B2357" t="str">
        <f>"01606082"</f>
        <v>01606082</v>
      </c>
      <c r="C2357" t="s">
        <v>13476</v>
      </c>
      <c r="D2357" t="s">
        <v>13477</v>
      </c>
      <c r="E2357" t="s">
        <v>13478</v>
      </c>
      <c r="G2357" t="s">
        <v>13476</v>
      </c>
      <c r="H2357" t="s">
        <v>13479</v>
      </c>
      <c r="J2357" t="s">
        <v>13480</v>
      </c>
      <c r="L2357" t="s">
        <v>150</v>
      </c>
      <c r="M2357" t="s">
        <v>113</v>
      </c>
      <c r="R2357" t="s">
        <v>13481</v>
      </c>
      <c r="W2357" t="s">
        <v>13478</v>
      </c>
      <c r="X2357" t="s">
        <v>815</v>
      </c>
      <c r="Y2357" t="s">
        <v>889</v>
      </c>
      <c r="Z2357" t="s">
        <v>117</v>
      </c>
      <c r="AA2357" t="str">
        <f>"14120-4435"</f>
        <v>14120-4435</v>
      </c>
      <c r="AB2357" t="s">
        <v>118</v>
      </c>
      <c r="AC2357" t="s">
        <v>119</v>
      </c>
      <c r="AD2357" t="s">
        <v>113</v>
      </c>
      <c r="AE2357" t="s">
        <v>120</v>
      </c>
      <c r="AG2357" t="s">
        <v>121</v>
      </c>
    </row>
    <row r="2358" spans="1:33" x14ac:dyDescent="0.25">
      <c r="A2358" t="str">
        <f>"1629026703"</f>
        <v>1629026703</v>
      </c>
      <c r="B2358" t="str">
        <f>"00995506"</f>
        <v>00995506</v>
      </c>
      <c r="C2358" t="s">
        <v>13482</v>
      </c>
      <c r="D2358" t="s">
        <v>13483</v>
      </c>
      <c r="E2358" t="s">
        <v>13484</v>
      </c>
      <c r="G2358" t="s">
        <v>13482</v>
      </c>
      <c r="H2358" t="s">
        <v>13485</v>
      </c>
      <c r="J2358" t="s">
        <v>13486</v>
      </c>
      <c r="L2358" t="s">
        <v>150</v>
      </c>
      <c r="M2358" t="s">
        <v>113</v>
      </c>
      <c r="R2358" t="s">
        <v>13487</v>
      </c>
      <c r="W2358" t="s">
        <v>13484</v>
      </c>
      <c r="Y2358" t="s">
        <v>116</v>
      </c>
      <c r="Z2358" t="s">
        <v>117</v>
      </c>
      <c r="AA2358" t="str">
        <f>"14222-2099"</f>
        <v>14222-2099</v>
      </c>
      <c r="AB2358" t="s">
        <v>118</v>
      </c>
      <c r="AC2358" t="s">
        <v>119</v>
      </c>
      <c r="AD2358" t="s">
        <v>113</v>
      </c>
      <c r="AE2358" t="s">
        <v>120</v>
      </c>
      <c r="AG2358" t="s">
        <v>121</v>
      </c>
    </row>
    <row r="2359" spans="1:33" x14ac:dyDescent="0.25">
      <c r="A2359" t="str">
        <f>"1629027362"</f>
        <v>1629027362</v>
      </c>
      <c r="B2359" t="str">
        <f>"01242295"</f>
        <v>01242295</v>
      </c>
      <c r="C2359" t="s">
        <v>13488</v>
      </c>
      <c r="D2359" t="s">
        <v>13489</v>
      </c>
      <c r="E2359" t="s">
        <v>13490</v>
      </c>
      <c r="G2359" t="s">
        <v>13488</v>
      </c>
      <c r="H2359" t="s">
        <v>13491</v>
      </c>
      <c r="J2359" t="s">
        <v>13492</v>
      </c>
      <c r="L2359" t="s">
        <v>112</v>
      </c>
      <c r="M2359" t="s">
        <v>113</v>
      </c>
      <c r="R2359" t="s">
        <v>13493</v>
      </c>
      <c r="W2359" t="s">
        <v>13490</v>
      </c>
      <c r="Y2359" t="s">
        <v>116</v>
      </c>
      <c r="Z2359" t="s">
        <v>117</v>
      </c>
      <c r="AA2359" t="str">
        <f>"14215-3098"</f>
        <v>14215-3098</v>
      </c>
      <c r="AB2359" t="s">
        <v>118</v>
      </c>
      <c r="AC2359" t="s">
        <v>119</v>
      </c>
      <c r="AD2359" t="s">
        <v>113</v>
      </c>
      <c r="AE2359" t="s">
        <v>120</v>
      </c>
      <c r="AG2359" t="s">
        <v>121</v>
      </c>
    </row>
    <row r="2360" spans="1:33" x14ac:dyDescent="0.25">
      <c r="A2360" t="str">
        <f>"1720366461"</f>
        <v>1720366461</v>
      </c>
      <c r="C2360" t="s">
        <v>13494</v>
      </c>
      <c r="G2360" t="s">
        <v>13495</v>
      </c>
      <c r="H2360" t="s">
        <v>351</v>
      </c>
      <c r="J2360" t="s">
        <v>352</v>
      </c>
      <c r="K2360" t="s">
        <v>303</v>
      </c>
      <c r="L2360" t="s">
        <v>229</v>
      </c>
      <c r="M2360" t="s">
        <v>113</v>
      </c>
      <c r="R2360" t="s">
        <v>13496</v>
      </c>
      <c r="S2360" t="s">
        <v>354</v>
      </c>
      <c r="T2360" t="s">
        <v>116</v>
      </c>
      <c r="U2360" t="s">
        <v>117</v>
      </c>
      <c r="V2360" t="str">
        <f>"142152814"</f>
        <v>142152814</v>
      </c>
      <c r="AC2360" t="s">
        <v>119</v>
      </c>
      <c r="AD2360" t="s">
        <v>113</v>
      </c>
      <c r="AE2360" t="s">
        <v>306</v>
      </c>
      <c r="AG2360" t="s">
        <v>121</v>
      </c>
    </row>
    <row r="2361" spans="1:33" x14ac:dyDescent="0.25">
      <c r="A2361" t="str">
        <f>"1720385891"</f>
        <v>1720385891</v>
      </c>
      <c r="B2361" t="str">
        <f>"03353624"</f>
        <v>03353624</v>
      </c>
      <c r="C2361" t="s">
        <v>13497</v>
      </c>
      <c r="D2361" t="s">
        <v>13498</v>
      </c>
      <c r="E2361" t="s">
        <v>13499</v>
      </c>
      <c r="G2361" t="s">
        <v>13500</v>
      </c>
      <c r="J2361" t="s">
        <v>13501</v>
      </c>
      <c r="L2361" t="s">
        <v>112</v>
      </c>
      <c r="M2361" t="s">
        <v>113</v>
      </c>
      <c r="R2361" t="s">
        <v>13502</v>
      </c>
      <c r="W2361" t="s">
        <v>13503</v>
      </c>
      <c r="X2361" t="s">
        <v>216</v>
      </c>
      <c r="Y2361" t="s">
        <v>116</v>
      </c>
      <c r="Z2361" t="s">
        <v>117</v>
      </c>
      <c r="AA2361" t="str">
        <f>"14222-2006"</f>
        <v>14222-2006</v>
      </c>
      <c r="AB2361" t="s">
        <v>118</v>
      </c>
      <c r="AC2361" t="s">
        <v>119</v>
      </c>
      <c r="AD2361" t="s">
        <v>113</v>
      </c>
      <c r="AE2361" t="s">
        <v>120</v>
      </c>
      <c r="AG2361" t="s">
        <v>121</v>
      </c>
    </row>
    <row r="2362" spans="1:33" x14ac:dyDescent="0.25">
      <c r="A2362" t="str">
        <f>"1720394505"</f>
        <v>1720394505</v>
      </c>
      <c r="B2362" t="str">
        <f>"04338161"</f>
        <v>04338161</v>
      </c>
      <c r="C2362" t="s">
        <v>13504</v>
      </c>
      <c r="D2362" t="s">
        <v>13505</v>
      </c>
      <c r="E2362" t="s">
        <v>13506</v>
      </c>
      <c r="G2362" t="s">
        <v>13504</v>
      </c>
      <c r="H2362" t="s">
        <v>1964</v>
      </c>
      <c r="J2362" t="s">
        <v>13507</v>
      </c>
      <c r="L2362" t="s">
        <v>112</v>
      </c>
      <c r="M2362" t="s">
        <v>113</v>
      </c>
      <c r="R2362" t="s">
        <v>13508</v>
      </c>
      <c r="W2362" t="s">
        <v>13506</v>
      </c>
      <c r="X2362" t="s">
        <v>176</v>
      </c>
      <c r="Y2362" t="s">
        <v>116</v>
      </c>
      <c r="Z2362" t="s">
        <v>117</v>
      </c>
      <c r="AA2362" t="str">
        <f>"14203-1126"</f>
        <v>14203-1126</v>
      </c>
      <c r="AB2362" t="s">
        <v>118</v>
      </c>
      <c r="AC2362" t="s">
        <v>119</v>
      </c>
      <c r="AD2362" t="s">
        <v>113</v>
      </c>
      <c r="AE2362" t="s">
        <v>120</v>
      </c>
      <c r="AG2362" t="s">
        <v>121</v>
      </c>
    </row>
    <row r="2363" spans="1:33" x14ac:dyDescent="0.25">
      <c r="A2363" t="str">
        <f>"1720417058"</f>
        <v>1720417058</v>
      </c>
      <c r="C2363" t="s">
        <v>13509</v>
      </c>
      <c r="G2363" t="s">
        <v>13510</v>
      </c>
      <c r="H2363" t="s">
        <v>590</v>
      </c>
      <c r="J2363" t="s">
        <v>13511</v>
      </c>
      <c r="K2363" t="s">
        <v>303</v>
      </c>
      <c r="L2363" t="s">
        <v>112</v>
      </c>
      <c r="M2363" t="s">
        <v>113</v>
      </c>
      <c r="R2363" t="s">
        <v>13512</v>
      </c>
      <c r="S2363" t="s">
        <v>593</v>
      </c>
      <c r="T2363" t="s">
        <v>268</v>
      </c>
      <c r="U2363" t="s">
        <v>117</v>
      </c>
      <c r="V2363" t="str">
        <f>"141509200"</f>
        <v>141509200</v>
      </c>
      <c r="AC2363" t="s">
        <v>119</v>
      </c>
      <c r="AD2363" t="s">
        <v>113</v>
      </c>
      <c r="AE2363" t="s">
        <v>306</v>
      </c>
      <c r="AG2363" t="s">
        <v>121</v>
      </c>
    </row>
    <row r="2364" spans="1:33" x14ac:dyDescent="0.25">
      <c r="A2364" t="str">
        <f>"1730120304"</f>
        <v>1730120304</v>
      </c>
      <c r="B2364" t="str">
        <f>"01771273"</f>
        <v>01771273</v>
      </c>
      <c r="C2364" t="s">
        <v>13513</v>
      </c>
      <c r="D2364" t="s">
        <v>13514</v>
      </c>
      <c r="E2364" t="s">
        <v>13515</v>
      </c>
      <c r="G2364" t="s">
        <v>13513</v>
      </c>
      <c r="H2364" t="s">
        <v>3743</v>
      </c>
      <c r="J2364" t="s">
        <v>13516</v>
      </c>
      <c r="L2364" t="s">
        <v>150</v>
      </c>
      <c r="M2364" t="s">
        <v>113</v>
      </c>
      <c r="R2364" t="s">
        <v>13517</v>
      </c>
      <c r="W2364" t="s">
        <v>13515</v>
      </c>
      <c r="X2364" t="s">
        <v>216</v>
      </c>
      <c r="Y2364" t="s">
        <v>116</v>
      </c>
      <c r="Z2364" t="s">
        <v>117</v>
      </c>
      <c r="AA2364" t="str">
        <f>"14222-2099"</f>
        <v>14222-2099</v>
      </c>
      <c r="AB2364" t="s">
        <v>118</v>
      </c>
      <c r="AC2364" t="s">
        <v>119</v>
      </c>
      <c r="AD2364" t="s">
        <v>113</v>
      </c>
      <c r="AE2364" t="s">
        <v>120</v>
      </c>
      <c r="AG2364" t="s">
        <v>121</v>
      </c>
    </row>
    <row r="2365" spans="1:33" x14ac:dyDescent="0.25">
      <c r="A2365" t="str">
        <f>"1730126400"</f>
        <v>1730126400</v>
      </c>
      <c r="B2365" t="str">
        <f>"00756785"</f>
        <v>00756785</v>
      </c>
      <c r="C2365" t="s">
        <v>13518</v>
      </c>
      <c r="D2365" t="s">
        <v>13519</v>
      </c>
      <c r="E2365" t="s">
        <v>13520</v>
      </c>
      <c r="G2365" t="s">
        <v>13518</v>
      </c>
      <c r="H2365" t="s">
        <v>2718</v>
      </c>
      <c r="J2365" t="s">
        <v>13521</v>
      </c>
      <c r="L2365" t="s">
        <v>150</v>
      </c>
      <c r="M2365" t="s">
        <v>113</v>
      </c>
      <c r="R2365" t="s">
        <v>13522</v>
      </c>
      <c r="W2365" t="s">
        <v>13520</v>
      </c>
      <c r="X2365" t="s">
        <v>13523</v>
      </c>
      <c r="Y2365" t="s">
        <v>326</v>
      </c>
      <c r="Z2365" t="s">
        <v>117</v>
      </c>
      <c r="AA2365" t="str">
        <f>"14127-1853"</f>
        <v>14127-1853</v>
      </c>
      <c r="AB2365" t="s">
        <v>118</v>
      </c>
      <c r="AC2365" t="s">
        <v>119</v>
      </c>
      <c r="AD2365" t="s">
        <v>113</v>
      </c>
      <c r="AE2365" t="s">
        <v>120</v>
      </c>
      <c r="AG2365" t="s">
        <v>121</v>
      </c>
    </row>
    <row r="2366" spans="1:33" x14ac:dyDescent="0.25">
      <c r="A2366" t="str">
        <f>"1730127556"</f>
        <v>1730127556</v>
      </c>
      <c r="B2366" t="str">
        <f>"00762405"</f>
        <v>00762405</v>
      </c>
      <c r="C2366" t="s">
        <v>13524</v>
      </c>
      <c r="D2366" t="s">
        <v>13525</v>
      </c>
      <c r="E2366" t="s">
        <v>13526</v>
      </c>
      <c r="G2366" t="s">
        <v>13524</v>
      </c>
      <c r="H2366" t="s">
        <v>13527</v>
      </c>
      <c r="J2366" t="s">
        <v>13528</v>
      </c>
      <c r="L2366" t="s">
        <v>150</v>
      </c>
      <c r="M2366" t="s">
        <v>199</v>
      </c>
      <c r="R2366" t="s">
        <v>13529</v>
      </c>
      <c r="W2366" t="s">
        <v>13526</v>
      </c>
      <c r="X2366" t="s">
        <v>784</v>
      </c>
      <c r="Y2366" t="s">
        <v>116</v>
      </c>
      <c r="Z2366" t="s">
        <v>117</v>
      </c>
      <c r="AA2366" t="str">
        <f>"14209-1194"</f>
        <v>14209-1194</v>
      </c>
      <c r="AB2366" t="s">
        <v>118</v>
      </c>
      <c r="AC2366" t="s">
        <v>119</v>
      </c>
      <c r="AD2366" t="s">
        <v>113</v>
      </c>
      <c r="AE2366" t="s">
        <v>120</v>
      </c>
      <c r="AG2366" t="s">
        <v>121</v>
      </c>
    </row>
    <row r="2367" spans="1:33" x14ac:dyDescent="0.25">
      <c r="B2367" t="str">
        <f>"02595999"</f>
        <v>02595999</v>
      </c>
      <c r="C2367" t="s">
        <v>1788</v>
      </c>
      <c r="D2367" t="s">
        <v>1789</v>
      </c>
      <c r="E2367" t="s">
        <v>1788</v>
      </c>
      <c r="F2367">
        <v>160769044</v>
      </c>
      <c r="H2367" t="s">
        <v>1596</v>
      </c>
      <c r="L2367" t="s">
        <v>69</v>
      </c>
      <c r="M2367" t="s">
        <v>199</v>
      </c>
      <c r="W2367" t="s">
        <v>1788</v>
      </c>
      <c r="X2367" t="s">
        <v>1566</v>
      </c>
      <c r="Y2367" t="s">
        <v>116</v>
      </c>
      <c r="Z2367" t="s">
        <v>117</v>
      </c>
      <c r="AA2367" t="str">
        <f>"14214-2015"</f>
        <v>14214-2015</v>
      </c>
      <c r="AB2367" t="s">
        <v>291</v>
      </c>
      <c r="AC2367" t="s">
        <v>119</v>
      </c>
      <c r="AD2367" t="s">
        <v>113</v>
      </c>
      <c r="AE2367" t="s">
        <v>120</v>
      </c>
      <c r="AG2367" t="s">
        <v>121</v>
      </c>
    </row>
    <row r="2368" spans="1:33" x14ac:dyDescent="0.25">
      <c r="A2368" t="str">
        <f>"1730137795"</f>
        <v>1730137795</v>
      </c>
      <c r="B2368" t="str">
        <f>"01090660"</f>
        <v>01090660</v>
      </c>
      <c r="C2368" t="s">
        <v>13537</v>
      </c>
      <c r="D2368" t="s">
        <v>13538</v>
      </c>
      <c r="E2368" t="s">
        <v>13539</v>
      </c>
      <c r="G2368" t="s">
        <v>13537</v>
      </c>
      <c r="H2368" t="s">
        <v>13540</v>
      </c>
      <c r="J2368" t="s">
        <v>13541</v>
      </c>
      <c r="L2368" t="s">
        <v>150</v>
      </c>
      <c r="M2368" t="s">
        <v>113</v>
      </c>
      <c r="R2368" t="s">
        <v>13542</v>
      </c>
      <c r="W2368" t="s">
        <v>13543</v>
      </c>
      <c r="X2368" t="s">
        <v>838</v>
      </c>
      <c r="Y2368" t="s">
        <v>240</v>
      </c>
      <c r="Z2368" t="s">
        <v>117</v>
      </c>
      <c r="AA2368" t="str">
        <f>"14221-3647"</f>
        <v>14221-3647</v>
      </c>
      <c r="AB2368" t="s">
        <v>118</v>
      </c>
      <c r="AC2368" t="s">
        <v>119</v>
      </c>
      <c r="AD2368" t="s">
        <v>113</v>
      </c>
      <c r="AE2368" t="s">
        <v>120</v>
      </c>
      <c r="AG2368" t="s">
        <v>121</v>
      </c>
    </row>
    <row r="2369" spans="1:33" x14ac:dyDescent="0.25">
      <c r="A2369" t="str">
        <f>"1730141714"</f>
        <v>1730141714</v>
      </c>
      <c r="B2369" t="str">
        <f>"01284179"</f>
        <v>01284179</v>
      </c>
      <c r="C2369" t="s">
        <v>13544</v>
      </c>
      <c r="D2369" t="s">
        <v>13545</v>
      </c>
      <c r="E2369" t="s">
        <v>13546</v>
      </c>
      <c r="G2369" t="s">
        <v>13544</v>
      </c>
      <c r="H2369" t="s">
        <v>579</v>
      </c>
      <c r="J2369" t="s">
        <v>13547</v>
      </c>
      <c r="L2369" t="s">
        <v>150</v>
      </c>
      <c r="M2369" t="s">
        <v>113</v>
      </c>
      <c r="R2369" t="s">
        <v>13548</v>
      </c>
      <c r="W2369" t="s">
        <v>13549</v>
      </c>
      <c r="X2369" t="s">
        <v>176</v>
      </c>
      <c r="Y2369" t="s">
        <v>116</v>
      </c>
      <c r="Z2369" t="s">
        <v>117</v>
      </c>
      <c r="AA2369" t="str">
        <f>"14203-1126"</f>
        <v>14203-1126</v>
      </c>
      <c r="AB2369" t="s">
        <v>118</v>
      </c>
      <c r="AC2369" t="s">
        <v>119</v>
      </c>
      <c r="AD2369" t="s">
        <v>113</v>
      </c>
      <c r="AE2369" t="s">
        <v>120</v>
      </c>
      <c r="AG2369" t="s">
        <v>121</v>
      </c>
    </row>
    <row r="2370" spans="1:33" x14ac:dyDescent="0.25">
      <c r="A2370" t="str">
        <f>"1730145343"</f>
        <v>1730145343</v>
      </c>
      <c r="B2370" t="str">
        <f>"00987531"</f>
        <v>00987531</v>
      </c>
      <c r="C2370" t="s">
        <v>13550</v>
      </c>
      <c r="D2370" t="s">
        <v>13551</v>
      </c>
      <c r="E2370" t="s">
        <v>13552</v>
      </c>
      <c r="G2370" t="s">
        <v>13550</v>
      </c>
      <c r="H2370" t="s">
        <v>205</v>
      </c>
      <c r="J2370" t="s">
        <v>13553</v>
      </c>
      <c r="L2370" t="s">
        <v>150</v>
      </c>
      <c r="M2370" t="s">
        <v>113</v>
      </c>
      <c r="R2370" t="s">
        <v>13554</v>
      </c>
      <c r="W2370" t="s">
        <v>13552</v>
      </c>
      <c r="X2370" t="s">
        <v>13555</v>
      </c>
      <c r="Y2370" t="s">
        <v>129</v>
      </c>
      <c r="Z2370" t="s">
        <v>117</v>
      </c>
      <c r="AA2370" t="str">
        <f>"14224-1324"</f>
        <v>14224-1324</v>
      </c>
      <c r="AB2370" t="s">
        <v>118</v>
      </c>
      <c r="AC2370" t="s">
        <v>119</v>
      </c>
      <c r="AD2370" t="s">
        <v>113</v>
      </c>
      <c r="AE2370" t="s">
        <v>120</v>
      </c>
      <c r="AG2370" t="s">
        <v>121</v>
      </c>
    </row>
    <row r="2371" spans="1:33" x14ac:dyDescent="0.25">
      <c r="A2371" t="str">
        <f>"1730146457"</f>
        <v>1730146457</v>
      </c>
      <c r="B2371" t="str">
        <f>"01970314"</f>
        <v>01970314</v>
      </c>
      <c r="C2371" t="s">
        <v>13556</v>
      </c>
      <c r="D2371" t="s">
        <v>13557</v>
      </c>
      <c r="E2371" t="s">
        <v>13558</v>
      </c>
      <c r="G2371" t="s">
        <v>13556</v>
      </c>
      <c r="H2371" t="s">
        <v>908</v>
      </c>
      <c r="J2371" t="s">
        <v>13559</v>
      </c>
      <c r="L2371" t="s">
        <v>142</v>
      </c>
      <c r="M2371" t="s">
        <v>113</v>
      </c>
      <c r="R2371" t="s">
        <v>13560</v>
      </c>
      <c r="W2371" t="s">
        <v>13558</v>
      </c>
      <c r="X2371" t="s">
        <v>1648</v>
      </c>
      <c r="Y2371" t="s">
        <v>116</v>
      </c>
      <c r="Z2371" t="s">
        <v>117</v>
      </c>
      <c r="AA2371" t="str">
        <f>"14214-2648"</f>
        <v>14214-2648</v>
      </c>
      <c r="AB2371" t="s">
        <v>118</v>
      </c>
      <c r="AC2371" t="s">
        <v>119</v>
      </c>
      <c r="AD2371" t="s">
        <v>113</v>
      </c>
      <c r="AE2371" t="s">
        <v>120</v>
      </c>
      <c r="AG2371" t="s">
        <v>121</v>
      </c>
    </row>
    <row r="2372" spans="1:33" x14ac:dyDescent="0.25">
      <c r="A2372" t="str">
        <f>"1730146713"</f>
        <v>1730146713</v>
      </c>
      <c r="B2372" t="str">
        <f>"03067356"</f>
        <v>03067356</v>
      </c>
      <c r="C2372" t="s">
        <v>13561</v>
      </c>
      <c r="D2372" t="s">
        <v>13562</v>
      </c>
      <c r="E2372" t="s">
        <v>13563</v>
      </c>
      <c r="G2372" t="s">
        <v>13561</v>
      </c>
      <c r="H2372" t="s">
        <v>4132</v>
      </c>
      <c r="J2372" t="s">
        <v>13564</v>
      </c>
      <c r="L2372" t="s">
        <v>142</v>
      </c>
      <c r="M2372" t="s">
        <v>113</v>
      </c>
      <c r="R2372" t="s">
        <v>13563</v>
      </c>
      <c r="W2372" t="s">
        <v>13563</v>
      </c>
      <c r="X2372" t="s">
        <v>13188</v>
      </c>
      <c r="Y2372" t="s">
        <v>958</v>
      </c>
      <c r="Z2372" t="s">
        <v>117</v>
      </c>
      <c r="AA2372" t="str">
        <f>"14228-2302"</f>
        <v>14228-2302</v>
      </c>
      <c r="AB2372" t="s">
        <v>118</v>
      </c>
      <c r="AC2372" t="s">
        <v>119</v>
      </c>
      <c r="AD2372" t="s">
        <v>113</v>
      </c>
      <c r="AE2372" t="s">
        <v>120</v>
      </c>
      <c r="AG2372" t="s">
        <v>121</v>
      </c>
    </row>
    <row r="2373" spans="1:33" x14ac:dyDescent="0.25">
      <c r="A2373" t="str">
        <f>"1093146391"</f>
        <v>1093146391</v>
      </c>
      <c r="C2373" t="s">
        <v>13565</v>
      </c>
      <c r="G2373" t="s">
        <v>13565</v>
      </c>
      <c r="J2373" t="s">
        <v>13566</v>
      </c>
      <c r="K2373" t="s">
        <v>303</v>
      </c>
      <c r="L2373" t="s">
        <v>229</v>
      </c>
      <c r="M2373" t="s">
        <v>113</v>
      </c>
      <c r="R2373" t="s">
        <v>13567</v>
      </c>
      <c r="S2373" t="s">
        <v>13568</v>
      </c>
      <c r="T2373" t="s">
        <v>116</v>
      </c>
      <c r="U2373" t="s">
        <v>117</v>
      </c>
      <c r="V2373" t="str">
        <f>"142222006"</f>
        <v>142222006</v>
      </c>
      <c r="AC2373" t="s">
        <v>119</v>
      </c>
      <c r="AD2373" t="s">
        <v>113</v>
      </c>
      <c r="AE2373" t="s">
        <v>306</v>
      </c>
      <c r="AG2373" t="s">
        <v>121</v>
      </c>
    </row>
    <row r="2374" spans="1:33" x14ac:dyDescent="0.25">
      <c r="A2374" t="str">
        <f>"1093156358"</f>
        <v>1093156358</v>
      </c>
      <c r="B2374" t="str">
        <f>"03640195"</f>
        <v>03640195</v>
      </c>
      <c r="C2374" t="s">
        <v>13569</v>
      </c>
      <c r="D2374" t="s">
        <v>13570</v>
      </c>
      <c r="E2374" t="s">
        <v>13571</v>
      </c>
      <c r="G2374" t="s">
        <v>13572</v>
      </c>
      <c r="H2374" t="s">
        <v>590</v>
      </c>
      <c r="J2374" t="s">
        <v>13573</v>
      </c>
      <c r="L2374" t="s">
        <v>112</v>
      </c>
      <c r="M2374" t="s">
        <v>113</v>
      </c>
      <c r="R2374" t="s">
        <v>13574</v>
      </c>
      <c r="W2374" t="s">
        <v>13571</v>
      </c>
      <c r="X2374" t="s">
        <v>605</v>
      </c>
      <c r="Y2374" t="s">
        <v>326</v>
      </c>
      <c r="Z2374" t="s">
        <v>117</v>
      </c>
      <c r="AA2374" t="str">
        <f>"14127-2600"</f>
        <v>14127-2600</v>
      </c>
      <c r="AB2374" t="s">
        <v>528</v>
      </c>
      <c r="AC2374" t="s">
        <v>119</v>
      </c>
      <c r="AD2374" t="s">
        <v>113</v>
      </c>
      <c r="AE2374" t="s">
        <v>120</v>
      </c>
      <c r="AG2374" t="s">
        <v>121</v>
      </c>
    </row>
    <row r="2375" spans="1:33" x14ac:dyDescent="0.25">
      <c r="A2375" t="str">
        <f>"1093706657"</f>
        <v>1093706657</v>
      </c>
      <c r="B2375" t="str">
        <f>"02166287"</f>
        <v>02166287</v>
      </c>
      <c r="C2375" t="s">
        <v>13575</v>
      </c>
      <c r="D2375" t="s">
        <v>13576</v>
      </c>
      <c r="E2375" t="s">
        <v>13577</v>
      </c>
      <c r="G2375" t="s">
        <v>13575</v>
      </c>
      <c r="H2375" t="s">
        <v>12609</v>
      </c>
      <c r="J2375" t="s">
        <v>13578</v>
      </c>
      <c r="L2375" t="s">
        <v>150</v>
      </c>
      <c r="M2375" t="s">
        <v>199</v>
      </c>
      <c r="R2375" t="s">
        <v>13579</v>
      </c>
      <c r="W2375" t="s">
        <v>13580</v>
      </c>
      <c r="X2375" t="s">
        <v>5537</v>
      </c>
      <c r="Y2375" t="s">
        <v>116</v>
      </c>
      <c r="Z2375" t="s">
        <v>117</v>
      </c>
      <c r="AA2375" t="str">
        <f>"14222-2006"</f>
        <v>14222-2006</v>
      </c>
      <c r="AB2375" t="s">
        <v>118</v>
      </c>
      <c r="AC2375" t="s">
        <v>119</v>
      </c>
      <c r="AD2375" t="s">
        <v>113</v>
      </c>
      <c r="AE2375" t="s">
        <v>120</v>
      </c>
      <c r="AG2375" t="s">
        <v>121</v>
      </c>
    </row>
    <row r="2376" spans="1:33" x14ac:dyDescent="0.25">
      <c r="A2376" t="str">
        <f>"1093712077"</f>
        <v>1093712077</v>
      </c>
      <c r="B2376" t="str">
        <f>"02430275"</f>
        <v>02430275</v>
      </c>
      <c r="C2376" t="s">
        <v>13581</v>
      </c>
      <c r="D2376" t="s">
        <v>13582</v>
      </c>
      <c r="E2376" t="s">
        <v>13583</v>
      </c>
      <c r="G2376" t="s">
        <v>13584</v>
      </c>
      <c r="H2376" t="s">
        <v>579</v>
      </c>
      <c r="J2376" t="s">
        <v>13585</v>
      </c>
      <c r="L2376" t="s">
        <v>142</v>
      </c>
      <c r="M2376" t="s">
        <v>113</v>
      </c>
      <c r="R2376" t="s">
        <v>13586</v>
      </c>
      <c r="W2376" t="s">
        <v>13587</v>
      </c>
      <c r="X2376" t="s">
        <v>176</v>
      </c>
      <c r="Y2376" t="s">
        <v>116</v>
      </c>
      <c r="Z2376" t="s">
        <v>117</v>
      </c>
      <c r="AA2376" t="str">
        <f>"14203-1126"</f>
        <v>14203-1126</v>
      </c>
      <c r="AB2376" t="s">
        <v>118</v>
      </c>
      <c r="AC2376" t="s">
        <v>119</v>
      </c>
      <c r="AD2376" t="s">
        <v>113</v>
      </c>
      <c r="AE2376" t="s">
        <v>120</v>
      </c>
      <c r="AG2376" t="s">
        <v>121</v>
      </c>
    </row>
    <row r="2377" spans="1:33" x14ac:dyDescent="0.25">
      <c r="A2377" t="str">
        <f>"1093713141"</f>
        <v>1093713141</v>
      </c>
      <c r="B2377" t="str">
        <f>"00603223"</f>
        <v>00603223</v>
      </c>
      <c r="C2377" t="s">
        <v>13588</v>
      </c>
      <c r="D2377" t="s">
        <v>13589</v>
      </c>
      <c r="E2377" t="s">
        <v>13590</v>
      </c>
      <c r="G2377" t="s">
        <v>13591</v>
      </c>
      <c r="H2377" t="s">
        <v>1204</v>
      </c>
      <c r="L2377" t="s">
        <v>150</v>
      </c>
      <c r="M2377" t="s">
        <v>113</v>
      </c>
      <c r="R2377" t="s">
        <v>13591</v>
      </c>
      <c r="W2377" t="s">
        <v>13592</v>
      </c>
      <c r="X2377" t="s">
        <v>10633</v>
      </c>
      <c r="Y2377" t="s">
        <v>153</v>
      </c>
      <c r="Z2377" t="s">
        <v>117</v>
      </c>
      <c r="AA2377" t="str">
        <f>"14304-5705"</f>
        <v>14304-5705</v>
      </c>
      <c r="AB2377" t="s">
        <v>118</v>
      </c>
      <c r="AC2377" t="s">
        <v>119</v>
      </c>
      <c r="AD2377" t="s">
        <v>113</v>
      </c>
      <c r="AE2377" t="s">
        <v>120</v>
      </c>
      <c r="AG2377" t="s">
        <v>121</v>
      </c>
    </row>
    <row r="2378" spans="1:33" x14ac:dyDescent="0.25">
      <c r="A2378" t="str">
        <f>"1093718819"</f>
        <v>1093718819</v>
      </c>
      <c r="B2378" t="str">
        <f>"01136552"</f>
        <v>01136552</v>
      </c>
      <c r="C2378" t="s">
        <v>13593</v>
      </c>
      <c r="D2378" t="s">
        <v>13594</v>
      </c>
      <c r="E2378" t="s">
        <v>13595</v>
      </c>
      <c r="G2378" t="s">
        <v>13593</v>
      </c>
      <c r="H2378" t="s">
        <v>3780</v>
      </c>
      <c r="J2378" t="s">
        <v>13596</v>
      </c>
      <c r="L2378" t="s">
        <v>1033</v>
      </c>
      <c r="M2378" t="s">
        <v>113</v>
      </c>
      <c r="R2378" t="s">
        <v>13597</v>
      </c>
      <c r="W2378" t="s">
        <v>13595</v>
      </c>
      <c r="X2378" t="s">
        <v>13598</v>
      </c>
      <c r="Y2378" t="s">
        <v>116</v>
      </c>
      <c r="Z2378" t="s">
        <v>117</v>
      </c>
      <c r="AA2378" t="str">
        <f>"14203-1005"</f>
        <v>14203-1005</v>
      </c>
      <c r="AB2378" t="s">
        <v>118</v>
      </c>
      <c r="AC2378" t="s">
        <v>119</v>
      </c>
      <c r="AD2378" t="s">
        <v>113</v>
      </c>
      <c r="AE2378" t="s">
        <v>120</v>
      </c>
      <c r="AG2378" t="s">
        <v>121</v>
      </c>
    </row>
    <row r="2379" spans="1:33" x14ac:dyDescent="0.25">
      <c r="A2379" t="str">
        <f>"1093725665"</f>
        <v>1093725665</v>
      </c>
      <c r="B2379" t="str">
        <f>"00833087"</f>
        <v>00833087</v>
      </c>
      <c r="C2379" t="s">
        <v>13599</v>
      </c>
      <c r="D2379" t="s">
        <v>13600</v>
      </c>
      <c r="E2379" t="s">
        <v>13601</v>
      </c>
      <c r="G2379" t="s">
        <v>13599</v>
      </c>
      <c r="H2379" t="s">
        <v>13602</v>
      </c>
      <c r="J2379" t="s">
        <v>13603</v>
      </c>
      <c r="L2379" t="s">
        <v>112</v>
      </c>
      <c r="M2379" t="s">
        <v>113</v>
      </c>
      <c r="R2379" t="s">
        <v>13604</v>
      </c>
      <c r="W2379" t="s">
        <v>13605</v>
      </c>
      <c r="X2379" t="s">
        <v>13606</v>
      </c>
      <c r="Y2379" t="s">
        <v>240</v>
      </c>
      <c r="Z2379" t="s">
        <v>117</v>
      </c>
      <c r="AA2379" t="str">
        <f>"14221-5726"</f>
        <v>14221-5726</v>
      </c>
      <c r="AB2379" t="s">
        <v>118</v>
      </c>
      <c r="AC2379" t="s">
        <v>119</v>
      </c>
      <c r="AD2379" t="s">
        <v>113</v>
      </c>
      <c r="AE2379" t="s">
        <v>120</v>
      </c>
      <c r="AG2379" t="s">
        <v>121</v>
      </c>
    </row>
    <row r="2380" spans="1:33" x14ac:dyDescent="0.25">
      <c r="A2380" t="str">
        <f>"1093726952"</f>
        <v>1093726952</v>
      </c>
      <c r="B2380" t="str">
        <f>"01113157"</f>
        <v>01113157</v>
      </c>
      <c r="C2380" t="s">
        <v>13607</v>
      </c>
      <c r="D2380" t="s">
        <v>13608</v>
      </c>
      <c r="E2380" t="s">
        <v>13609</v>
      </c>
      <c r="G2380" t="s">
        <v>13607</v>
      </c>
      <c r="H2380" t="s">
        <v>13610</v>
      </c>
      <c r="J2380" t="s">
        <v>13611</v>
      </c>
      <c r="L2380" t="s">
        <v>142</v>
      </c>
      <c r="M2380" t="s">
        <v>113</v>
      </c>
      <c r="R2380" t="s">
        <v>13612</v>
      </c>
      <c r="W2380" t="s">
        <v>13609</v>
      </c>
      <c r="X2380" t="s">
        <v>13613</v>
      </c>
      <c r="Y2380" t="s">
        <v>377</v>
      </c>
      <c r="Z2380" t="s">
        <v>117</v>
      </c>
      <c r="AA2380" t="str">
        <f>"14223-1402"</f>
        <v>14223-1402</v>
      </c>
      <c r="AB2380" t="s">
        <v>1755</v>
      </c>
      <c r="AC2380" t="s">
        <v>119</v>
      </c>
      <c r="AD2380" t="s">
        <v>113</v>
      </c>
      <c r="AE2380" t="s">
        <v>120</v>
      </c>
      <c r="AG2380" t="s">
        <v>121</v>
      </c>
    </row>
    <row r="2381" spans="1:33" x14ac:dyDescent="0.25">
      <c r="A2381" t="str">
        <f>"1093753501"</f>
        <v>1093753501</v>
      </c>
      <c r="B2381" t="str">
        <f>"02285129"</f>
        <v>02285129</v>
      </c>
      <c r="C2381" t="s">
        <v>13614</v>
      </c>
      <c r="D2381" t="s">
        <v>13615</v>
      </c>
      <c r="E2381" t="s">
        <v>13616</v>
      </c>
      <c r="G2381" t="s">
        <v>13617</v>
      </c>
      <c r="H2381" t="s">
        <v>6352</v>
      </c>
      <c r="J2381" t="s">
        <v>13618</v>
      </c>
      <c r="L2381" t="s">
        <v>142</v>
      </c>
      <c r="M2381" t="s">
        <v>113</v>
      </c>
      <c r="R2381" t="s">
        <v>13619</v>
      </c>
      <c r="W2381" t="s">
        <v>13616</v>
      </c>
      <c r="X2381" t="s">
        <v>176</v>
      </c>
      <c r="Y2381" t="s">
        <v>116</v>
      </c>
      <c r="Z2381" t="s">
        <v>117</v>
      </c>
      <c r="AA2381" t="str">
        <f>"14203-1126"</f>
        <v>14203-1126</v>
      </c>
      <c r="AB2381" t="s">
        <v>118</v>
      </c>
      <c r="AC2381" t="s">
        <v>119</v>
      </c>
      <c r="AD2381" t="s">
        <v>113</v>
      </c>
      <c r="AE2381" t="s">
        <v>120</v>
      </c>
      <c r="AG2381" t="s">
        <v>121</v>
      </c>
    </row>
    <row r="2382" spans="1:33" x14ac:dyDescent="0.25">
      <c r="A2382" t="str">
        <f>"1093765448"</f>
        <v>1093765448</v>
      </c>
      <c r="B2382" t="str">
        <f>"02162370"</f>
        <v>02162370</v>
      </c>
      <c r="C2382" t="s">
        <v>13620</v>
      </c>
      <c r="D2382" t="s">
        <v>13621</v>
      </c>
      <c r="E2382" t="s">
        <v>13622</v>
      </c>
      <c r="G2382" t="s">
        <v>13620</v>
      </c>
      <c r="H2382" t="s">
        <v>366</v>
      </c>
      <c r="J2382" t="s">
        <v>13623</v>
      </c>
      <c r="L2382" t="s">
        <v>112</v>
      </c>
      <c r="M2382" t="s">
        <v>113</v>
      </c>
      <c r="R2382" t="s">
        <v>13624</v>
      </c>
      <c r="W2382" t="s">
        <v>13622</v>
      </c>
      <c r="X2382" t="s">
        <v>176</v>
      </c>
      <c r="Y2382" t="s">
        <v>116</v>
      </c>
      <c r="Z2382" t="s">
        <v>117</v>
      </c>
      <c r="AA2382" t="str">
        <f>"14203-1126"</f>
        <v>14203-1126</v>
      </c>
      <c r="AB2382" t="s">
        <v>118</v>
      </c>
      <c r="AC2382" t="s">
        <v>119</v>
      </c>
      <c r="AD2382" t="s">
        <v>113</v>
      </c>
      <c r="AE2382" t="s">
        <v>120</v>
      </c>
      <c r="AG2382" t="s">
        <v>121</v>
      </c>
    </row>
    <row r="2383" spans="1:33" x14ac:dyDescent="0.25">
      <c r="A2383" t="str">
        <f>"1093766412"</f>
        <v>1093766412</v>
      </c>
      <c r="B2383" t="str">
        <f>"01480299"</f>
        <v>01480299</v>
      </c>
      <c r="C2383" t="s">
        <v>13625</v>
      </c>
      <c r="D2383" t="s">
        <v>13626</v>
      </c>
      <c r="E2383" t="s">
        <v>13627</v>
      </c>
      <c r="G2383" t="s">
        <v>13625</v>
      </c>
      <c r="H2383" t="s">
        <v>205</v>
      </c>
      <c r="J2383" t="s">
        <v>13628</v>
      </c>
      <c r="L2383" t="s">
        <v>142</v>
      </c>
      <c r="M2383" t="s">
        <v>113</v>
      </c>
      <c r="R2383" t="s">
        <v>13629</v>
      </c>
      <c r="W2383" t="s">
        <v>13627</v>
      </c>
      <c r="X2383" t="s">
        <v>13466</v>
      </c>
      <c r="Y2383" t="s">
        <v>240</v>
      </c>
      <c r="Z2383" t="s">
        <v>117</v>
      </c>
      <c r="AA2383" t="str">
        <f>"14221-5795"</f>
        <v>14221-5795</v>
      </c>
      <c r="AB2383" t="s">
        <v>118</v>
      </c>
      <c r="AC2383" t="s">
        <v>119</v>
      </c>
      <c r="AD2383" t="s">
        <v>113</v>
      </c>
      <c r="AE2383" t="s">
        <v>120</v>
      </c>
      <c r="AG2383" t="s">
        <v>121</v>
      </c>
    </row>
    <row r="2384" spans="1:33" x14ac:dyDescent="0.25">
      <c r="A2384" t="str">
        <f>"1093770927"</f>
        <v>1093770927</v>
      </c>
      <c r="B2384" t="str">
        <f>"01412371"</f>
        <v>01412371</v>
      </c>
      <c r="C2384" t="s">
        <v>13630</v>
      </c>
      <c r="D2384" t="s">
        <v>13631</v>
      </c>
      <c r="E2384" t="s">
        <v>13632</v>
      </c>
      <c r="G2384" t="s">
        <v>2847</v>
      </c>
      <c r="H2384" t="s">
        <v>13633</v>
      </c>
      <c r="J2384" t="s">
        <v>2849</v>
      </c>
      <c r="L2384" t="s">
        <v>150</v>
      </c>
      <c r="M2384" t="s">
        <v>113</v>
      </c>
      <c r="R2384" t="s">
        <v>13634</v>
      </c>
      <c r="W2384" t="s">
        <v>13632</v>
      </c>
      <c r="X2384" t="s">
        <v>13635</v>
      </c>
      <c r="Y2384" t="s">
        <v>816</v>
      </c>
      <c r="Z2384" t="s">
        <v>117</v>
      </c>
      <c r="AA2384" t="str">
        <f>"14120-6150"</f>
        <v>14120-6150</v>
      </c>
      <c r="AB2384" t="s">
        <v>118</v>
      </c>
      <c r="AC2384" t="s">
        <v>119</v>
      </c>
      <c r="AD2384" t="s">
        <v>113</v>
      </c>
      <c r="AE2384" t="s">
        <v>120</v>
      </c>
      <c r="AG2384" t="s">
        <v>121</v>
      </c>
    </row>
    <row r="2385" spans="1:33" x14ac:dyDescent="0.25">
      <c r="A2385" t="str">
        <f>"1093773871"</f>
        <v>1093773871</v>
      </c>
      <c r="B2385" t="str">
        <f>"02777140"</f>
        <v>02777140</v>
      </c>
      <c r="C2385" t="s">
        <v>13636</v>
      </c>
      <c r="D2385" t="s">
        <v>13637</v>
      </c>
      <c r="E2385" t="s">
        <v>13638</v>
      </c>
      <c r="G2385" t="s">
        <v>13636</v>
      </c>
      <c r="H2385" t="s">
        <v>13639</v>
      </c>
      <c r="J2385" t="s">
        <v>13640</v>
      </c>
      <c r="L2385" t="s">
        <v>112</v>
      </c>
      <c r="M2385" t="s">
        <v>113</v>
      </c>
      <c r="R2385" t="s">
        <v>13641</v>
      </c>
      <c r="W2385" t="s">
        <v>13638</v>
      </c>
      <c r="X2385" t="s">
        <v>216</v>
      </c>
      <c r="Y2385" t="s">
        <v>116</v>
      </c>
      <c r="Z2385" t="s">
        <v>117</v>
      </c>
      <c r="AA2385" t="str">
        <f>"14222-2006"</f>
        <v>14222-2006</v>
      </c>
      <c r="AB2385" t="s">
        <v>118</v>
      </c>
      <c r="AC2385" t="s">
        <v>119</v>
      </c>
      <c r="AD2385" t="s">
        <v>113</v>
      </c>
      <c r="AE2385" t="s">
        <v>120</v>
      </c>
      <c r="AG2385" t="s">
        <v>121</v>
      </c>
    </row>
    <row r="2386" spans="1:33" x14ac:dyDescent="0.25">
      <c r="A2386" t="str">
        <f>"1093780025"</f>
        <v>1093780025</v>
      </c>
      <c r="B2386" t="str">
        <f>"02153579"</f>
        <v>02153579</v>
      </c>
      <c r="C2386" t="s">
        <v>13642</v>
      </c>
      <c r="D2386" t="s">
        <v>13643</v>
      </c>
      <c r="E2386" t="s">
        <v>13644</v>
      </c>
      <c r="G2386" t="s">
        <v>13645</v>
      </c>
      <c r="H2386" t="s">
        <v>382</v>
      </c>
      <c r="J2386" t="s">
        <v>383</v>
      </c>
      <c r="L2386" t="s">
        <v>142</v>
      </c>
      <c r="M2386" t="s">
        <v>113</v>
      </c>
      <c r="R2386" t="s">
        <v>13646</v>
      </c>
      <c r="W2386" t="s">
        <v>13644</v>
      </c>
      <c r="X2386" t="s">
        <v>13647</v>
      </c>
      <c r="Y2386" t="s">
        <v>13648</v>
      </c>
      <c r="Z2386" t="s">
        <v>117</v>
      </c>
      <c r="AA2386" t="str">
        <f>"14716-9749"</f>
        <v>14716-9749</v>
      </c>
      <c r="AB2386" t="s">
        <v>118</v>
      </c>
      <c r="AC2386" t="s">
        <v>119</v>
      </c>
      <c r="AD2386" t="s">
        <v>113</v>
      </c>
      <c r="AE2386" t="s">
        <v>120</v>
      </c>
      <c r="AG2386" t="s">
        <v>121</v>
      </c>
    </row>
    <row r="2387" spans="1:33" x14ac:dyDescent="0.25">
      <c r="A2387" t="str">
        <f>"1205811569"</f>
        <v>1205811569</v>
      </c>
      <c r="B2387" t="str">
        <f>"02902110"</f>
        <v>02902110</v>
      </c>
      <c r="C2387" t="s">
        <v>13649</v>
      </c>
      <c r="D2387" t="s">
        <v>13650</v>
      </c>
      <c r="E2387" t="s">
        <v>13651</v>
      </c>
      <c r="G2387" t="s">
        <v>13649</v>
      </c>
      <c r="H2387" t="s">
        <v>227</v>
      </c>
      <c r="J2387" t="s">
        <v>13652</v>
      </c>
      <c r="L2387" t="s">
        <v>142</v>
      </c>
      <c r="M2387" t="s">
        <v>113</v>
      </c>
      <c r="R2387" t="s">
        <v>13653</v>
      </c>
      <c r="W2387" t="s">
        <v>13651</v>
      </c>
      <c r="AB2387" t="s">
        <v>118</v>
      </c>
      <c r="AC2387" t="s">
        <v>119</v>
      </c>
      <c r="AD2387" t="s">
        <v>113</v>
      </c>
      <c r="AE2387" t="s">
        <v>120</v>
      </c>
      <c r="AG2387" t="s">
        <v>121</v>
      </c>
    </row>
    <row r="2388" spans="1:33" x14ac:dyDescent="0.25">
      <c r="A2388" t="str">
        <f>"1205811759"</f>
        <v>1205811759</v>
      </c>
      <c r="B2388" t="str">
        <f>"02684760"</f>
        <v>02684760</v>
      </c>
      <c r="C2388" t="s">
        <v>13654</v>
      </c>
      <c r="D2388" t="s">
        <v>13655</v>
      </c>
      <c r="E2388" t="s">
        <v>13656</v>
      </c>
      <c r="G2388" t="s">
        <v>13654</v>
      </c>
      <c r="H2388" t="s">
        <v>227</v>
      </c>
      <c r="J2388" t="s">
        <v>13657</v>
      </c>
      <c r="L2388" t="s">
        <v>142</v>
      </c>
      <c r="M2388" t="s">
        <v>113</v>
      </c>
      <c r="R2388" t="s">
        <v>13658</v>
      </c>
      <c r="W2388" t="s">
        <v>13656</v>
      </c>
      <c r="X2388" t="s">
        <v>1318</v>
      </c>
      <c r="Y2388" t="s">
        <v>1319</v>
      </c>
      <c r="Z2388" t="s">
        <v>117</v>
      </c>
      <c r="AA2388" t="str">
        <f>"11373-1329"</f>
        <v>11373-1329</v>
      </c>
      <c r="AB2388" t="s">
        <v>118</v>
      </c>
      <c r="AC2388" t="s">
        <v>119</v>
      </c>
      <c r="AD2388" t="s">
        <v>113</v>
      </c>
      <c r="AE2388" t="s">
        <v>120</v>
      </c>
      <c r="AG2388" t="s">
        <v>121</v>
      </c>
    </row>
    <row r="2389" spans="1:33" x14ac:dyDescent="0.25">
      <c r="A2389" t="str">
        <f>"1205815255"</f>
        <v>1205815255</v>
      </c>
      <c r="B2389" t="str">
        <f>"00811692"</f>
        <v>00811692</v>
      </c>
      <c r="C2389" t="s">
        <v>13659</v>
      </c>
      <c r="D2389" t="s">
        <v>13660</v>
      </c>
      <c r="E2389" t="s">
        <v>13661</v>
      </c>
      <c r="H2389" t="s">
        <v>5567</v>
      </c>
      <c r="L2389" t="s">
        <v>150</v>
      </c>
      <c r="M2389" t="s">
        <v>113</v>
      </c>
      <c r="R2389" t="s">
        <v>13662</v>
      </c>
      <c r="W2389" t="s">
        <v>13663</v>
      </c>
      <c r="X2389" t="s">
        <v>13664</v>
      </c>
      <c r="Y2389" t="s">
        <v>1767</v>
      </c>
      <c r="Z2389" t="s">
        <v>117</v>
      </c>
      <c r="AA2389" t="str">
        <f>"14779-1455"</f>
        <v>14779-1455</v>
      </c>
      <c r="AB2389" t="s">
        <v>118</v>
      </c>
      <c r="AC2389" t="s">
        <v>119</v>
      </c>
      <c r="AD2389" t="s">
        <v>113</v>
      </c>
      <c r="AE2389" t="s">
        <v>120</v>
      </c>
      <c r="AG2389" t="s">
        <v>121</v>
      </c>
    </row>
    <row r="2390" spans="1:33" x14ac:dyDescent="0.25">
      <c r="A2390" t="str">
        <f>"1205827805"</f>
        <v>1205827805</v>
      </c>
      <c r="B2390" t="str">
        <f>"00643632"</f>
        <v>00643632</v>
      </c>
      <c r="C2390" t="s">
        <v>13665</v>
      </c>
      <c r="D2390" t="s">
        <v>13666</v>
      </c>
      <c r="E2390" t="s">
        <v>13667</v>
      </c>
      <c r="G2390" t="s">
        <v>13665</v>
      </c>
      <c r="H2390" t="s">
        <v>768</v>
      </c>
      <c r="J2390" t="s">
        <v>13668</v>
      </c>
      <c r="L2390" t="s">
        <v>150</v>
      </c>
      <c r="M2390" t="s">
        <v>113</v>
      </c>
      <c r="R2390" t="s">
        <v>13669</v>
      </c>
      <c r="W2390" t="s">
        <v>13670</v>
      </c>
      <c r="X2390" t="s">
        <v>772</v>
      </c>
      <c r="Y2390" t="s">
        <v>240</v>
      </c>
      <c r="Z2390" t="s">
        <v>117</v>
      </c>
      <c r="AA2390" t="str">
        <f>"14221-4641"</f>
        <v>14221-4641</v>
      </c>
      <c r="AB2390" t="s">
        <v>118</v>
      </c>
      <c r="AC2390" t="s">
        <v>119</v>
      </c>
      <c r="AD2390" t="s">
        <v>113</v>
      </c>
      <c r="AE2390" t="s">
        <v>120</v>
      </c>
      <c r="AG2390" t="s">
        <v>121</v>
      </c>
    </row>
    <row r="2391" spans="1:33" x14ac:dyDescent="0.25">
      <c r="A2391" t="str">
        <f>"1205840162"</f>
        <v>1205840162</v>
      </c>
      <c r="B2391" t="str">
        <f>"01543360"</f>
        <v>01543360</v>
      </c>
      <c r="C2391" t="s">
        <v>13671</v>
      </c>
      <c r="D2391" t="s">
        <v>13672</v>
      </c>
      <c r="E2391" t="s">
        <v>13673</v>
      </c>
      <c r="G2391" t="s">
        <v>13671</v>
      </c>
      <c r="H2391" t="s">
        <v>3246</v>
      </c>
      <c r="J2391" t="s">
        <v>13674</v>
      </c>
      <c r="L2391" t="s">
        <v>112</v>
      </c>
      <c r="M2391" t="s">
        <v>113</v>
      </c>
      <c r="R2391" t="s">
        <v>13675</v>
      </c>
      <c r="W2391" t="s">
        <v>13673</v>
      </c>
      <c r="X2391" t="s">
        <v>13676</v>
      </c>
      <c r="Y2391" t="s">
        <v>240</v>
      </c>
      <c r="Z2391" t="s">
        <v>117</v>
      </c>
      <c r="AA2391" t="str">
        <f>"14221-5329"</f>
        <v>14221-5329</v>
      </c>
      <c r="AB2391" t="s">
        <v>118</v>
      </c>
      <c r="AC2391" t="s">
        <v>119</v>
      </c>
      <c r="AD2391" t="s">
        <v>113</v>
      </c>
      <c r="AE2391" t="s">
        <v>120</v>
      </c>
      <c r="AG2391" t="s">
        <v>121</v>
      </c>
    </row>
    <row r="2392" spans="1:33" x14ac:dyDescent="0.25">
      <c r="A2392" t="str">
        <f>"1205842184"</f>
        <v>1205842184</v>
      </c>
      <c r="B2392" t="str">
        <f>"01283292"</f>
        <v>01283292</v>
      </c>
      <c r="C2392" t="s">
        <v>13677</v>
      </c>
      <c r="D2392" t="s">
        <v>13678</v>
      </c>
      <c r="E2392" t="s">
        <v>13679</v>
      </c>
      <c r="G2392" t="s">
        <v>13680</v>
      </c>
      <c r="H2392" t="s">
        <v>6816</v>
      </c>
      <c r="J2392" t="s">
        <v>13681</v>
      </c>
      <c r="L2392" t="s">
        <v>150</v>
      </c>
      <c r="M2392" t="s">
        <v>113</v>
      </c>
      <c r="R2392" t="s">
        <v>13682</v>
      </c>
      <c r="W2392" t="s">
        <v>13679</v>
      </c>
      <c r="X2392" t="s">
        <v>216</v>
      </c>
      <c r="Y2392" t="s">
        <v>116</v>
      </c>
      <c r="Z2392" t="s">
        <v>117</v>
      </c>
      <c r="AA2392" t="str">
        <f>"14222-2006"</f>
        <v>14222-2006</v>
      </c>
      <c r="AB2392" t="s">
        <v>118</v>
      </c>
      <c r="AC2392" t="s">
        <v>119</v>
      </c>
      <c r="AD2392" t="s">
        <v>113</v>
      </c>
      <c r="AE2392" t="s">
        <v>120</v>
      </c>
      <c r="AG2392" t="s">
        <v>121</v>
      </c>
    </row>
    <row r="2393" spans="1:33" x14ac:dyDescent="0.25">
      <c r="A2393" t="str">
        <f>"1205842333"</f>
        <v>1205842333</v>
      </c>
      <c r="B2393" t="str">
        <f>"00697250"</f>
        <v>00697250</v>
      </c>
      <c r="C2393" t="s">
        <v>13683</v>
      </c>
      <c r="D2393" t="s">
        <v>13684</v>
      </c>
      <c r="E2393" t="s">
        <v>13685</v>
      </c>
      <c r="G2393" t="s">
        <v>13683</v>
      </c>
      <c r="H2393" t="s">
        <v>937</v>
      </c>
      <c r="J2393" t="s">
        <v>13686</v>
      </c>
      <c r="L2393" t="s">
        <v>142</v>
      </c>
      <c r="M2393" t="s">
        <v>113</v>
      </c>
      <c r="R2393" t="s">
        <v>13687</v>
      </c>
      <c r="W2393" t="s">
        <v>13685</v>
      </c>
      <c r="X2393" t="s">
        <v>13688</v>
      </c>
      <c r="Y2393" t="s">
        <v>240</v>
      </c>
      <c r="Z2393" t="s">
        <v>117</v>
      </c>
      <c r="AA2393" t="str">
        <f>"14221-1423"</f>
        <v>14221-1423</v>
      </c>
      <c r="AB2393" t="s">
        <v>118</v>
      </c>
      <c r="AC2393" t="s">
        <v>119</v>
      </c>
      <c r="AD2393" t="s">
        <v>113</v>
      </c>
      <c r="AE2393" t="s">
        <v>120</v>
      </c>
      <c r="AG2393" t="s">
        <v>121</v>
      </c>
    </row>
    <row r="2394" spans="1:33" x14ac:dyDescent="0.25">
      <c r="A2394" t="str">
        <f>"1205848306"</f>
        <v>1205848306</v>
      </c>
      <c r="B2394" t="str">
        <f>"02946069"</f>
        <v>02946069</v>
      </c>
      <c r="C2394" t="s">
        <v>13689</v>
      </c>
      <c r="D2394" t="s">
        <v>13690</v>
      </c>
      <c r="E2394" t="s">
        <v>13691</v>
      </c>
      <c r="G2394" t="s">
        <v>13689</v>
      </c>
      <c r="H2394" t="s">
        <v>13692</v>
      </c>
      <c r="J2394" t="s">
        <v>13693</v>
      </c>
      <c r="L2394" t="s">
        <v>142</v>
      </c>
      <c r="M2394" t="s">
        <v>113</v>
      </c>
      <c r="R2394" t="s">
        <v>13691</v>
      </c>
      <c r="W2394" t="s">
        <v>13694</v>
      </c>
      <c r="X2394" t="s">
        <v>176</v>
      </c>
      <c r="Y2394" t="s">
        <v>116</v>
      </c>
      <c r="Z2394" t="s">
        <v>117</v>
      </c>
      <c r="AA2394" t="str">
        <f>"14203-1126"</f>
        <v>14203-1126</v>
      </c>
      <c r="AB2394" t="s">
        <v>118</v>
      </c>
      <c r="AC2394" t="s">
        <v>119</v>
      </c>
      <c r="AD2394" t="s">
        <v>113</v>
      </c>
      <c r="AE2394" t="s">
        <v>120</v>
      </c>
      <c r="AG2394" t="s">
        <v>121</v>
      </c>
    </row>
    <row r="2395" spans="1:33" x14ac:dyDescent="0.25">
      <c r="A2395" t="str">
        <f>"1205860186"</f>
        <v>1205860186</v>
      </c>
      <c r="B2395" t="str">
        <f>"02047776"</f>
        <v>02047776</v>
      </c>
      <c r="C2395" t="s">
        <v>13695</v>
      </c>
      <c r="D2395" t="s">
        <v>13696</v>
      </c>
      <c r="E2395" t="s">
        <v>13697</v>
      </c>
      <c r="G2395" t="s">
        <v>330</v>
      </c>
      <c r="H2395" t="s">
        <v>13698</v>
      </c>
      <c r="J2395" t="s">
        <v>332</v>
      </c>
      <c r="L2395" t="s">
        <v>150</v>
      </c>
      <c r="M2395" t="s">
        <v>199</v>
      </c>
      <c r="R2395" t="s">
        <v>13699</v>
      </c>
      <c r="W2395" t="s">
        <v>13697</v>
      </c>
      <c r="X2395" t="s">
        <v>9626</v>
      </c>
      <c r="Y2395" t="s">
        <v>116</v>
      </c>
      <c r="Z2395" t="s">
        <v>117</v>
      </c>
      <c r="AA2395" t="str">
        <f>"14204-1811"</f>
        <v>14204-1811</v>
      </c>
      <c r="AB2395" t="s">
        <v>118</v>
      </c>
      <c r="AC2395" t="s">
        <v>119</v>
      </c>
      <c r="AD2395" t="s">
        <v>113</v>
      </c>
      <c r="AE2395" t="s">
        <v>120</v>
      </c>
      <c r="AG2395" t="s">
        <v>121</v>
      </c>
    </row>
    <row r="2396" spans="1:33" x14ac:dyDescent="0.25">
      <c r="A2396" t="str">
        <f>"1205867546"</f>
        <v>1205867546</v>
      </c>
      <c r="B2396" t="str">
        <f>"02273187"</f>
        <v>02273187</v>
      </c>
      <c r="C2396" t="s">
        <v>13700</v>
      </c>
      <c r="D2396" t="s">
        <v>13701</v>
      </c>
      <c r="E2396" t="s">
        <v>13702</v>
      </c>
      <c r="G2396" t="s">
        <v>13703</v>
      </c>
      <c r="H2396" t="s">
        <v>205</v>
      </c>
      <c r="J2396" t="s">
        <v>13704</v>
      </c>
      <c r="L2396" t="s">
        <v>150</v>
      </c>
      <c r="M2396" t="s">
        <v>113</v>
      </c>
      <c r="R2396" t="s">
        <v>13705</v>
      </c>
      <c r="W2396" t="s">
        <v>13706</v>
      </c>
      <c r="X2396" t="s">
        <v>6289</v>
      </c>
      <c r="Y2396" t="s">
        <v>240</v>
      </c>
      <c r="Z2396" t="s">
        <v>117</v>
      </c>
      <c r="AA2396" t="str">
        <f>"14221-8216"</f>
        <v>14221-8216</v>
      </c>
      <c r="AB2396" t="s">
        <v>118</v>
      </c>
      <c r="AC2396" t="s">
        <v>119</v>
      </c>
      <c r="AD2396" t="s">
        <v>113</v>
      </c>
      <c r="AE2396" t="s">
        <v>120</v>
      </c>
      <c r="AG2396" t="s">
        <v>121</v>
      </c>
    </row>
    <row r="2397" spans="1:33" x14ac:dyDescent="0.25">
      <c r="A2397" t="str">
        <f>"1205870177"</f>
        <v>1205870177</v>
      </c>
      <c r="B2397" t="str">
        <f>"02777104"</f>
        <v>02777104</v>
      </c>
      <c r="C2397" t="s">
        <v>13707</v>
      </c>
      <c r="D2397" t="s">
        <v>13708</v>
      </c>
      <c r="E2397" t="s">
        <v>13709</v>
      </c>
      <c r="G2397" t="s">
        <v>13710</v>
      </c>
      <c r="H2397" t="s">
        <v>250</v>
      </c>
      <c r="J2397" t="s">
        <v>13711</v>
      </c>
      <c r="L2397" t="s">
        <v>112</v>
      </c>
      <c r="M2397" t="s">
        <v>113</v>
      </c>
      <c r="R2397" t="s">
        <v>13712</v>
      </c>
      <c r="W2397" t="s">
        <v>13709</v>
      </c>
      <c r="X2397" t="s">
        <v>4607</v>
      </c>
      <c r="Y2397" t="s">
        <v>116</v>
      </c>
      <c r="Z2397" t="s">
        <v>117</v>
      </c>
      <c r="AA2397" t="str">
        <f>"14215-1145"</f>
        <v>14215-1145</v>
      </c>
      <c r="AB2397" t="s">
        <v>118</v>
      </c>
      <c r="AC2397" t="s">
        <v>119</v>
      </c>
      <c r="AD2397" t="s">
        <v>113</v>
      </c>
      <c r="AE2397" t="s">
        <v>120</v>
      </c>
      <c r="AG2397" t="s">
        <v>121</v>
      </c>
    </row>
    <row r="2398" spans="1:33" x14ac:dyDescent="0.25">
      <c r="A2398" t="str">
        <f>"1205884533"</f>
        <v>1205884533</v>
      </c>
      <c r="B2398" t="str">
        <f>"03390076"</f>
        <v>03390076</v>
      </c>
      <c r="C2398" t="s">
        <v>13713</v>
      </c>
      <c r="D2398" t="s">
        <v>13714</v>
      </c>
      <c r="E2398" t="s">
        <v>13715</v>
      </c>
      <c r="G2398" t="s">
        <v>13713</v>
      </c>
      <c r="H2398" t="s">
        <v>1013</v>
      </c>
      <c r="J2398" t="s">
        <v>13716</v>
      </c>
      <c r="L2398" t="s">
        <v>142</v>
      </c>
      <c r="M2398" t="s">
        <v>113</v>
      </c>
      <c r="R2398" t="s">
        <v>13715</v>
      </c>
      <c r="W2398" t="s">
        <v>13715</v>
      </c>
      <c r="X2398" t="s">
        <v>2892</v>
      </c>
      <c r="Y2398" t="s">
        <v>240</v>
      </c>
      <c r="Z2398" t="s">
        <v>117</v>
      </c>
      <c r="AA2398" t="str">
        <f>"14221-5838"</f>
        <v>14221-5838</v>
      </c>
      <c r="AB2398" t="s">
        <v>118</v>
      </c>
      <c r="AC2398" t="s">
        <v>119</v>
      </c>
      <c r="AD2398" t="s">
        <v>113</v>
      </c>
      <c r="AE2398" t="s">
        <v>120</v>
      </c>
      <c r="AG2398" t="s">
        <v>121</v>
      </c>
    </row>
    <row r="2399" spans="1:33" x14ac:dyDescent="0.25">
      <c r="A2399" t="str">
        <f>"1205890308"</f>
        <v>1205890308</v>
      </c>
      <c r="B2399" t="str">
        <f>"01358974"</f>
        <v>01358974</v>
      </c>
      <c r="C2399" t="s">
        <v>13717</v>
      </c>
      <c r="D2399" t="s">
        <v>13718</v>
      </c>
      <c r="E2399" t="s">
        <v>13719</v>
      </c>
      <c r="G2399" t="s">
        <v>330</v>
      </c>
      <c r="H2399" t="s">
        <v>13720</v>
      </c>
      <c r="J2399" t="s">
        <v>332</v>
      </c>
      <c r="L2399" t="s">
        <v>150</v>
      </c>
      <c r="M2399" t="s">
        <v>113</v>
      </c>
      <c r="R2399" t="s">
        <v>13721</v>
      </c>
      <c r="W2399" t="s">
        <v>13719</v>
      </c>
      <c r="X2399" t="s">
        <v>13722</v>
      </c>
      <c r="Y2399" t="s">
        <v>2946</v>
      </c>
      <c r="Z2399" t="s">
        <v>117</v>
      </c>
      <c r="AA2399" t="str">
        <f>"14075-3762"</f>
        <v>14075-3762</v>
      </c>
      <c r="AB2399" t="s">
        <v>118</v>
      </c>
      <c r="AC2399" t="s">
        <v>119</v>
      </c>
      <c r="AD2399" t="s">
        <v>113</v>
      </c>
      <c r="AE2399" t="s">
        <v>120</v>
      </c>
      <c r="AG2399" t="s">
        <v>121</v>
      </c>
    </row>
    <row r="2400" spans="1:33" x14ac:dyDescent="0.25">
      <c r="A2400" t="str">
        <f>"1205891116"</f>
        <v>1205891116</v>
      </c>
      <c r="B2400" t="str">
        <f>"01531259"</f>
        <v>01531259</v>
      </c>
      <c r="C2400" t="s">
        <v>13723</v>
      </c>
      <c r="D2400" t="s">
        <v>13724</v>
      </c>
      <c r="E2400" t="s">
        <v>13725</v>
      </c>
      <c r="G2400" t="s">
        <v>13723</v>
      </c>
      <c r="H2400" t="s">
        <v>13726</v>
      </c>
      <c r="J2400" t="s">
        <v>13727</v>
      </c>
      <c r="L2400" t="s">
        <v>142</v>
      </c>
      <c r="M2400" t="s">
        <v>113</v>
      </c>
      <c r="R2400" t="s">
        <v>13728</v>
      </c>
      <c r="W2400" t="s">
        <v>13725</v>
      </c>
      <c r="X2400" t="s">
        <v>136</v>
      </c>
      <c r="Y2400" t="s">
        <v>116</v>
      </c>
      <c r="Z2400" t="s">
        <v>117</v>
      </c>
      <c r="AA2400" t="str">
        <f>"14209-1120"</f>
        <v>14209-1120</v>
      </c>
      <c r="AB2400" t="s">
        <v>118</v>
      </c>
      <c r="AC2400" t="s">
        <v>119</v>
      </c>
      <c r="AD2400" t="s">
        <v>113</v>
      </c>
      <c r="AE2400" t="s">
        <v>120</v>
      </c>
      <c r="AG2400" t="s">
        <v>121</v>
      </c>
    </row>
    <row r="2401" spans="1:33" x14ac:dyDescent="0.25">
      <c r="A2401" t="str">
        <f>"1023012853"</f>
        <v>1023012853</v>
      </c>
      <c r="B2401" t="str">
        <f>"02047143"</f>
        <v>02047143</v>
      </c>
      <c r="C2401" t="s">
        <v>13729</v>
      </c>
      <c r="D2401" t="s">
        <v>13730</v>
      </c>
      <c r="E2401" t="s">
        <v>13731</v>
      </c>
      <c r="G2401" t="s">
        <v>13732</v>
      </c>
      <c r="H2401" t="s">
        <v>4979</v>
      </c>
      <c r="J2401" t="s">
        <v>13733</v>
      </c>
      <c r="L2401" t="s">
        <v>150</v>
      </c>
      <c r="M2401" t="s">
        <v>113</v>
      </c>
      <c r="R2401" t="s">
        <v>13732</v>
      </c>
      <c r="W2401" t="s">
        <v>13734</v>
      </c>
      <c r="X2401" t="s">
        <v>13735</v>
      </c>
      <c r="Y2401" t="s">
        <v>4839</v>
      </c>
      <c r="Z2401" t="s">
        <v>117</v>
      </c>
      <c r="AA2401" t="str">
        <f>"14111"</f>
        <v>14111</v>
      </c>
      <c r="AB2401" t="s">
        <v>118</v>
      </c>
      <c r="AC2401" t="s">
        <v>119</v>
      </c>
      <c r="AD2401" t="s">
        <v>113</v>
      </c>
      <c r="AE2401" t="s">
        <v>120</v>
      </c>
      <c r="AG2401" t="s">
        <v>121</v>
      </c>
    </row>
    <row r="2402" spans="1:33" x14ac:dyDescent="0.25">
      <c r="A2402" t="str">
        <f>"1023016060"</f>
        <v>1023016060</v>
      </c>
      <c r="B2402" t="str">
        <f>"02863569"</f>
        <v>02863569</v>
      </c>
      <c r="C2402" t="s">
        <v>13736</v>
      </c>
      <c r="D2402" t="s">
        <v>13737</v>
      </c>
      <c r="E2402" t="s">
        <v>13738</v>
      </c>
      <c r="G2402" t="s">
        <v>13736</v>
      </c>
      <c r="H2402" t="s">
        <v>908</v>
      </c>
      <c r="J2402" t="s">
        <v>13739</v>
      </c>
      <c r="L2402" t="s">
        <v>142</v>
      </c>
      <c r="M2402" t="s">
        <v>113</v>
      </c>
      <c r="R2402" t="s">
        <v>13740</v>
      </c>
      <c r="W2402" t="s">
        <v>13738</v>
      </c>
      <c r="X2402" t="s">
        <v>176</v>
      </c>
      <c r="Y2402" t="s">
        <v>116</v>
      </c>
      <c r="Z2402" t="s">
        <v>117</v>
      </c>
      <c r="AA2402" t="str">
        <f>"14203-1126"</f>
        <v>14203-1126</v>
      </c>
      <c r="AB2402" t="s">
        <v>118</v>
      </c>
      <c r="AC2402" t="s">
        <v>119</v>
      </c>
      <c r="AD2402" t="s">
        <v>113</v>
      </c>
      <c r="AE2402" t="s">
        <v>120</v>
      </c>
      <c r="AG2402" t="s">
        <v>121</v>
      </c>
    </row>
    <row r="2403" spans="1:33" x14ac:dyDescent="0.25">
      <c r="A2403" t="str">
        <f>"1326109083"</f>
        <v>1326109083</v>
      </c>
      <c r="B2403" t="str">
        <f>"01752969"</f>
        <v>01752969</v>
      </c>
      <c r="C2403" t="s">
        <v>13741</v>
      </c>
      <c r="D2403" t="s">
        <v>13742</v>
      </c>
      <c r="E2403" t="s">
        <v>13743</v>
      </c>
      <c r="G2403" t="s">
        <v>13741</v>
      </c>
      <c r="H2403" t="s">
        <v>1227</v>
      </c>
      <c r="J2403" t="s">
        <v>13744</v>
      </c>
      <c r="L2403" t="s">
        <v>142</v>
      </c>
      <c r="M2403" t="s">
        <v>113</v>
      </c>
      <c r="R2403" t="s">
        <v>13745</v>
      </c>
      <c r="W2403" t="s">
        <v>13743</v>
      </c>
      <c r="X2403" t="s">
        <v>916</v>
      </c>
      <c r="Y2403" t="s">
        <v>116</v>
      </c>
      <c r="Z2403" t="s">
        <v>117</v>
      </c>
      <c r="AA2403" t="str">
        <f>"14203-1154"</f>
        <v>14203-1154</v>
      </c>
      <c r="AB2403" t="s">
        <v>118</v>
      </c>
      <c r="AC2403" t="s">
        <v>119</v>
      </c>
      <c r="AD2403" t="s">
        <v>113</v>
      </c>
      <c r="AE2403" t="s">
        <v>120</v>
      </c>
      <c r="AG2403" t="s">
        <v>121</v>
      </c>
    </row>
    <row r="2404" spans="1:33" x14ac:dyDescent="0.25">
      <c r="A2404" t="str">
        <f>"1760542682"</f>
        <v>1760542682</v>
      </c>
      <c r="C2404" t="s">
        <v>13746</v>
      </c>
      <c r="G2404" t="s">
        <v>13747</v>
      </c>
      <c r="H2404" t="s">
        <v>590</v>
      </c>
      <c r="J2404" t="s">
        <v>13748</v>
      </c>
      <c r="K2404" t="s">
        <v>303</v>
      </c>
      <c r="L2404" t="s">
        <v>112</v>
      </c>
      <c r="M2404" t="s">
        <v>113</v>
      </c>
      <c r="R2404" t="s">
        <v>13749</v>
      </c>
      <c r="S2404" t="s">
        <v>3004</v>
      </c>
      <c r="T2404" t="s">
        <v>116</v>
      </c>
      <c r="U2404" t="s">
        <v>117</v>
      </c>
      <c r="V2404" t="str">
        <f>"142092111"</f>
        <v>142092111</v>
      </c>
      <c r="AC2404" t="s">
        <v>119</v>
      </c>
      <c r="AD2404" t="s">
        <v>113</v>
      </c>
      <c r="AE2404" t="s">
        <v>306</v>
      </c>
      <c r="AG2404" t="s">
        <v>121</v>
      </c>
    </row>
    <row r="2405" spans="1:33" x14ac:dyDescent="0.25">
      <c r="A2405" t="str">
        <f>"1760565105"</f>
        <v>1760565105</v>
      </c>
      <c r="B2405" t="str">
        <f>"02601614"</f>
        <v>02601614</v>
      </c>
      <c r="C2405" t="s">
        <v>13750</v>
      </c>
      <c r="D2405" t="s">
        <v>13751</v>
      </c>
      <c r="E2405" t="s">
        <v>13752</v>
      </c>
      <c r="G2405" t="s">
        <v>13753</v>
      </c>
      <c r="H2405" t="s">
        <v>213</v>
      </c>
      <c r="J2405" t="s">
        <v>13754</v>
      </c>
      <c r="L2405" t="s">
        <v>142</v>
      </c>
      <c r="M2405" t="s">
        <v>199</v>
      </c>
      <c r="R2405" t="s">
        <v>13755</v>
      </c>
      <c r="W2405" t="s">
        <v>13752</v>
      </c>
      <c r="X2405" t="s">
        <v>216</v>
      </c>
      <c r="Y2405" t="s">
        <v>116</v>
      </c>
      <c r="Z2405" t="s">
        <v>117</v>
      </c>
      <c r="AA2405" t="str">
        <f>"14222-2006"</f>
        <v>14222-2006</v>
      </c>
      <c r="AB2405" t="s">
        <v>118</v>
      </c>
      <c r="AC2405" t="s">
        <v>119</v>
      </c>
      <c r="AD2405" t="s">
        <v>113</v>
      </c>
      <c r="AE2405" t="s">
        <v>120</v>
      </c>
      <c r="AG2405" t="s">
        <v>121</v>
      </c>
    </row>
    <row r="2406" spans="1:33" x14ac:dyDescent="0.25">
      <c r="A2406" t="str">
        <f>"1760565287"</f>
        <v>1760565287</v>
      </c>
      <c r="B2406" t="str">
        <f>"02758230"</f>
        <v>02758230</v>
      </c>
      <c r="C2406" t="s">
        <v>13756</v>
      </c>
      <c r="D2406" t="s">
        <v>13757</v>
      </c>
      <c r="E2406" t="s">
        <v>13758</v>
      </c>
      <c r="G2406" t="s">
        <v>13756</v>
      </c>
      <c r="H2406" t="s">
        <v>707</v>
      </c>
      <c r="J2406" t="s">
        <v>13759</v>
      </c>
      <c r="L2406" t="s">
        <v>112</v>
      </c>
      <c r="M2406" t="s">
        <v>113</v>
      </c>
      <c r="R2406" t="s">
        <v>13760</v>
      </c>
      <c r="W2406" t="s">
        <v>13758</v>
      </c>
      <c r="X2406" t="s">
        <v>216</v>
      </c>
      <c r="Y2406" t="s">
        <v>116</v>
      </c>
      <c r="Z2406" t="s">
        <v>117</v>
      </c>
      <c r="AA2406" t="str">
        <f>"14222-2006"</f>
        <v>14222-2006</v>
      </c>
      <c r="AB2406" t="s">
        <v>118</v>
      </c>
      <c r="AC2406" t="s">
        <v>119</v>
      </c>
      <c r="AD2406" t="s">
        <v>113</v>
      </c>
      <c r="AE2406" t="s">
        <v>120</v>
      </c>
      <c r="AG2406" t="s">
        <v>121</v>
      </c>
    </row>
    <row r="2407" spans="1:33" x14ac:dyDescent="0.25">
      <c r="A2407" t="str">
        <f>"1760567127"</f>
        <v>1760567127</v>
      </c>
      <c r="B2407" t="str">
        <f>"02111888"</f>
        <v>02111888</v>
      </c>
      <c r="C2407" t="s">
        <v>13761</v>
      </c>
      <c r="D2407" t="s">
        <v>13762</v>
      </c>
      <c r="E2407" t="s">
        <v>13763</v>
      </c>
      <c r="G2407" t="s">
        <v>13764</v>
      </c>
      <c r="H2407" t="s">
        <v>13765</v>
      </c>
      <c r="J2407" t="s">
        <v>13766</v>
      </c>
      <c r="L2407" t="s">
        <v>112</v>
      </c>
      <c r="M2407" t="s">
        <v>113</v>
      </c>
      <c r="R2407" t="s">
        <v>13763</v>
      </c>
      <c r="W2407" t="s">
        <v>13763</v>
      </c>
      <c r="X2407" t="s">
        <v>253</v>
      </c>
      <c r="Y2407" t="s">
        <v>116</v>
      </c>
      <c r="Z2407" t="s">
        <v>117</v>
      </c>
      <c r="AA2407" t="str">
        <f>"14215-3021"</f>
        <v>14215-3021</v>
      </c>
      <c r="AB2407" t="s">
        <v>118</v>
      </c>
      <c r="AC2407" t="s">
        <v>119</v>
      </c>
      <c r="AD2407" t="s">
        <v>113</v>
      </c>
      <c r="AE2407" t="s">
        <v>120</v>
      </c>
      <c r="AG2407" t="s">
        <v>121</v>
      </c>
    </row>
    <row r="2408" spans="1:33" x14ac:dyDescent="0.25">
      <c r="A2408" t="str">
        <f>"1760570329"</f>
        <v>1760570329</v>
      </c>
      <c r="C2408" t="s">
        <v>13767</v>
      </c>
      <c r="G2408" t="s">
        <v>13768</v>
      </c>
      <c r="H2408" t="s">
        <v>351</v>
      </c>
      <c r="J2408" t="s">
        <v>352</v>
      </c>
      <c r="K2408" t="s">
        <v>303</v>
      </c>
      <c r="L2408" t="s">
        <v>112</v>
      </c>
      <c r="M2408" t="s">
        <v>113</v>
      </c>
      <c r="R2408" t="s">
        <v>13769</v>
      </c>
      <c r="S2408" t="s">
        <v>2052</v>
      </c>
      <c r="T2408" t="s">
        <v>116</v>
      </c>
      <c r="U2408" t="s">
        <v>117</v>
      </c>
      <c r="V2408" t="str">
        <f>"142072341"</f>
        <v>142072341</v>
      </c>
      <c r="AC2408" t="s">
        <v>119</v>
      </c>
      <c r="AD2408" t="s">
        <v>113</v>
      </c>
      <c r="AE2408" t="s">
        <v>306</v>
      </c>
      <c r="AG2408" t="s">
        <v>121</v>
      </c>
    </row>
    <row r="2409" spans="1:33" x14ac:dyDescent="0.25">
      <c r="A2409" t="str">
        <f>"1760595771"</f>
        <v>1760595771</v>
      </c>
      <c r="B2409" t="str">
        <f>"01456046"</f>
        <v>01456046</v>
      </c>
      <c r="C2409" t="s">
        <v>13770</v>
      </c>
      <c r="D2409" t="s">
        <v>13771</v>
      </c>
      <c r="E2409" t="s">
        <v>13772</v>
      </c>
      <c r="G2409" t="s">
        <v>13770</v>
      </c>
      <c r="H2409" t="s">
        <v>5982</v>
      </c>
      <c r="J2409" t="s">
        <v>13773</v>
      </c>
      <c r="L2409" t="s">
        <v>142</v>
      </c>
      <c r="M2409" t="s">
        <v>113</v>
      </c>
      <c r="R2409" t="s">
        <v>13774</v>
      </c>
      <c r="W2409" t="s">
        <v>13772</v>
      </c>
      <c r="X2409" t="s">
        <v>3803</v>
      </c>
      <c r="Y2409" t="s">
        <v>129</v>
      </c>
      <c r="Z2409" t="s">
        <v>117</v>
      </c>
      <c r="AA2409" t="str">
        <f>"14224-2646"</f>
        <v>14224-2646</v>
      </c>
      <c r="AB2409" t="s">
        <v>118</v>
      </c>
      <c r="AC2409" t="s">
        <v>119</v>
      </c>
      <c r="AD2409" t="s">
        <v>113</v>
      </c>
      <c r="AE2409" t="s">
        <v>120</v>
      </c>
      <c r="AG2409" t="s">
        <v>121</v>
      </c>
    </row>
    <row r="2410" spans="1:33" x14ac:dyDescent="0.25">
      <c r="A2410" t="str">
        <f>"1760608533"</f>
        <v>1760608533</v>
      </c>
      <c r="B2410" t="str">
        <f>"02958565"</f>
        <v>02958565</v>
      </c>
      <c r="C2410" t="s">
        <v>13775</v>
      </c>
      <c r="D2410" t="s">
        <v>13776</v>
      </c>
      <c r="E2410" t="s">
        <v>13777</v>
      </c>
      <c r="G2410" t="s">
        <v>13778</v>
      </c>
      <c r="H2410" t="s">
        <v>110</v>
      </c>
      <c r="J2410" t="s">
        <v>13779</v>
      </c>
      <c r="L2410" t="s">
        <v>112</v>
      </c>
      <c r="M2410" t="s">
        <v>113</v>
      </c>
      <c r="R2410" t="s">
        <v>13780</v>
      </c>
      <c r="W2410" t="s">
        <v>13777</v>
      </c>
      <c r="X2410" t="s">
        <v>115</v>
      </c>
      <c r="Y2410" t="s">
        <v>116</v>
      </c>
      <c r="Z2410" t="s">
        <v>117</v>
      </c>
      <c r="AA2410" t="str">
        <f>"14209-2087"</f>
        <v>14209-2087</v>
      </c>
      <c r="AB2410" t="s">
        <v>118</v>
      </c>
      <c r="AC2410" t="s">
        <v>119</v>
      </c>
      <c r="AD2410" t="s">
        <v>113</v>
      </c>
      <c r="AE2410" t="s">
        <v>120</v>
      </c>
      <c r="AG2410" t="s">
        <v>121</v>
      </c>
    </row>
    <row r="2411" spans="1:33" x14ac:dyDescent="0.25">
      <c r="A2411" t="str">
        <f>"1760614648"</f>
        <v>1760614648</v>
      </c>
      <c r="B2411" t="str">
        <f>"03638002"</f>
        <v>03638002</v>
      </c>
      <c r="C2411" t="s">
        <v>13781</v>
      </c>
      <c r="D2411" t="s">
        <v>13782</v>
      </c>
      <c r="E2411" t="s">
        <v>13783</v>
      </c>
      <c r="G2411" t="s">
        <v>13781</v>
      </c>
      <c r="H2411" t="s">
        <v>13784</v>
      </c>
      <c r="J2411" t="s">
        <v>13785</v>
      </c>
      <c r="L2411" t="s">
        <v>728</v>
      </c>
      <c r="M2411" t="s">
        <v>113</v>
      </c>
      <c r="R2411" t="s">
        <v>13783</v>
      </c>
      <c r="W2411" t="s">
        <v>13783</v>
      </c>
      <c r="X2411" t="s">
        <v>216</v>
      </c>
      <c r="Y2411" t="s">
        <v>116</v>
      </c>
      <c r="Z2411" t="s">
        <v>117</v>
      </c>
      <c r="AA2411" t="str">
        <f>"14222-2006"</f>
        <v>14222-2006</v>
      </c>
      <c r="AB2411" t="s">
        <v>118</v>
      </c>
      <c r="AC2411" t="s">
        <v>119</v>
      </c>
      <c r="AD2411" t="s">
        <v>113</v>
      </c>
      <c r="AE2411" t="s">
        <v>120</v>
      </c>
      <c r="AG2411" t="s">
        <v>121</v>
      </c>
    </row>
    <row r="2412" spans="1:33" x14ac:dyDescent="0.25">
      <c r="A2412" t="str">
        <f>"1760619480"</f>
        <v>1760619480</v>
      </c>
      <c r="B2412" t="str">
        <f>"03358156"</f>
        <v>03358156</v>
      </c>
      <c r="C2412" t="s">
        <v>13786</v>
      </c>
      <c r="D2412" t="s">
        <v>13787</v>
      </c>
      <c r="E2412" t="s">
        <v>13788</v>
      </c>
      <c r="G2412" t="s">
        <v>13786</v>
      </c>
      <c r="H2412" t="s">
        <v>13789</v>
      </c>
      <c r="J2412" t="s">
        <v>13790</v>
      </c>
      <c r="L2412" t="s">
        <v>112</v>
      </c>
      <c r="M2412" t="s">
        <v>113</v>
      </c>
      <c r="R2412" t="s">
        <v>13791</v>
      </c>
      <c r="W2412" t="s">
        <v>13788</v>
      </c>
      <c r="X2412" t="s">
        <v>216</v>
      </c>
      <c r="Y2412" t="s">
        <v>116</v>
      </c>
      <c r="Z2412" t="s">
        <v>117</v>
      </c>
      <c r="AA2412" t="str">
        <f>"14222-2006"</f>
        <v>14222-2006</v>
      </c>
      <c r="AB2412" t="s">
        <v>634</v>
      </c>
      <c r="AC2412" t="s">
        <v>119</v>
      </c>
      <c r="AD2412" t="s">
        <v>113</v>
      </c>
      <c r="AE2412" t="s">
        <v>120</v>
      </c>
      <c r="AG2412" t="s">
        <v>121</v>
      </c>
    </row>
    <row r="2413" spans="1:33" x14ac:dyDescent="0.25">
      <c r="A2413" t="str">
        <f>"1760619852"</f>
        <v>1760619852</v>
      </c>
      <c r="B2413" t="str">
        <f>"03182152"</f>
        <v>03182152</v>
      </c>
      <c r="C2413" t="s">
        <v>13792</v>
      </c>
      <c r="D2413" t="s">
        <v>13793</v>
      </c>
      <c r="E2413" t="s">
        <v>13794</v>
      </c>
      <c r="G2413" t="s">
        <v>13795</v>
      </c>
      <c r="H2413" t="s">
        <v>351</v>
      </c>
      <c r="J2413" t="s">
        <v>352</v>
      </c>
      <c r="L2413" t="s">
        <v>112</v>
      </c>
      <c r="M2413" t="s">
        <v>113</v>
      </c>
      <c r="R2413" t="s">
        <v>13794</v>
      </c>
      <c r="W2413" t="s">
        <v>13796</v>
      </c>
      <c r="X2413" t="s">
        <v>13797</v>
      </c>
      <c r="Y2413" t="s">
        <v>487</v>
      </c>
      <c r="Z2413" t="s">
        <v>117</v>
      </c>
      <c r="AA2413" t="str">
        <f>"13617-1436"</f>
        <v>13617-1436</v>
      </c>
      <c r="AB2413" t="s">
        <v>621</v>
      </c>
      <c r="AC2413" t="s">
        <v>119</v>
      </c>
      <c r="AD2413" t="s">
        <v>113</v>
      </c>
      <c r="AE2413" t="s">
        <v>120</v>
      </c>
      <c r="AG2413" t="s">
        <v>121</v>
      </c>
    </row>
    <row r="2414" spans="1:33" x14ac:dyDescent="0.25">
      <c r="A2414" t="str">
        <f>"1760629364"</f>
        <v>1760629364</v>
      </c>
      <c r="B2414" t="str">
        <f>"03498340"</f>
        <v>03498340</v>
      </c>
      <c r="C2414" t="s">
        <v>13798</v>
      </c>
      <c r="D2414" t="s">
        <v>13799</v>
      </c>
      <c r="E2414" t="s">
        <v>13800</v>
      </c>
      <c r="G2414" t="s">
        <v>4593</v>
      </c>
      <c r="H2414" t="s">
        <v>4594</v>
      </c>
      <c r="J2414" t="s">
        <v>4595</v>
      </c>
      <c r="L2414" t="s">
        <v>142</v>
      </c>
      <c r="M2414" t="s">
        <v>113</v>
      </c>
      <c r="R2414" t="s">
        <v>13801</v>
      </c>
      <c r="W2414" t="s">
        <v>13800</v>
      </c>
      <c r="X2414" t="s">
        <v>518</v>
      </c>
      <c r="Y2414" t="s">
        <v>305</v>
      </c>
      <c r="Z2414" t="s">
        <v>117</v>
      </c>
      <c r="AA2414" t="str">
        <f>"14760-1500"</f>
        <v>14760-1500</v>
      </c>
      <c r="AB2414" t="s">
        <v>118</v>
      </c>
      <c r="AC2414" t="s">
        <v>119</v>
      </c>
      <c r="AD2414" t="s">
        <v>113</v>
      </c>
      <c r="AE2414" t="s">
        <v>120</v>
      </c>
      <c r="AG2414" t="s">
        <v>121</v>
      </c>
    </row>
    <row r="2415" spans="1:33" x14ac:dyDescent="0.25">
      <c r="A2415" t="str">
        <f>"1003812330"</f>
        <v>1003812330</v>
      </c>
      <c r="B2415" t="str">
        <f>"01520350"</f>
        <v>01520350</v>
      </c>
      <c r="C2415" t="s">
        <v>17699</v>
      </c>
      <c r="D2415" t="s">
        <v>17700</v>
      </c>
      <c r="E2415" t="s">
        <v>17701</v>
      </c>
      <c r="G2415" t="s">
        <v>17702</v>
      </c>
      <c r="H2415" t="s">
        <v>17703</v>
      </c>
      <c r="J2415" t="s">
        <v>1266</v>
      </c>
      <c r="L2415" t="s">
        <v>280</v>
      </c>
      <c r="M2415" t="s">
        <v>199</v>
      </c>
      <c r="R2415" t="s">
        <v>17699</v>
      </c>
      <c r="W2415" t="s">
        <v>17701</v>
      </c>
      <c r="X2415" t="s">
        <v>17704</v>
      </c>
      <c r="Y2415" t="s">
        <v>9257</v>
      </c>
      <c r="Z2415" t="s">
        <v>117</v>
      </c>
      <c r="AA2415" t="str">
        <f>"14742-0400"</f>
        <v>14742-0400</v>
      </c>
      <c r="AB2415" t="s">
        <v>282</v>
      </c>
      <c r="AC2415" t="s">
        <v>119</v>
      </c>
      <c r="AD2415" t="s">
        <v>113</v>
      </c>
      <c r="AE2415" t="s">
        <v>120</v>
      </c>
      <c r="AG2415" t="s">
        <v>121</v>
      </c>
    </row>
    <row r="2416" spans="1:33" x14ac:dyDescent="0.25">
      <c r="A2416" t="str">
        <f>"1437140985"</f>
        <v>1437140985</v>
      </c>
      <c r="B2416" t="str">
        <f>"01028606"</f>
        <v>01028606</v>
      </c>
      <c r="C2416" t="s">
        <v>13806</v>
      </c>
      <c r="D2416" t="s">
        <v>13807</v>
      </c>
      <c r="E2416" t="s">
        <v>13808</v>
      </c>
      <c r="G2416" t="s">
        <v>13809</v>
      </c>
      <c r="H2416" t="s">
        <v>4837</v>
      </c>
      <c r="J2416" t="s">
        <v>13810</v>
      </c>
      <c r="L2416" t="s">
        <v>150</v>
      </c>
      <c r="M2416" t="s">
        <v>113</v>
      </c>
      <c r="R2416" t="s">
        <v>13811</v>
      </c>
      <c r="W2416" t="s">
        <v>13812</v>
      </c>
      <c r="X2416" t="s">
        <v>13813</v>
      </c>
      <c r="Y2416" t="s">
        <v>4071</v>
      </c>
      <c r="Z2416" t="s">
        <v>117</v>
      </c>
      <c r="AA2416" t="str">
        <f>"14070-1111"</f>
        <v>14070-1111</v>
      </c>
      <c r="AB2416" t="s">
        <v>118</v>
      </c>
      <c r="AC2416" t="s">
        <v>119</v>
      </c>
      <c r="AD2416" t="s">
        <v>113</v>
      </c>
      <c r="AE2416" t="s">
        <v>120</v>
      </c>
      <c r="AG2416" t="s">
        <v>121</v>
      </c>
    </row>
    <row r="2417" spans="1:33" x14ac:dyDescent="0.25">
      <c r="A2417" t="str">
        <f>"1437164225"</f>
        <v>1437164225</v>
      </c>
      <c r="B2417" t="str">
        <f>"01747566"</f>
        <v>01747566</v>
      </c>
      <c r="C2417" t="s">
        <v>13814</v>
      </c>
      <c r="D2417" t="s">
        <v>13815</v>
      </c>
      <c r="E2417" t="s">
        <v>13816</v>
      </c>
      <c r="G2417" t="s">
        <v>13814</v>
      </c>
      <c r="H2417" t="s">
        <v>937</v>
      </c>
      <c r="J2417" t="s">
        <v>13817</v>
      </c>
      <c r="L2417" t="s">
        <v>142</v>
      </c>
      <c r="M2417" t="s">
        <v>113</v>
      </c>
      <c r="R2417" t="s">
        <v>13818</v>
      </c>
      <c r="W2417" t="s">
        <v>13816</v>
      </c>
      <c r="X2417" t="s">
        <v>136</v>
      </c>
      <c r="Y2417" t="s">
        <v>116</v>
      </c>
      <c r="Z2417" t="s">
        <v>117</v>
      </c>
      <c r="AA2417" t="str">
        <f>"14209-1120"</f>
        <v>14209-1120</v>
      </c>
      <c r="AB2417" t="s">
        <v>118</v>
      </c>
      <c r="AC2417" t="s">
        <v>119</v>
      </c>
      <c r="AD2417" t="s">
        <v>113</v>
      </c>
      <c r="AE2417" t="s">
        <v>120</v>
      </c>
      <c r="AG2417" t="s">
        <v>121</v>
      </c>
    </row>
    <row r="2418" spans="1:33" x14ac:dyDescent="0.25">
      <c r="A2418" t="str">
        <f>"1437177425"</f>
        <v>1437177425</v>
      </c>
      <c r="B2418" t="str">
        <f>"00603374"</f>
        <v>00603374</v>
      </c>
      <c r="C2418" t="s">
        <v>13819</v>
      </c>
      <c r="D2418" t="s">
        <v>13820</v>
      </c>
      <c r="E2418" t="s">
        <v>13821</v>
      </c>
      <c r="G2418" t="s">
        <v>13819</v>
      </c>
      <c r="H2418" t="s">
        <v>13822</v>
      </c>
      <c r="J2418" t="s">
        <v>13823</v>
      </c>
      <c r="L2418" t="s">
        <v>142</v>
      </c>
      <c r="M2418" t="s">
        <v>113</v>
      </c>
      <c r="R2418" t="s">
        <v>13824</v>
      </c>
      <c r="W2418" t="s">
        <v>13825</v>
      </c>
      <c r="X2418" t="s">
        <v>2159</v>
      </c>
      <c r="Y2418" t="s">
        <v>116</v>
      </c>
      <c r="Z2418" t="s">
        <v>117</v>
      </c>
      <c r="AA2418" t="str">
        <f>"14225-1085"</f>
        <v>14225-1085</v>
      </c>
      <c r="AB2418" t="s">
        <v>118</v>
      </c>
      <c r="AC2418" t="s">
        <v>119</v>
      </c>
      <c r="AD2418" t="s">
        <v>113</v>
      </c>
      <c r="AE2418" t="s">
        <v>120</v>
      </c>
      <c r="AG2418" t="s">
        <v>121</v>
      </c>
    </row>
    <row r="2419" spans="1:33" x14ac:dyDescent="0.25">
      <c r="A2419" t="str">
        <f>"1437185592"</f>
        <v>1437185592</v>
      </c>
      <c r="B2419" t="str">
        <f>"01108589"</f>
        <v>01108589</v>
      </c>
      <c r="C2419" t="s">
        <v>13826</v>
      </c>
      <c r="D2419" t="s">
        <v>13827</v>
      </c>
      <c r="E2419" t="s">
        <v>13828</v>
      </c>
      <c r="G2419" t="s">
        <v>13826</v>
      </c>
      <c r="H2419" t="s">
        <v>5118</v>
      </c>
      <c r="J2419" t="s">
        <v>13829</v>
      </c>
      <c r="L2419" t="s">
        <v>142</v>
      </c>
      <c r="M2419" t="s">
        <v>113</v>
      </c>
      <c r="R2419" t="s">
        <v>13830</v>
      </c>
      <c r="W2419" t="s">
        <v>13831</v>
      </c>
      <c r="X2419" t="s">
        <v>838</v>
      </c>
      <c r="Y2419" t="s">
        <v>240</v>
      </c>
      <c r="Z2419" t="s">
        <v>117</v>
      </c>
      <c r="AA2419" t="str">
        <f>"14221-3647"</f>
        <v>14221-3647</v>
      </c>
      <c r="AB2419" t="s">
        <v>118</v>
      </c>
      <c r="AC2419" t="s">
        <v>119</v>
      </c>
      <c r="AD2419" t="s">
        <v>113</v>
      </c>
      <c r="AE2419" t="s">
        <v>120</v>
      </c>
      <c r="AG2419" t="s">
        <v>121</v>
      </c>
    </row>
    <row r="2420" spans="1:33" x14ac:dyDescent="0.25">
      <c r="A2420" t="str">
        <f>"1437190451"</f>
        <v>1437190451</v>
      </c>
      <c r="B2420" t="str">
        <f>"02995637"</f>
        <v>02995637</v>
      </c>
      <c r="C2420" t="s">
        <v>13832</v>
      </c>
      <c r="D2420" t="s">
        <v>13833</v>
      </c>
      <c r="E2420" t="s">
        <v>13834</v>
      </c>
      <c r="G2420" t="s">
        <v>13835</v>
      </c>
      <c r="H2420" t="s">
        <v>13836</v>
      </c>
      <c r="L2420" t="s">
        <v>229</v>
      </c>
      <c r="M2420" t="s">
        <v>113</v>
      </c>
      <c r="R2420" t="s">
        <v>13835</v>
      </c>
      <c r="W2420" t="s">
        <v>13834</v>
      </c>
      <c r="X2420" t="s">
        <v>13837</v>
      </c>
      <c r="Y2420" t="s">
        <v>129</v>
      </c>
      <c r="Z2420" t="s">
        <v>117</v>
      </c>
      <c r="AA2420" t="str">
        <f>"14224-1945"</f>
        <v>14224-1945</v>
      </c>
      <c r="AB2420" t="s">
        <v>1263</v>
      </c>
      <c r="AC2420" t="s">
        <v>119</v>
      </c>
      <c r="AD2420" t="s">
        <v>113</v>
      </c>
      <c r="AE2420" t="s">
        <v>120</v>
      </c>
      <c r="AG2420" t="s">
        <v>121</v>
      </c>
    </row>
    <row r="2421" spans="1:33" x14ac:dyDescent="0.25">
      <c r="A2421" t="str">
        <f>"1437194305"</f>
        <v>1437194305</v>
      </c>
      <c r="B2421" t="str">
        <f>"01079538"</f>
        <v>01079538</v>
      </c>
      <c r="C2421" t="s">
        <v>13838</v>
      </c>
      <c r="D2421" t="s">
        <v>13839</v>
      </c>
      <c r="E2421" t="s">
        <v>13840</v>
      </c>
      <c r="G2421" t="s">
        <v>13841</v>
      </c>
      <c r="H2421" t="s">
        <v>13842</v>
      </c>
      <c r="L2421" t="s">
        <v>142</v>
      </c>
      <c r="M2421" t="s">
        <v>113</v>
      </c>
      <c r="R2421" t="s">
        <v>13841</v>
      </c>
      <c r="W2421" t="s">
        <v>13840</v>
      </c>
      <c r="X2421" t="s">
        <v>13843</v>
      </c>
      <c r="Y2421" t="s">
        <v>978</v>
      </c>
      <c r="Z2421" t="s">
        <v>117</v>
      </c>
      <c r="AA2421" t="str">
        <f>"14081"</f>
        <v>14081</v>
      </c>
      <c r="AB2421" t="s">
        <v>118</v>
      </c>
      <c r="AC2421" t="s">
        <v>119</v>
      </c>
      <c r="AD2421" t="s">
        <v>113</v>
      </c>
      <c r="AE2421" t="s">
        <v>120</v>
      </c>
      <c r="AG2421" t="s">
        <v>121</v>
      </c>
    </row>
    <row r="2422" spans="1:33" x14ac:dyDescent="0.25">
      <c r="A2422" t="str">
        <f>"1366448706"</f>
        <v>1366448706</v>
      </c>
      <c r="B2422" t="str">
        <f>"01520369"</f>
        <v>01520369</v>
      </c>
      <c r="C2422" t="s">
        <v>24332</v>
      </c>
      <c r="D2422" t="s">
        <v>24886</v>
      </c>
      <c r="E2422" t="s">
        <v>24887</v>
      </c>
      <c r="G2422" t="s">
        <v>24333</v>
      </c>
      <c r="H2422" t="s">
        <v>17703</v>
      </c>
      <c r="J2422" t="s">
        <v>24334</v>
      </c>
      <c r="L2422" t="s">
        <v>280</v>
      </c>
      <c r="M2422" t="s">
        <v>199</v>
      </c>
      <c r="R2422" t="s">
        <v>24888</v>
      </c>
      <c r="W2422" t="s">
        <v>24887</v>
      </c>
      <c r="X2422" t="s">
        <v>24889</v>
      </c>
      <c r="Y2422" t="s">
        <v>986</v>
      </c>
      <c r="Z2422" t="s">
        <v>117</v>
      </c>
      <c r="AA2422" t="str">
        <f>"14701-6710"</f>
        <v>14701-6710</v>
      </c>
      <c r="AB2422" t="s">
        <v>282</v>
      </c>
      <c r="AC2422" t="s">
        <v>119</v>
      </c>
      <c r="AD2422" t="s">
        <v>113</v>
      </c>
      <c r="AE2422" t="s">
        <v>120</v>
      </c>
      <c r="AG2422" t="s">
        <v>121</v>
      </c>
    </row>
    <row r="2423" spans="1:33" x14ac:dyDescent="0.25">
      <c r="A2423" t="str">
        <f>"1437211414"</f>
        <v>1437211414</v>
      </c>
      <c r="B2423" t="str">
        <f>"02389724"</f>
        <v>02389724</v>
      </c>
      <c r="C2423" t="s">
        <v>13846</v>
      </c>
      <c r="D2423" t="s">
        <v>13847</v>
      </c>
      <c r="E2423" t="s">
        <v>13848</v>
      </c>
      <c r="G2423" t="s">
        <v>13846</v>
      </c>
      <c r="H2423" t="s">
        <v>1227</v>
      </c>
      <c r="J2423" t="s">
        <v>13849</v>
      </c>
      <c r="L2423" t="s">
        <v>112</v>
      </c>
      <c r="M2423" t="s">
        <v>113</v>
      </c>
      <c r="R2423" t="s">
        <v>13850</v>
      </c>
      <c r="W2423" t="s">
        <v>13848</v>
      </c>
      <c r="X2423" t="s">
        <v>3705</v>
      </c>
      <c r="Y2423" t="s">
        <v>958</v>
      </c>
      <c r="Z2423" t="s">
        <v>117</v>
      </c>
      <c r="AA2423" t="str">
        <f>"14226-1727"</f>
        <v>14226-1727</v>
      </c>
      <c r="AB2423" t="s">
        <v>118</v>
      </c>
      <c r="AC2423" t="s">
        <v>119</v>
      </c>
      <c r="AD2423" t="s">
        <v>113</v>
      </c>
      <c r="AE2423" t="s">
        <v>120</v>
      </c>
      <c r="AG2423" t="s">
        <v>121</v>
      </c>
    </row>
    <row r="2424" spans="1:33" x14ac:dyDescent="0.25">
      <c r="A2424" t="str">
        <f>"1083662043"</f>
        <v>1083662043</v>
      </c>
      <c r="B2424" t="str">
        <f>"01348374"</f>
        <v>01348374</v>
      </c>
      <c r="C2424" t="s">
        <v>13851</v>
      </c>
      <c r="D2424" t="s">
        <v>13852</v>
      </c>
      <c r="E2424" t="s">
        <v>13853</v>
      </c>
      <c r="G2424" t="s">
        <v>13851</v>
      </c>
      <c r="H2424" t="s">
        <v>13540</v>
      </c>
      <c r="J2424" t="s">
        <v>13854</v>
      </c>
      <c r="L2424" t="s">
        <v>112</v>
      </c>
      <c r="M2424" t="s">
        <v>113</v>
      </c>
      <c r="R2424" t="s">
        <v>13855</v>
      </c>
      <c r="W2424" t="s">
        <v>13853</v>
      </c>
      <c r="X2424" t="s">
        <v>5681</v>
      </c>
      <c r="Y2424" t="s">
        <v>2946</v>
      </c>
      <c r="Z2424" t="s">
        <v>117</v>
      </c>
      <c r="AA2424" t="str">
        <f>"14075-3738"</f>
        <v>14075-3738</v>
      </c>
      <c r="AB2424" t="s">
        <v>118</v>
      </c>
      <c r="AC2424" t="s">
        <v>119</v>
      </c>
      <c r="AD2424" t="s">
        <v>113</v>
      </c>
      <c r="AE2424" t="s">
        <v>120</v>
      </c>
      <c r="AG2424" t="s">
        <v>121</v>
      </c>
    </row>
    <row r="2425" spans="1:33" x14ac:dyDescent="0.25">
      <c r="A2425" t="str">
        <f>"1083670962"</f>
        <v>1083670962</v>
      </c>
      <c r="B2425" t="str">
        <f>"01961577"</f>
        <v>01961577</v>
      </c>
      <c r="C2425" t="s">
        <v>13856</v>
      </c>
      <c r="D2425" t="s">
        <v>13857</v>
      </c>
      <c r="E2425" t="s">
        <v>13858</v>
      </c>
      <c r="G2425" t="s">
        <v>13856</v>
      </c>
      <c r="H2425" t="s">
        <v>13859</v>
      </c>
      <c r="J2425" t="s">
        <v>13860</v>
      </c>
      <c r="L2425" t="s">
        <v>142</v>
      </c>
      <c r="M2425" t="s">
        <v>113</v>
      </c>
      <c r="R2425" t="s">
        <v>13861</v>
      </c>
      <c r="W2425" t="s">
        <v>13858</v>
      </c>
      <c r="X2425" t="s">
        <v>1275</v>
      </c>
      <c r="Y2425" t="s">
        <v>116</v>
      </c>
      <c r="Z2425" t="s">
        <v>117</v>
      </c>
      <c r="AA2425" t="str">
        <f>"14214-8001"</f>
        <v>14214-8001</v>
      </c>
      <c r="AB2425" t="s">
        <v>118</v>
      </c>
      <c r="AC2425" t="s">
        <v>119</v>
      </c>
      <c r="AD2425" t="s">
        <v>113</v>
      </c>
      <c r="AE2425" t="s">
        <v>120</v>
      </c>
      <c r="AG2425" t="s">
        <v>121</v>
      </c>
    </row>
    <row r="2426" spans="1:33" x14ac:dyDescent="0.25">
      <c r="A2426" t="str">
        <f>"1124084389"</f>
        <v>1124084389</v>
      </c>
      <c r="B2426" t="str">
        <f>"00760352"</f>
        <v>00760352</v>
      </c>
      <c r="C2426" t="s">
        <v>13862</v>
      </c>
      <c r="D2426" t="s">
        <v>13863</v>
      </c>
      <c r="E2426" t="s">
        <v>13864</v>
      </c>
      <c r="G2426" t="s">
        <v>13862</v>
      </c>
      <c r="H2426" t="s">
        <v>13865</v>
      </c>
      <c r="J2426" t="s">
        <v>13866</v>
      </c>
      <c r="L2426" t="s">
        <v>112</v>
      </c>
      <c r="M2426" t="s">
        <v>113</v>
      </c>
      <c r="R2426" t="s">
        <v>13867</v>
      </c>
      <c r="W2426" t="s">
        <v>13864</v>
      </c>
      <c r="X2426" t="s">
        <v>13868</v>
      </c>
      <c r="Y2426" t="s">
        <v>116</v>
      </c>
      <c r="Z2426" t="s">
        <v>117</v>
      </c>
      <c r="AA2426" t="str">
        <f>"14209-2003"</f>
        <v>14209-2003</v>
      </c>
      <c r="AB2426" t="s">
        <v>634</v>
      </c>
      <c r="AC2426" t="s">
        <v>119</v>
      </c>
      <c r="AD2426" t="s">
        <v>113</v>
      </c>
      <c r="AE2426" t="s">
        <v>120</v>
      </c>
      <c r="AG2426" t="s">
        <v>121</v>
      </c>
    </row>
    <row r="2427" spans="1:33" x14ac:dyDescent="0.25">
      <c r="A2427" t="str">
        <f>"1831195270"</f>
        <v>1831195270</v>
      </c>
      <c r="B2427" t="str">
        <f>"00356327"</f>
        <v>00356327</v>
      </c>
      <c r="C2427" t="s">
        <v>2242</v>
      </c>
      <c r="D2427" t="s">
        <v>2243</v>
      </c>
      <c r="E2427" t="s">
        <v>2244</v>
      </c>
      <c r="H2427" t="s">
        <v>2245</v>
      </c>
      <c r="J2427" t="s">
        <v>1266</v>
      </c>
      <c r="L2427" t="s">
        <v>280</v>
      </c>
      <c r="M2427" t="s">
        <v>199</v>
      </c>
      <c r="R2427" t="s">
        <v>2242</v>
      </c>
      <c r="W2427" t="s">
        <v>2244</v>
      </c>
      <c r="X2427" t="s">
        <v>2246</v>
      </c>
      <c r="Y2427" t="s">
        <v>2247</v>
      </c>
      <c r="Z2427" t="s">
        <v>117</v>
      </c>
      <c r="AA2427" t="str">
        <f>"14740-9540"</f>
        <v>14740-9540</v>
      </c>
      <c r="AB2427" t="s">
        <v>282</v>
      </c>
      <c r="AC2427" t="s">
        <v>119</v>
      </c>
      <c r="AD2427" t="s">
        <v>113</v>
      </c>
      <c r="AE2427" t="s">
        <v>120</v>
      </c>
      <c r="AG2427" t="s">
        <v>121</v>
      </c>
    </row>
    <row r="2428" spans="1:33" x14ac:dyDescent="0.25">
      <c r="A2428" t="str">
        <f>"1124090006"</f>
        <v>1124090006</v>
      </c>
      <c r="B2428" t="str">
        <f>"01083921"</f>
        <v>01083921</v>
      </c>
      <c r="C2428" t="s">
        <v>13876</v>
      </c>
      <c r="D2428" t="s">
        <v>13877</v>
      </c>
      <c r="E2428" t="s">
        <v>13878</v>
      </c>
      <c r="G2428" t="s">
        <v>13876</v>
      </c>
      <c r="H2428" t="s">
        <v>559</v>
      </c>
      <c r="J2428" t="s">
        <v>13879</v>
      </c>
      <c r="L2428" t="s">
        <v>142</v>
      </c>
      <c r="M2428" t="s">
        <v>113</v>
      </c>
      <c r="R2428" t="s">
        <v>13880</v>
      </c>
      <c r="W2428" t="s">
        <v>13881</v>
      </c>
      <c r="X2428" t="s">
        <v>13882</v>
      </c>
      <c r="Y2428" t="s">
        <v>116</v>
      </c>
      <c r="Z2428" t="s">
        <v>117</v>
      </c>
      <c r="AA2428" t="str">
        <f>"14215-3021"</f>
        <v>14215-3021</v>
      </c>
      <c r="AB2428" t="s">
        <v>118</v>
      </c>
      <c r="AC2428" t="s">
        <v>119</v>
      </c>
      <c r="AD2428" t="s">
        <v>113</v>
      </c>
      <c r="AE2428" t="s">
        <v>120</v>
      </c>
      <c r="AG2428" t="s">
        <v>121</v>
      </c>
    </row>
    <row r="2429" spans="1:33" x14ac:dyDescent="0.25">
      <c r="A2429" t="str">
        <f>"1124097381"</f>
        <v>1124097381</v>
      </c>
      <c r="B2429" t="str">
        <f>"01432113"</f>
        <v>01432113</v>
      </c>
      <c r="C2429" t="s">
        <v>13883</v>
      </c>
      <c r="D2429" t="s">
        <v>13884</v>
      </c>
      <c r="E2429" t="s">
        <v>13885</v>
      </c>
      <c r="G2429" t="s">
        <v>13883</v>
      </c>
      <c r="J2429" t="s">
        <v>13886</v>
      </c>
      <c r="L2429" t="s">
        <v>142</v>
      </c>
      <c r="M2429" t="s">
        <v>113</v>
      </c>
      <c r="R2429" t="s">
        <v>13887</v>
      </c>
      <c r="W2429" t="s">
        <v>13885</v>
      </c>
      <c r="X2429" t="s">
        <v>809</v>
      </c>
      <c r="Y2429" t="s">
        <v>116</v>
      </c>
      <c r="Z2429" t="s">
        <v>117</v>
      </c>
      <c r="AA2429" t="str">
        <f>"14203-1126"</f>
        <v>14203-1126</v>
      </c>
      <c r="AB2429" t="s">
        <v>118</v>
      </c>
      <c r="AC2429" t="s">
        <v>119</v>
      </c>
      <c r="AD2429" t="s">
        <v>113</v>
      </c>
      <c r="AE2429" t="s">
        <v>120</v>
      </c>
      <c r="AG2429" t="s">
        <v>121</v>
      </c>
    </row>
    <row r="2430" spans="1:33" x14ac:dyDescent="0.25">
      <c r="A2430" t="str">
        <f>"1124108998"</f>
        <v>1124108998</v>
      </c>
      <c r="B2430" t="str">
        <f>"03226262"</f>
        <v>03226262</v>
      </c>
      <c r="C2430" t="s">
        <v>13888</v>
      </c>
      <c r="D2430" t="s">
        <v>13889</v>
      </c>
      <c r="E2430" t="s">
        <v>13890</v>
      </c>
      <c r="G2430" t="s">
        <v>13888</v>
      </c>
      <c r="H2430" t="s">
        <v>707</v>
      </c>
      <c r="J2430" t="s">
        <v>13891</v>
      </c>
      <c r="L2430" t="s">
        <v>142</v>
      </c>
      <c r="M2430" t="s">
        <v>113</v>
      </c>
      <c r="R2430" t="s">
        <v>13892</v>
      </c>
      <c r="W2430" t="s">
        <v>13890</v>
      </c>
      <c r="X2430" t="s">
        <v>709</v>
      </c>
      <c r="Y2430" t="s">
        <v>116</v>
      </c>
      <c r="Z2430" t="s">
        <v>117</v>
      </c>
      <c r="AA2430" t="str">
        <f>"14263-0001"</f>
        <v>14263-0001</v>
      </c>
      <c r="AB2430" t="s">
        <v>118</v>
      </c>
      <c r="AC2430" t="s">
        <v>119</v>
      </c>
      <c r="AD2430" t="s">
        <v>113</v>
      </c>
      <c r="AE2430" t="s">
        <v>120</v>
      </c>
      <c r="AG2430" t="s">
        <v>121</v>
      </c>
    </row>
    <row r="2431" spans="1:33" x14ac:dyDescent="0.25">
      <c r="A2431" t="str">
        <f>"1124129820"</f>
        <v>1124129820</v>
      </c>
      <c r="B2431" t="str">
        <f>"00917588"</f>
        <v>00917588</v>
      </c>
      <c r="C2431" t="s">
        <v>13893</v>
      </c>
      <c r="D2431" t="s">
        <v>13894</v>
      </c>
      <c r="E2431" t="s">
        <v>13895</v>
      </c>
      <c r="G2431" t="s">
        <v>13893</v>
      </c>
      <c r="H2431" t="s">
        <v>8175</v>
      </c>
      <c r="J2431" t="s">
        <v>13896</v>
      </c>
      <c r="L2431" t="s">
        <v>142</v>
      </c>
      <c r="M2431" t="s">
        <v>113</v>
      </c>
      <c r="R2431" t="s">
        <v>13897</v>
      </c>
      <c r="W2431" t="s">
        <v>13895</v>
      </c>
      <c r="X2431" t="s">
        <v>176</v>
      </c>
      <c r="Y2431" t="s">
        <v>116</v>
      </c>
      <c r="Z2431" t="s">
        <v>117</v>
      </c>
      <c r="AA2431" t="str">
        <f>"14203-1126"</f>
        <v>14203-1126</v>
      </c>
      <c r="AB2431" t="s">
        <v>118</v>
      </c>
      <c r="AC2431" t="s">
        <v>119</v>
      </c>
      <c r="AD2431" t="s">
        <v>113</v>
      </c>
      <c r="AE2431" t="s">
        <v>120</v>
      </c>
      <c r="AG2431" t="s">
        <v>121</v>
      </c>
    </row>
    <row r="2432" spans="1:33" x14ac:dyDescent="0.25">
      <c r="A2432" t="str">
        <f>"1124133699"</f>
        <v>1124133699</v>
      </c>
      <c r="B2432" t="str">
        <f>"02265534"</f>
        <v>02265534</v>
      </c>
      <c r="C2432" t="s">
        <v>13898</v>
      </c>
      <c r="D2432" t="s">
        <v>13899</v>
      </c>
      <c r="E2432" t="s">
        <v>13900</v>
      </c>
      <c r="G2432" t="s">
        <v>13898</v>
      </c>
      <c r="H2432" t="s">
        <v>13901</v>
      </c>
      <c r="J2432" t="s">
        <v>13902</v>
      </c>
      <c r="L2432" t="s">
        <v>112</v>
      </c>
      <c r="M2432" t="s">
        <v>113</v>
      </c>
      <c r="R2432" t="s">
        <v>13903</v>
      </c>
      <c r="W2432" t="s">
        <v>13900</v>
      </c>
      <c r="X2432" t="s">
        <v>176</v>
      </c>
      <c r="Y2432" t="s">
        <v>116</v>
      </c>
      <c r="Z2432" t="s">
        <v>117</v>
      </c>
      <c r="AA2432" t="str">
        <f>"14203-1126"</f>
        <v>14203-1126</v>
      </c>
      <c r="AB2432" t="s">
        <v>634</v>
      </c>
      <c r="AC2432" t="s">
        <v>119</v>
      </c>
      <c r="AD2432" t="s">
        <v>113</v>
      </c>
      <c r="AE2432" t="s">
        <v>120</v>
      </c>
      <c r="AG2432" t="s">
        <v>121</v>
      </c>
    </row>
    <row r="2433" spans="1:33" x14ac:dyDescent="0.25">
      <c r="A2433" t="str">
        <f>"1124177829"</f>
        <v>1124177829</v>
      </c>
      <c r="B2433" t="str">
        <f>"03338149"</f>
        <v>03338149</v>
      </c>
      <c r="C2433" t="s">
        <v>13904</v>
      </c>
      <c r="D2433" t="s">
        <v>13905</v>
      </c>
      <c r="E2433" t="s">
        <v>13906</v>
      </c>
      <c r="G2433" t="s">
        <v>6204</v>
      </c>
      <c r="J2433" t="s">
        <v>6205</v>
      </c>
      <c r="L2433" t="s">
        <v>142</v>
      </c>
      <c r="M2433" t="s">
        <v>113</v>
      </c>
      <c r="R2433" t="s">
        <v>13906</v>
      </c>
      <c r="W2433" t="s">
        <v>13907</v>
      </c>
      <c r="X2433" t="s">
        <v>13908</v>
      </c>
      <c r="Y2433" t="s">
        <v>2690</v>
      </c>
      <c r="Z2433" t="s">
        <v>117</v>
      </c>
      <c r="AA2433" t="str">
        <f>"10461-2301"</f>
        <v>10461-2301</v>
      </c>
      <c r="AB2433" t="s">
        <v>118</v>
      </c>
      <c r="AC2433" t="s">
        <v>119</v>
      </c>
      <c r="AD2433" t="s">
        <v>113</v>
      </c>
      <c r="AE2433" t="s">
        <v>120</v>
      </c>
      <c r="AG2433" t="s">
        <v>121</v>
      </c>
    </row>
    <row r="2434" spans="1:33" x14ac:dyDescent="0.25">
      <c r="A2434" t="str">
        <f>"1215919857"</f>
        <v>1215919857</v>
      </c>
      <c r="B2434" t="str">
        <f>"02087878"</f>
        <v>02087878</v>
      </c>
      <c r="C2434" t="s">
        <v>13909</v>
      </c>
      <c r="D2434" t="s">
        <v>13910</v>
      </c>
      <c r="E2434" t="s">
        <v>13911</v>
      </c>
      <c r="G2434" t="s">
        <v>13909</v>
      </c>
      <c r="H2434" t="s">
        <v>13912</v>
      </c>
      <c r="J2434" t="s">
        <v>13913</v>
      </c>
      <c r="L2434" t="s">
        <v>142</v>
      </c>
      <c r="M2434" t="s">
        <v>113</v>
      </c>
      <c r="R2434" t="s">
        <v>13914</v>
      </c>
      <c r="W2434" t="s">
        <v>13911</v>
      </c>
      <c r="X2434" t="s">
        <v>253</v>
      </c>
      <c r="Y2434" t="s">
        <v>116</v>
      </c>
      <c r="Z2434" t="s">
        <v>117</v>
      </c>
      <c r="AA2434" t="str">
        <f>"14215-3021"</f>
        <v>14215-3021</v>
      </c>
      <c r="AB2434" t="s">
        <v>118</v>
      </c>
      <c r="AC2434" t="s">
        <v>119</v>
      </c>
      <c r="AD2434" t="s">
        <v>113</v>
      </c>
      <c r="AE2434" t="s">
        <v>120</v>
      </c>
      <c r="AG2434" t="s">
        <v>121</v>
      </c>
    </row>
    <row r="2435" spans="1:33" x14ac:dyDescent="0.25">
      <c r="A2435" t="str">
        <f>"1316122674"</f>
        <v>1316122674</v>
      </c>
      <c r="B2435" t="str">
        <f>"02972136"</f>
        <v>02972136</v>
      </c>
      <c r="C2435" t="s">
        <v>13915</v>
      </c>
      <c r="D2435" t="s">
        <v>13916</v>
      </c>
      <c r="E2435" t="s">
        <v>13917</v>
      </c>
      <c r="G2435" t="s">
        <v>13918</v>
      </c>
      <c r="H2435" t="s">
        <v>10657</v>
      </c>
      <c r="J2435" t="s">
        <v>13919</v>
      </c>
      <c r="L2435" t="s">
        <v>112</v>
      </c>
      <c r="M2435" t="s">
        <v>113</v>
      </c>
      <c r="R2435" t="s">
        <v>13920</v>
      </c>
      <c r="W2435" t="s">
        <v>13921</v>
      </c>
      <c r="X2435" t="s">
        <v>136</v>
      </c>
      <c r="Y2435" t="s">
        <v>116</v>
      </c>
      <c r="Z2435" t="s">
        <v>117</v>
      </c>
      <c r="AA2435" t="str">
        <f>"14209-1120"</f>
        <v>14209-1120</v>
      </c>
      <c r="AB2435" t="s">
        <v>118</v>
      </c>
      <c r="AC2435" t="s">
        <v>119</v>
      </c>
      <c r="AD2435" t="s">
        <v>113</v>
      </c>
      <c r="AE2435" t="s">
        <v>120</v>
      </c>
      <c r="AG2435" t="s">
        <v>121</v>
      </c>
    </row>
    <row r="2436" spans="1:33" x14ac:dyDescent="0.25">
      <c r="A2436" t="str">
        <f>"1316132533"</f>
        <v>1316132533</v>
      </c>
      <c r="B2436" t="str">
        <f>"02899296"</f>
        <v>02899296</v>
      </c>
      <c r="C2436" t="s">
        <v>710</v>
      </c>
      <c r="D2436" t="s">
        <v>13922</v>
      </c>
      <c r="E2436" t="s">
        <v>13923</v>
      </c>
      <c r="F2436">
        <v>161291766</v>
      </c>
      <c r="H2436" t="s">
        <v>713</v>
      </c>
      <c r="L2436" t="s">
        <v>69</v>
      </c>
      <c r="M2436" t="s">
        <v>199</v>
      </c>
      <c r="R2436" t="s">
        <v>710</v>
      </c>
      <c r="W2436" t="s">
        <v>13923</v>
      </c>
      <c r="X2436" t="s">
        <v>13924</v>
      </c>
      <c r="Y2436" t="s">
        <v>305</v>
      </c>
      <c r="Z2436" t="s">
        <v>117</v>
      </c>
      <c r="AA2436" t="str">
        <f>"14760-2027"</f>
        <v>14760-2027</v>
      </c>
      <c r="AB2436" t="s">
        <v>1146</v>
      </c>
      <c r="AC2436" t="s">
        <v>119</v>
      </c>
      <c r="AD2436" t="s">
        <v>113</v>
      </c>
      <c r="AE2436" t="s">
        <v>120</v>
      </c>
      <c r="AG2436" t="s">
        <v>121</v>
      </c>
    </row>
    <row r="2437" spans="1:33" x14ac:dyDescent="0.25">
      <c r="A2437" t="str">
        <f>"1316141252"</f>
        <v>1316141252</v>
      </c>
      <c r="B2437" t="str">
        <f>"03679509"</f>
        <v>03679509</v>
      </c>
      <c r="C2437" t="s">
        <v>13925</v>
      </c>
      <c r="D2437" t="s">
        <v>13926</v>
      </c>
      <c r="E2437" t="s">
        <v>13927</v>
      </c>
      <c r="G2437" t="s">
        <v>13928</v>
      </c>
      <c r="H2437" t="s">
        <v>13929</v>
      </c>
      <c r="J2437" t="s">
        <v>352</v>
      </c>
      <c r="L2437" t="s">
        <v>112</v>
      </c>
      <c r="M2437" t="s">
        <v>113</v>
      </c>
      <c r="R2437" t="s">
        <v>13930</v>
      </c>
      <c r="W2437" t="s">
        <v>13931</v>
      </c>
      <c r="X2437" t="s">
        <v>13932</v>
      </c>
      <c r="Y2437" t="s">
        <v>13933</v>
      </c>
      <c r="Z2437" t="s">
        <v>117</v>
      </c>
      <c r="AA2437" t="str">
        <f>"13163-0608"</f>
        <v>13163-0608</v>
      </c>
      <c r="AB2437" t="s">
        <v>621</v>
      </c>
      <c r="AC2437" t="s">
        <v>119</v>
      </c>
      <c r="AD2437" t="s">
        <v>113</v>
      </c>
      <c r="AE2437" t="s">
        <v>120</v>
      </c>
      <c r="AG2437" t="s">
        <v>121</v>
      </c>
    </row>
    <row r="2438" spans="1:33" x14ac:dyDescent="0.25">
      <c r="A2438" t="str">
        <f>"1316155500"</f>
        <v>1316155500</v>
      </c>
      <c r="B2438" t="str">
        <f>"02938549"</f>
        <v>02938549</v>
      </c>
      <c r="C2438" t="s">
        <v>13934</v>
      </c>
      <c r="D2438" t="s">
        <v>13935</v>
      </c>
      <c r="E2438" t="s">
        <v>13936</v>
      </c>
      <c r="G2438" t="s">
        <v>13937</v>
      </c>
      <c r="H2438" t="s">
        <v>13938</v>
      </c>
      <c r="J2438" t="s">
        <v>13939</v>
      </c>
      <c r="L2438" t="s">
        <v>142</v>
      </c>
      <c r="M2438" t="s">
        <v>113</v>
      </c>
      <c r="R2438" t="s">
        <v>13940</v>
      </c>
      <c r="W2438" t="s">
        <v>13941</v>
      </c>
      <c r="X2438" t="s">
        <v>8774</v>
      </c>
      <c r="Y2438" t="s">
        <v>958</v>
      </c>
      <c r="Z2438" t="s">
        <v>117</v>
      </c>
      <c r="AA2438" t="str">
        <f>"14226-1727"</f>
        <v>14226-1727</v>
      </c>
      <c r="AB2438" t="s">
        <v>118</v>
      </c>
      <c r="AC2438" t="s">
        <v>119</v>
      </c>
      <c r="AD2438" t="s">
        <v>113</v>
      </c>
      <c r="AE2438" t="s">
        <v>120</v>
      </c>
      <c r="AG2438" t="s">
        <v>121</v>
      </c>
    </row>
    <row r="2439" spans="1:33" x14ac:dyDescent="0.25">
      <c r="A2439" t="str">
        <f>"1316159585"</f>
        <v>1316159585</v>
      </c>
      <c r="B2439" t="str">
        <f>"02346156"</f>
        <v>02346156</v>
      </c>
      <c r="C2439" t="s">
        <v>13942</v>
      </c>
      <c r="D2439" t="s">
        <v>13943</v>
      </c>
      <c r="E2439" t="s">
        <v>13944</v>
      </c>
      <c r="H2439" t="s">
        <v>13945</v>
      </c>
      <c r="L2439" t="s">
        <v>142</v>
      </c>
      <c r="M2439" t="s">
        <v>113</v>
      </c>
      <c r="R2439" t="s">
        <v>13946</v>
      </c>
      <c r="W2439" t="s">
        <v>13944</v>
      </c>
      <c r="X2439" t="s">
        <v>13944</v>
      </c>
      <c r="Y2439" t="s">
        <v>377</v>
      </c>
      <c r="Z2439" t="s">
        <v>117</v>
      </c>
      <c r="AA2439" t="str">
        <f>"14217-1939"</f>
        <v>14217-1939</v>
      </c>
      <c r="AB2439" t="s">
        <v>1263</v>
      </c>
      <c r="AC2439" t="s">
        <v>119</v>
      </c>
      <c r="AD2439" t="s">
        <v>113</v>
      </c>
      <c r="AE2439" t="s">
        <v>120</v>
      </c>
      <c r="AG2439" t="s">
        <v>121</v>
      </c>
    </row>
    <row r="2440" spans="1:33" x14ac:dyDescent="0.25">
      <c r="A2440" t="str">
        <f>"1316174881"</f>
        <v>1316174881</v>
      </c>
      <c r="B2440" t="str">
        <f>"03143560"</f>
        <v>03143560</v>
      </c>
      <c r="C2440" t="s">
        <v>13947</v>
      </c>
      <c r="D2440" t="s">
        <v>13948</v>
      </c>
      <c r="E2440" t="s">
        <v>13949</v>
      </c>
      <c r="H2440" t="s">
        <v>579</v>
      </c>
      <c r="L2440" t="s">
        <v>112</v>
      </c>
      <c r="M2440" t="s">
        <v>113</v>
      </c>
      <c r="R2440" t="s">
        <v>13950</v>
      </c>
      <c r="W2440" t="s">
        <v>13949</v>
      </c>
      <c r="X2440" t="s">
        <v>152</v>
      </c>
      <c r="Y2440" t="s">
        <v>153</v>
      </c>
      <c r="Z2440" t="s">
        <v>117</v>
      </c>
      <c r="AA2440" t="str">
        <f>"14301-1813"</f>
        <v>14301-1813</v>
      </c>
      <c r="AB2440" t="s">
        <v>118</v>
      </c>
      <c r="AC2440" t="s">
        <v>119</v>
      </c>
      <c r="AD2440" t="s">
        <v>113</v>
      </c>
      <c r="AE2440" t="s">
        <v>120</v>
      </c>
      <c r="AG2440" t="s">
        <v>121</v>
      </c>
    </row>
    <row r="2441" spans="1:33" x14ac:dyDescent="0.25">
      <c r="A2441" t="str">
        <f>"1316176167"</f>
        <v>1316176167</v>
      </c>
      <c r="B2441" t="str">
        <f>"03496068"</f>
        <v>03496068</v>
      </c>
      <c r="C2441" t="s">
        <v>13951</v>
      </c>
      <c r="D2441" t="s">
        <v>13952</v>
      </c>
      <c r="E2441" t="s">
        <v>13953</v>
      </c>
      <c r="G2441" t="s">
        <v>13951</v>
      </c>
      <c r="H2441" t="s">
        <v>1964</v>
      </c>
      <c r="J2441" t="s">
        <v>13954</v>
      </c>
      <c r="L2441" t="s">
        <v>112</v>
      </c>
      <c r="M2441" t="s">
        <v>113</v>
      </c>
      <c r="R2441" t="s">
        <v>13955</v>
      </c>
      <c r="W2441" t="s">
        <v>13953</v>
      </c>
      <c r="X2441" t="s">
        <v>13956</v>
      </c>
      <c r="Y2441" t="s">
        <v>240</v>
      </c>
      <c r="Z2441" t="s">
        <v>117</v>
      </c>
      <c r="AA2441" t="str">
        <f>"14221-8208"</f>
        <v>14221-8208</v>
      </c>
      <c r="AB2441" t="s">
        <v>118</v>
      </c>
      <c r="AC2441" t="s">
        <v>119</v>
      </c>
      <c r="AD2441" t="s">
        <v>113</v>
      </c>
      <c r="AE2441" t="s">
        <v>120</v>
      </c>
      <c r="AG2441" t="s">
        <v>121</v>
      </c>
    </row>
    <row r="2442" spans="1:33" x14ac:dyDescent="0.25">
      <c r="A2442" t="str">
        <f>"1316180573"</f>
        <v>1316180573</v>
      </c>
      <c r="B2442" t="str">
        <f>"03611305"</f>
        <v>03611305</v>
      </c>
      <c r="C2442" t="s">
        <v>13957</v>
      </c>
      <c r="D2442" t="s">
        <v>13958</v>
      </c>
      <c r="E2442" t="s">
        <v>13959</v>
      </c>
      <c r="H2442" t="s">
        <v>13960</v>
      </c>
      <c r="L2442" t="s">
        <v>142</v>
      </c>
      <c r="M2442" t="s">
        <v>113</v>
      </c>
      <c r="R2442" t="s">
        <v>13961</v>
      </c>
      <c r="W2442" t="s">
        <v>13959</v>
      </c>
      <c r="X2442" t="s">
        <v>6680</v>
      </c>
      <c r="Y2442" t="s">
        <v>512</v>
      </c>
      <c r="Z2442" t="s">
        <v>117</v>
      </c>
      <c r="AA2442" t="str">
        <f>"14092-2218"</f>
        <v>14092-2218</v>
      </c>
      <c r="AB2442" t="s">
        <v>118</v>
      </c>
      <c r="AC2442" t="s">
        <v>119</v>
      </c>
      <c r="AD2442" t="s">
        <v>113</v>
      </c>
      <c r="AE2442" t="s">
        <v>120</v>
      </c>
      <c r="AG2442" t="s">
        <v>121</v>
      </c>
    </row>
    <row r="2443" spans="1:33" x14ac:dyDescent="0.25">
      <c r="A2443" t="str">
        <f>"1316180896"</f>
        <v>1316180896</v>
      </c>
      <c r="B2443" t="str">
        <f>"03479141"</f>
        <v>03479141</v>
      </c>
      <c r="C2443" t="s">
        <v>13962</v>
      </c>
      <c r="D2443" t="s">
        <v>13963</v>
      </c>
      <c r="E2443" t="s">
        <v>13964</v>
      </c>
      <c r="G2443" t="s">
        <v>13962</v>
      </c>
      <c r="H2443" t="s">
        <v>13965</v>
      </c>
      <c r="J2443" t="s">
        <v>13966</v>
      </c>
      <c r="L2443" t="s">
        <v>112</v>
      </c>
      <c r="M2443" t="s">
        <v>113</v>
      </c>
      <c r="R2443" t="s">
        <v>13964</v>
      </c>
      <c r="W2443" t="s">
        <v>13964</v>
      </c>
      <c r="X2443" t="s">
        <v>838</v>
      </c>
      <c r="Y2443" t="s">
        <v>240</v>
      </c>
      <c r="Z2443" t="s">
        <v>117</v>
      </c>
      <c r="AA2443" t="str">
        <f>"14221-3647"</f>
        <v>14221-3647</v>
      </c>
      <c r="AB2443" t="s">
        <v>118</v>
      </c>
      <c r="AC2443" t="s">
        <v>119</v>
      </c>
      <c r="AD2443" t="s">
        <v>113</v>
      </c>
      <c r="AE2443" t="s">
        <v>120</v>
      </c>
      <c r="AG2443" t="s">
        <v>121</v>
      </c>
    </row>
    <row r="2444" spans="1:33" x14ac:dyDescent="0.25">
      <c r="A2444" t="str">
        <f>"1316195696"</f>
        <v>1316195696</v>
      </c>
      <c r="B2444" t="str">
        <f>"03823907"</f>
        <v>03823907</v>
      </c>
      <c r="C2444" t="s">
        <v>13967</v>
      </c>
      <c r="D2444" t="s">
        <v>13968</v>
      </c>
      <c r="E2444" t="s">
        <v>13969</v>
      </c>
      <c r="G2444" t="s">
        <v>13970</v>
      </c>
      <c r="H2444" t="s">
        <v>4242</v>
      </c>
      <c r="J2444" t="s">
        <v>1660</v>
      </c>
      <c r="L2444" t="s">
        <v>150</v>
      </c>
      <c r="M2444" t="s">
        <v>113</v>
      </c>
      <c r="R2444" t="s">
        <v>13971</v>
      </c>
      <c r="W2444" t="s">
        <v>13969</v>
      </c>
      <c r="X2444" t="s">
        <v>6296</v>
      </c>
      <c r="Y2444" t="s">
        <v>3362</v>
      </c>
      <c r="Z2444" t="s">
        <v>117</v>
      </c>
      <c r="AA2444" t="str">
        <f>"14136-1452"</f>
        <v>14136-1452</v>
      </c>
      <c r="AB2444" t="s">
        <v>118</v>
      </c>
      <c r="AC2444" t="s">
        <v>119</v>
      </c>
      <c r="AD2444" t="s">
        <v>113</v>
      </c>
      <c r="AE2444" t="s">
        <v>120</v>
      </c>
      <c r="AG2444" t="s">
        <v>121</v>
      </c>
    </row>
    <row r="2445" spans="1:33" x14ac:dyDescent="0.25">
      <c r="A2445" t="str">
        <f>"1316263577"</f>
        <v>1316263577</v>
      </c>
      <c r="C2445" t="s">
        <v>13972</v>
      </c>
      <c r="G2445" t="s">
        <v>13972</v>
      </c>
      <c r="H2445" t="s">
        <v>13973</v>
      </c>
      <c r="J2445" t="s">
        <v>438</v>
      </c>
      <c r="K2445" t="s">
        <v>303</v>
      </c>
      <c r="L2445" t="s">
        <v>112</v>
      </c>
      <c r="M2445" t="s">
        <v>113</v>
      </c>
      <c r="R2445" t="s">
        <v>13974</v>
      </c>
      <c r="S2445" t="s">
        <v>2115</v>
      </c>
      <c r="T2445" t="s">
        <v>116</v>
      </c>
      <c r="U2445" t="s">
        <v>117</v>
      </c>
      <c r="V2445" t="str">
        <f>"142121501"</f>
        <v>142121501</v>
      </c>
      <c r="AC2445" t="s">
        <v>119</v>
      </c>
      <c r="AD2445" t="s">
        <v>113</v>
      </c>
      <c r="AE2445" t="s">
        <v>306</v>
      </c>
      <c r="AG2445" t="s">
        <v>121</v>
      </c>
    </row>
    <row r="2446" spans="1:33" x14ac:dyDescent="0.25">
      <c r="A2446" t="str">
        <f>"1316266711"</f>
        <v>1316266711</v>
      </c>
      <c r="B2446" t="str">
        <f>"03464046"</f>
        <v>03464046</v>
      </c>
      <c r="C2446" t="s">
        <v>13975</v>
      </c>
      <c r="D2446" t="s">
        <v>13976</v>
      </c>
      <c r="E2446" t="s">
        <v>13977</v>
      </c>
      <c r="G2446" t="s">
        <v>13975</v>
      </c>
      <c r="H2446" t="s">
        <v>7677</v>
      </c>
      <c r="J2446" t="s">
        <v>13978</v>
      </c>
      <c r="L2446" t="s">
        <v>112</v>
      </c>
      <c r="M2446" t="s">
        <v>113</v>
      </c>
      <c r="R2446" t="s">
        <v>13979</v>
      </c>
      <c r="W2446" t="s">
        <v>13977</v>
      </c>
      <c r="X2446" t="s">
        <v>13980</v>
      </c>
      <c r="Y2446" t="s">
        <v>326</v>
      </c>
      <c r="Z2446" t="s">
        <v>117</v>
      </c>
      <c r="AA2446" t="str">
        <f>"14127-1599"</f>
        <v>14127-1599</v>
      </c>
      <c r="AB2446" t="s">
        <v>118</v>
      </c>
      <c r="AC2446" t="s">
        <v>119</v>
      </c>
      <c r="AD2446" t="s">
        <v>113</v>
      </c>
      <c r="AE2446" t="s">
        <v>120</v>
      </c>
      <c r="AG2446" t="s">
        <v>121</v>
      </c>
    </row>
    <row r="2447" spans="1:33" x14ac:dyDescent="0.25">
      <c r="A2447" t="str">
        <f>"1316277981"</f>
        <v>1316277981</v>
      </c>
      <c r="B2447" t="str">
        <f>"03435738"</f>
        <v>03435738</v>
      </c>
      <c r="C2447" t="s">
        <v>13981</v>
      </c>
      <c r="D2447" t="s">
        <v>13982</v>
      </c>
      <c r="E2447" t="s">
        <v>13983</v>
      </c>
      <c r="G2447" t="s">
        <v>13984</v>
      </c>
      <c r="H2447" t="s">
        <v>13985</v>
      </c>
      <c r="J2447" t="s">
        <v>13986</v>
      </c>
      <c r="L2447" t="s">
        <v>112</v>
      </c>
      <c r="M2447" t="s">
        <v>113</v>
      </c>
      <c r="R2447" t="s">
        <v>13987</v>
      </c>
      <c r="W2447" t="s">
        <v>13983</v>
      </c>
      <c r="X2447" t="s">
        <v>3340</v>
      </c>
      <c r="Y2447" t="s">
        <v>318</v>
      </c>
      <c r="Z2447" t="s">
        <v>117</v>
      </c>
      <c r="AA2447" t="str">
        <f>"14227-1443"</f>
        <v>14227-1443</v>
      </c>
      <c r="AB2447" t="s">
        <v>118</v>
      </c>
      <c r="AC2447" t="s">
        <v>119</v>
      </c>
      <c r="AD2447" t="s">
        <v>113</v>
      </c>
      <c r="AE2447" t="s">
        <v>120</v>
      </c>
      <c r="AG2447" t="s">
        <v>121</v>
      </c>
    </row>
    <row r="2448" spans="1:33" x14ac:dyDescent="0.25">
      <c r="A2448" t="str">
        <f>"1316292014"</f>
        <v>1316292014</v>
      </c>
      <c r="C2448" t="s">
        <v>7433</v>
      </c>
      <c r="G2448" t="s">
        <v>1077</v>
      </c>
      <c r="H2448" t="s">
        <v>1078</v>
      </c>
      <c r="J2448" t="s">
        <v>1079</v>
      </c>
      <c r="K2448" t="s">
        <v>303</v>
      </c>
      <c r="L2448" t="s">
        <v>229</v>
      </c>
      <c r="M2448" t="s">
        <v>113</v>
      </c>
      <c r="R2448" t="s">
        <v>7433</v>
      </c>
      <c r="S2448" t="s">
        <v>13988</v>
      </c>
      <c r="T2448" t="s">
        <v>116</v>
      </c>
      <c r="U2448" t="s">
        <v>117</v>
      </c>
      <c r="V2448" t="str">
        <f>"142630001"</f>
        <v>142630001</v>
      </c>
      <c r="AC2448" t="s">
        <v>119</v>
      </c>
      <c r="AD2448" t="s">
        <v>113</v>
      </c>
      <c r="AE2448" t="s">
        <v>306</v>
      </c>
      <c r="AG2448" t="s">
        <v>121</v>
      </c>
    </row>
    <row r="2449" spans="1:33" x14ac:dyDescent="0.25">
      <c r="A2449" t="str">
        <f>"1306813019"</f>
        <v>1306813019</v>
      </c>
      <c r="B2449" t="str">
        <f>"02022975"</f>
        <v>02022975</v>
      </c>
      <c r="C2449" t="s">
        <v>13989</v>
      </c>
      <c r="D2449" t="s">
        <v>13990</v>
      </c>
      <c r="E2449" t="s">
        <v>13991</v>
      </c>
      <c r="G2449" t="s">
        <v>13992</v>
      </c>
      <c r="H2449" t="s">
        <v>579</v>
      </c>
      <c r="J2449" t="s">
        <v>13993</v>
      </c>
      <c r="L2449" t="s">
        <v>142</v>
      </c>
      <c r="M2449" t="s">
        <v>113</v>
      </c>
      <c r="R2449" t="s">
        <v>13994</v>
      </c>
      <c r="W2449" t="s">
        <v>13995</v>
      </c>
      <c r="X2449" t="s">
        <v>838</v>
      </c>
      <c r="Y2449" t="s">
        <v>240</v>
      </c>
      <c r="Z2449" t="s">
        <v>117</v>
      </c>
      <c r="AA2449" t="str">
        <f>"14221-3647"</f>
        <v>14221-3647</v>
      </c>
      <c r="AB2449" t="s">
        <v>118</v>
      </c>
      <c r="AC2449" t="s">
        <v>119</v>
      </c>
      <c r="AD2449" t="s">
        <v>113</v>
      </c>
      <c r="AE2449" t="s">
        <v>120</v>
      </c>
      <c r="AG2449" t="s">
        <v>121</v>
      </c>
    </row>
    <row r="2450" spans="1:33" x14ac:dyDescent="0.25">
      <c r="A2450" t="str">
        <f>"1306819529"</f>
        <v>1306819529</v>
      </c>
      <c r="B2450" t="str">
        <f>"01163588"</f>
        <v>01163588</v>
      </c>
      <c r="C2450" t="s">
        <v>13996</v>
      </c>
      <c r="D2450" t="s">
        <v>13997</v>
      </c>
      <c r="E2450" t="s">
        <v>13998</v>
      </c>
      <c r="G2450" t="s">
        <v>13996</v>
      </c>
      <c r="H2450" t="s">
        <v>566</v>
      </c>
      <c r="J2450" t="s">
        <v>13999</v>
      </c>
      <c r="L2450" t="s">
        <v>150</v>
      </c>
      <c r="M2450" t="s">
        <v>113</v>
      </c>
      <c r="R2450" t="s">
        <v>14000</v>
      </c>
      <c r="W2450" t="s">
        <v>13998</v>
      </c>
      <c r="X2450" t="s">
        <v>838</v>
      </c>
      <c r="Y2450" t="s">
        <v>240</v>
      </c>
      <c r="Z2450" t="s">
        <v>117</v>
      </c>
      <c r="AA2450" t="str">
        <f>"14221-3647"</f>
        <v>14221-3647</v>
      </c>
      <c r="AB2450" t="s">
        <v>118</v>
      </c>
      <c r="AC2450" t="s">
        <v>119</v>
      </c>
      <c r="AD2450" t="s">
        <v>113</v>
      </c>
      <c r="AE2450" t="s">
        <v>120</v>
      </c>
      <c r="AG2450" t="s">
        <v>121</v>
      </c>
    </row>
    <row r="2451" spans="1:33" x14ac:dyDescent="0.25">
      <c r="A2451" t="str">
        <f>"1306825153"</f>
        <v>1306825153</v>
      </c>
      <c r="B2451" t="str">
        <f>"01355022"</f>
        <v>01355022</v>
      </c>
      <c r="C2451" t="s">
        <v>14001</v>
      </c>
      <c r="D2451" t="s">
        <v>14002</v>
      </c>
      <c r="E2451" t="s">
        <v>14003</v>
      </c>
      <c r="G2451" t="s">
        <v>14001</v>
      </c>
      <c r="H2451" t="s">
        <v>3774</v>
      </c>
      <c r="J2451" t="s">
        <v>14004</v>
      </c>
      <c r="L2451" t="s">
        <v>150</v>
      </c>
      <c r="M2451" t="s">
        <v>113</v>
      </c>
      <c r="R2451" t="s">
        <v>14005</v>
      </c>
      <c r="W2451" t="s">
        <v>14006</v>
      </c>
      <c r="X2451" t="s">
        <v>176</v>
      </c>
      <c r="Y2451" t="s">
        <v>116</v>
      </c>
      <c r="Z2451" t="s">
        <v>117</v>
      </c>
      <c r="AA2451" t="str">
        <f>"14203-1126"</f>
        <v>14203-1126</v>
      </c>
      <c r="AB2451" t="s">
        <v>118</v>
      </c>
      <c r="AC2451" t="s">
        <v>119</v>
      </c>
      <c r="AD2451" t="s">
        <v>113</v>
      </c>
      <c r="AE2451" t="s">
        <v>120</v>
      </c>
      <c r="AG2451" t="s">
        <v>121</v>
      </c>
    </row>
    <row r="2452" spans="1:33" x14ac:dyDescent="0.25">
      <c r="A2452" t="str">
        <f>"1306828132"</f>
        <v>1306828132</v>
      </c>
      <c r="B2452" t="str">
        <f>"02342881"</f>
        <v>02342881</v>
      </c>
      <c r="C2452" t="s">
        <v>14007</v>
      </c>
      <c r="D2452" t="s">
        <v>14008</v>
      </c>
      <c r="E2452" t="s">
        <v>14009</v>
      </c>
      <c r="G2452" t="s">
        <v>14010</v>
      </c>
      <c r="H2452" t="s">
        <v>1308</v>
      </c>
      <c r="J2452" t="s">
        <v>14011</v>
      </c>
      <c r="L2452" t="s">
        <v>142</v>
      </c>
      <c r="M2452" t="s">
        <v>113</v>
      </c>
      <c r="R2452" t="s">
        <v>14012</v>
      </c>
      <c r="W2452" t="s">
        <v>14013</v>
      </c>
      <c r="X2452" t="s">
        <v>1845</v>
      </c>
      <c r="Y2452" t="s">
        <v>816</v>
      </c>
      <c r="Z2452" t="s">
        <v>117</v>
      </c>
      <c r="AA2452" t="str">
        <f>"14120-6150"</f>
        <v>14120-6150</v>
      </c>
      <c r="AB2452" t="s">
        <v>118</v>
      </c>
      <c r="AC2452" t="s">
        <v>119</v>
      </c>
      <c r="AD2452" t="s">
        <v>113</v>
      </c>
      <c r="AE2452" t="s">
        <v>120</v>
      </c>
      <c r="AG2452" t="s">
        <v>121</v>
      </c>
    </row>
    <row r="2453" spans="1:33" x14ac:dyDescent="0.25">
      <c r="A2453" t="str">
        <f>"1306829825"</f>
        <v>1306829825</v>
      </c>
      <c r="B2453" t="str">
        <f>"01760392"</f>
        <v>01760392</v>
      </c>
      <c r="C2453" t="s">
        <v>14014</v>
      </c>
      <c r="D2453" t="s">
        <v>14015</v>
      </c>
      <c r="E2453" t="s">
        <v>14016</v>
      </c>
      <c r="G2453" t="s">
        <v>14017</v>
      </c>
      <c r="H2453" t="s">
        <v>213</v>
      </c>
      <c r="J2453" t="s">
        <v>14018</v>
      </c>
      <c r="L2453" t="s">
        <v>142</v>
      </c>
      <c r="M2453" t="s">
        <v>113</v>
      </c>
      <c r="R2453" t="s">
        <v>14019</v>
      </c>
      <c r="W2453" t="s">
        <v>14016</v>
      </c>
      <c r="X2453" t="s">
        <v>216</v>
      </c>
      <c r="Y2453" t="s">
        <v>116</v>
      </c>
      <c r="Z2453" t="s">
        <v>117</v>
      </c>
      <c r="AA2453" t="str">
        <f>"14222-2006"</f>
        <v>14222-2006</v>
      </c>
      <c r="AB2453" t="s">
        <v>118</v>
      </c>
      <c r="AC2453" t="s">
        <v>119</v>
      </c>
      <c r="AD2453" t="s">
        <v>113</v>
      </c>
      <c r="AE2453" t="s">
        <v>120</v>
      </c>
      <c r="AG2453" t="s">
        <v>121</v>
      </c>
    </row>
    <row r="2454" spans="1:33" x14ac:dyDescent="0.25">
      <c r="A2454" t="str">
        <f>"1306836853"</f>
        <v>1306836853</v>
      </c>
      <c r="B2454" t="str">
        <f>"02825978"</f>
        <v>02825978</v>
      </c>
      <c r="C2454" t="s">
        <v>14020</v>
      </c>
      <c r="D2454" t="s">
        <v>14021</v>
      </c>
      <c r="E2454" t="s">
        <v>14022</v>
      </c>
      <c r="G2454" t="s">
        <v>14020</v>
      </c>
      <c r="H2454" t="s">
        <v>14023</v>
      </c>
      <c r="J2454" t="s">
        <v>14024</v>
      </c>
      <c r="L2454" t="s">
        <v>229</v>
      </c>
      <c r="M2454" t="s">
        <v>113</v>
      </c>
      <c r="R2454" t="s">
        <v>14025</v>
      </c>
      <c r="W2454" t="s">
        <v>14022</v>
      </c>
      <c r="AB2454" t="s">
        <v>118</v>
      </c>
      <c r="AC2454" t="s">
        <v>119</v>
      </c>
      <c r="AD2454" t="s">
        <v>113</v>
      </c>
      <c r="AE2454" t="s">
        <v>120</v>
      </c>
      <c r="AG2454" t="s">
        <v>121</v>
      </c>
    </row>
    <row r="2455" spans="1:33" x14ac:dyDescent="0.25">
      <c r="A2455" t="str">
        <f>"1306837935"</f>
        <v>1306837935</v>
      </c>
      <c r="B2455" t="str">
        <f>"00643747"</f>
        <v>00643747</v>
      </c>
      <c r="C2455" t="s">
        <v>14026</v>
      </c>
      <c r="D2455" t="s">
        <v>14027</v>
      </c>
      <c r="E2455" t="s">
        <v>14028</v>
      </c>
      <c r="G2455" t="s">
        <v>330</v>
      </c>
      <c r="H2455" t="s">
        <v>768</v>
      </c>
      <c r="J2455" t="s">
        <v>332</v>
      </c>
      <c r="L2455" t="s">
        <v>150</v>
      </c>
      <c r="M2455" t="s">
        <v>113</v>
      </c>
      <c r="R2455" t="s">
        <v>14029</v>
      </c>
      <c r="W2455" t="s">
        <v>14030</v>
      </c>
      <c r="X2455" t="s">
        <v>772</v>
      </c>
      <c r="Y2455" t="s">
        <v>240</v>
      </c>
      <c r="Z2455" t="s">
        <v>117</v>
      </c>
      <c r="AA2455" t="str">
        <f>"14221-4641"</f>
        <v>14221-4641</v>
      </c>
      <c r="AB2455" t="s">
        <v>118</v>
      </c>
      <c r="AC2455" t="s">
        <v>119</v>
      </c>
      <c r="AD2455" t="s">
        <v>113</v>
      </c>
      <c r="AE2455" t="s">
        <v>120</v>
      </c>
      <c r="AG2455" t="s">
        <v>121</v>
      </c>
    </row>
    <row r="2456" spans="1:33" x14ac:dyDescent="0.25">
      <c r="A2456" t="str">
        <f>"1306844550"</f>
        <v>1306844550</v>
      </c>
      <c r="B2456" t="str">
        <f>"00766289"</f>
        <v>00766289</v>
      </c>
      <c r="C2456" t="s">
        <v>14031</v>
      </c>
      <c r="D2456" t="s">
        <v>14032</v>
      </c>
      <c r="E2456" t="s">
        <v>14033</v>
      </c>
      <c r="G2456" t="s">
        <v>14031</v>
      </c>
      <c r="H2456" t="s">
        <v>14034</v>
      </c>
      <c r="J2456" t="s">
        <v>14035</v>
      </c>
      <c r="L2456" t="s">
        <v>142</v>
      </c>
      <c r="M2456" t="s">
        <v>113</v>
      </c>
      <c r="R2456" t="s">
        <v>14036</v>
      </c>
      <c r="W2456" t="s">
        <v>14033</v>
      </c>
      <c r="X2456" t="s">
        <v>14037</v>
      </c>
      <c r="Y2456" t="s">
        <v>240</v>
      </c>
      <c r="Z2456" t="s">
        <v>117</v>
      </c>
      <c r="AA2456" t="str">
        <f>"14221-5339"</f>
        <v>14221-5339</v>
      </c>
      <c r="AB2456" t="s">
        <v>118</v>
      </c>
      <c r="AC2456" t="s">
        <v>119</v>
      </c>
      <c r="AD2456" t="s">
        <v>113</v>
      </c>
      <c r="AE2456" t="s">
        <v>120</v>
      </c>
      <c r="AG2456" t="s">
        <v>121</v>
      </c>
    </row>
    <row r="2457" spans="1:33" x14ac:dyDescent="0.25">
      <c r="A2457" t="str">
        <f>"1306849138"</f>
        <v>1306849138</v>
      </c>
      <c r="B2457" t="str">
        <f>"01386621"</f>
        <v>01386621</v>
      </c>
      <c r="C2457" t="s">
        <v>14038</v>
      </c>
      <c r="D2457" t="s">
        <v>14039</v>
      </c>
      <c r="E2457" t="s">
        <v>14040</v>
      </c>
      <c r="G2457" t="s">
        <v>14038</v>
      </c>
      <c r="H2457" t="s">
        <v>3780</v>
      </c>
      <c r="J2457" t="s">
        <v>14041</v>
      </c>
      <c r="L2457" t="s">
        <v>1033</v>
      </c>
      <c r="M2457" t="s">
        <v>113</v>
      </c>
      <c r="R2457" t="s">
        <v>14042</v>
      </c>
      <c r="W2457" t="s">
        <v>14043</v>
      </c>
      <c r="X2457" t="s">
        <v>3784</v>
      </c>
      <c r="Y2457" t="s">
        <v>958</v>
      </c>
      <c r="Z2457" t="s">
        <v>117</v>
      </c>
      <c r="AA2457" t="str">
        <f>"14228-3604"</f>
        <v>14228-3604</v>
      </c>
      <c r="AB2457" t="s">
        <v>118</v>
      </c>
      <c r="AC2457" t="s">
        <v>119</v>
      </c>
      <c r="AD2457" t="s">
        <v>113</v>
      </c>
      <c r="AE2457" t="s">
        <v>120</v>
      </c>
      <c r="AG2457" t="s">
        <v>121</v>
      </c>
    </row>
    <row r="2458" spans="1:33" x14ac:dyDescent="0.25">
      <c r="A2458" t="str">
        <f>"1306858188"</f>
        <v>1306858188</v>
      </c>
      <c r="B2458" t="str">
        <f>"03124816"</f>
        <v>03124816</v>
      </c>
      <c r="C2458" t="s">
        <v>14044</v>
      </c>
      <c r="D2458" t="s">
        <v>14045</v>
      </c>
      <c r="E2458" t="s">
        <v>14046</v>
      </c>
      <c r="G2458" t="s">
        <v>2200</v>
      </c>
      <c r="H2458" t="s">
        <v>523</v>
      </c>
      <c r="J2458" t="s">
        <v>2202</v>
      </c>
      <c r="L2458" t="s">
        <v>142</v>
      </c>
      <c r="M2458" t="s">
        <v>113</v>
      </c>
      <c r="R2458" t="s">
        <v>14047</v>
      </c>
      <c r="W2458" t="s">
        <v>14048</v>
      </c>
      <c r="X2458" t="s">
        <v>526</v>
      </c>
      <c r="Y2458" t="s">
        <v>527</v>
      </c>
      <c r="Z2458" t="s">
        <v>117</v>
      </c>
      <c r="AA2458" t="str">
        <f>"14103-1191"</f>
        <v>14103-1191</v>
      </c>
      <c r="AB2458" t="s">
        <v>118</v>
      </c>
      <c r="AC2458" t="s">
        <v>119</v>
      </c>
      <c r="AD2458" t="s">
        <v>113</v>
      </c>
      <c r="AE2458" t="s">
        <v>120</v>
      </c>
      <c r="AG2458" t="s">
        <v>121</v>
      </c>
    </row>
    <row r="2459" spans="1:33" x14ac:dyDescent="0.25">
      <c r="A2459" t="str">
        <f>"1306864855"</f>
        <v>1306864855</v>
      </c>
      <c r="B2459" t="str">
        <f>"00620957"</f>
        <v>00620957</v>
      </c>
      <c r="C2459" t="s">
        <v>14049</v>
      </c>
      <c r="D2459" t="s">
        <v>14050</v>
      </c>
      <c r="E2459" t="s">
        <v>14051</v>
      </c>
      <c r="G2459" t="s">
        <v>14049</v>
      </c>
      <c r="H2459" t="s">
        <v>532</v>
      </c>
      <c r="J2459" t="s">
        <v>14052</v>
      </c>
      <c r="L2459" t="s">
        <v>112</v>
      </c>
      <c r="M2459" t="s">
        <v>113</v>
      </c>
      <c r="R2459" t="s">
        <v>14053</v>
      </c>
      <c r="W2459" t="s">
        <v>14054</v>
      </c>
      <c r="X2459" t="s">
        <v>253</v>
      </c>
      <c r="Y2459" t="s">
        <v>116</v>
      </c>
      <c r="Z2459" t="s">
        <v>117</v>
      </c>
      <c r="AA2459" t="str">
        <f>"14215-3021"</f>
        <v>14215-3021</v>
      </c>
      <c r="AB2459" t="s">
        <v>118</v>
      </c>
      <c r="AC2459" t="s">
        <v>119</v>
      </c>
      <c r="AD2459" t="s">
        <v>113</v>
      </c>
      <c r="AE2459" t="s">
        <v>120</v>
      </c>
      <c r="AG2459" t="s">
        <v>121</v>
      </c>
    </row>
    <row r="2460" spans="1:33" x14ac:dyDescent="0.25">
      <c r="A2460" t="str">
        <f>"1306869417"</f>
        <v>1306869417</v>
      </c>
      <c r="B2460" t="str">
        <f>"02777448"</f>
        <v>02777448</v>
      </c>
      <c r="C2460" t="s">
        <v>14055</v>
      </c>
      <c r="D2460" t="s">
        <v>14056</v>
      </c>
      <c r="E2460" t="s">
        <v>14057</v>
      </c>
      <c r="G2460" t="s">
        <v>14055</v>
      </c>
      <c r="H2460" t="s">
        <v>14058</v>
      </c>
      <c r="J2460" t="s">
        <v>14059</v>
      </c>
      <c r="L2460" t="s">
        <v>142</v>
      </c>
      <c r="M2460" t="s">
        <v>113</v>
      </c>
      <c r="R2460" t="s">
        <v>14060</v>
      </c>
      <c r="W2460" t="s">
        <v>14060</v>
      </c>
      <c r="X2460" t="s">
        <v>3566</v>
      </c>
      <c r="Y2460" t="s">
        <v>377</v>
      </c>
      <c r="Z2460" t="s">
        <v>117</v>
      </c>
      <c r="AA2460" t="str">
        <f>"14217-1304"</f>
        <v>14217-1304</v>
      </c>
      <c r="AB2460" t="s">
        <v>118</v>
      </c>
      <c r="AC2460" t="s">
        <v>119</v>
      </c>
      <c r="AD2460" t="s">
        <v>113</v>
      </c>
      <c r="AE2460" t="s">
        <v>120</v>
      </c>
      <c r="AG2460" t="s">
        <v>121</v>
      </c>
    </row>
    <row r="2461" spans="1:33" x14ac:dyDescent="0.25">
      <c r="A2461" t="str">
        <f>"1306875786"</f>
        <v>1306875786</v>
      </c>
      <c r="C2461" t="s">
        <v>14061</v>
      </c>
      <c r="G2461" t="s">
        <v>14062</v>
      </c>
      <c r="H2461" t="s">
        <v>7245</v>
      </c>
      <c r="J2461" t="s">
        <v>14063</v>
      </c>
      <c r="K2461" t="s">
        <v>303</v>
      </c>
      <c r="L2461" t="s">
        <v>229</v>
      </c>
      <c r="M2461" t="s">
        <v>113</v>
      </c>
      <c r="R2461" t="s">
        <v>14064</v>
      </c>
      <c r="S2461" t="s">
        <v>554</v>
      </c>
      <c r="T2461" t="s">
        <v>116</v>
      </c>
      <c r="U2461" t="s">
        <v>117</v>
      </c>
      <c r="V2461" t="str">
        <f>"142091635"</f>
        <v>142091635</v>
      </c>
      <c r="AC2461" t="s">
        <v>119</v>
      </c>
      <c r="AD2461" t="s">
        <v>113</v>
      </c>
      <c r="AE2461" t="s">
        <v>306</v>
      </c>
      <c r="AG2461" t="s">
        <v>121</v>
      </c>
    </row>
    <row r="2462" spans="1:33" x14ac:dyDescent="0.25">
      <c r="A2462" t="str">
        <f>"1306889357"</f>
        <v>1306889357</v>
      </c>
      <c r="B2462" t="str">
        <f>"01365264"</f>
        <v>01365264</v>
      </c>
      <c r="C2462" t="s">
        <v>14065</v>
      </c>
      <c r="D2462" t="s">
        <v>14066</v>
      </c>
      <c r="E2462" t="s">
        <v>14067</v>
      </c>
      <c r="G2462" t="s">
        <v>14065</v>
      </c>
      <c r="H2462" t="s">
        <v>14068</v>
      </c>
      <c r="J2462" t="s">
        <v>14069</v>
      </c>
      <c r="L2462" t="s">
        <v>142</v>
      </c>
      <c r="M2462" t="s">
        <v>113</v>
      </c>
      <c r="R2462" t="s">
        <v>14070</v>
      </c>
      <c r="W2462" t="s">
        <v>14071</v>
      </c>
      <c r="X2462" t="s">
        <v>14072</v>
      </c>
      <c r="Y2462" t="s">
        <v>9511</v>
      </c>
      <c r="Z2462" t="s">
        <v>117</v>
      </c>
      <c r="AA2462" t="str">
        <f>"14420-1229"</f>
        <v>14420-1229</v>
      </c>
      <c r="AB2462" t="s">
        <v>118</v>
      </c>
      <c r="AC2462" t="s">
        <v>119</v>
      </c>
      <c r="AD2462" t="s">
        <v>113</v>
      </c>
      <c r="AE2462" t="s">
        <v>120</v>
      </c>
      <c r="AG2462" t="s">
        <v>121</v>
      </c>
    </row>
    <row r="2463" spans="1:33" x14ac:dyDescent="0.25">
      <c r="A2463" t="str">
        <f>"1306892344"</f>
        <v>1306892344</v>
      </c>
      <c r="B2463" t="str">
        <f>"02734430"</f>
        <v>02734430</v>
      </c>
      <c r="C2463" t="s">
        <v>14073</v>
      </c>
      <c r="D2463" t="s">
        <v>14074</v>
      </c>
      <c r="E2463" t="s">
        <v>14075</v>
      </c>
      <c r="L2463" t="s">
        <v>150</v>
      </c>
      <c r="M2463" t="s">
        <v>113</v>
      </c>
      <c r="R2463" t="s">
        <v>14076</v>
      </c>
      <c r="W2463" t="s">
        <v>14075</v>
      </c>
      <c r="X2463" t="s">
        <v>216</v>
      </c>
      <c r="Y2463" t="s">
        <v>116</v>
      </c>
      <c r="Z2463" t="s">
        <v>117</v>
      </c>
      <c r="AA2463" t="str">
        <f>"14222-2006"</f>
        <v>14222-2006</v>
      </c>
      <c r="AB2463" t="s">
        <v>118</v>
      </c>
      <c r="AC2463" t="s">
        <v>119</v>
      </c>
      <c r="AD2463" t="s">
        <v>113</v>
      </c>
      <c r="AE2463" t="s">
        <v>120</v>
      </c>
      <c r="AG2463" t="s">
        <v>121</v>
      </c>
    </row>
    <row r="2464" spans="1:33" x14ac:dyDescent="0.25">
      <c r="A2464" t="str">
        <f>"1730146978"</f>
        <v>1730146978</v>
      </c>
      <c r="B2464" t="str">
        <f>"00481250"</f>
        <v>00481250</v>
      </c>
      <c r="C2464" t="s">
        <v>14077</v>
      </c>
      <c r="D2464" t="s">
        <v>14078</v>
      </c>
      <c r="E2464" t="s">
        <v>14079</v>
      </c>
      <c r="G2464" t="s">
        <v>14077</v>
      </c>
      <c r="H2464" t="s">
        <v>205</v>
      </c>
      <c r="J2464" t="s">
        <v>14080</v>
      </c>
      <c r="L2464" t="s">
        <v>150</v>
      </c>
      <c r="M2464" t="s">
        <v>113</v>
      </c>
      <c r="R2464" t="s">
        <v>14081</v>
      </c>
      <c r="W2464" t="s">
        <v>14079</v>
      </c>
      <c r="X2464" t="s">
        <v>5403</v>
      </c>
      <c r="Y2464" t="s">
        <v>116</v>
      </c>
      <c r="Z2464" t="s">
        <v>117</v>
      </c>
      <c r="AA2464" t="str">
        <f>"14203-1149"</f>
        <v>14203-1149</v>
      </c>
      <c r="AB2464" t="s">
        <v>118</v>
      </c>
      <c r="AC2464" t="s">
        <v>119</v>
      </c>
      <c r="AD2464" t="s">
        <v>113</v>
      </c>
      <c r="AE2464" t="s">
        <v>120</v>
      </c>
      <c r="AG2464" t="s">
        <v>121</v>
      </c>
    </row>
    <row r="2465" spans="1:33" x14ac:dyDescent="0.25">
      <c r="A2465" t="str">
        <f>"1730153909"</f>
        <v>1730153909</v>
      </c>
      <c r="B2465" t="str">
        <f>"00830460"</f>
        <v>00830460</v>
      </c>
      <c r="C2465" t="s">
        <v>14082</v>
      </c>
      <c r="D2465" t="s">
        <v>14083</v>
      </c>
      <c r="E2465" t="s">
        <v>14084</v>
      </c>
      <c r="G2465" t="s">
        <v>14082</v>
      </c>
      <c r="H2465" t="s">
        <v>4625</v>
      </c>
      <c r="J2465" t="s">
        <v>14085</v>
      </c>
      <c r="L2465" t="s">
        <v>142</v>
      </c>
      <c r="M2465" t="s">
        <v>199</v>
      </c>
      <c r="R2465" t="s">
        <v>14086</v>
      </c>
      <c r="W2465" t="s">
        <v>14084</v>
      </c>
      <c r="Y2465" t="s">
        <v>116</v>
      </c>
      <c r="Z2465" t="s">
        <v>117</v>
      </c>
      <c r="AA2465" t="str">
        <f>"14222-2099"</f>
        <v>14222-2099</v>
      </c>
      <c r="AB2465" t="s">
        <v>118</v>
      </c>
      <c r="AC2465" t="s">
        <v>119</v>
      </c>
      <c r="AD2465" t="s">
        <v>113</v>
      </c>
      <c r="AE2465" t="s">
        <v>120</v>
      </c>
      <c r="AG2465" t="s">
        <v>121</v>
      </c>
    </row>
    <row r="2466" spans="1:33" x14ac:dyDescent="0.25">
      <c r="A2466" t="str">
        <f>"1730158924"</f>
        <v>1730158924</v>
      </c>
      <c r="B2466" t="str">
        <f>"02097863"</f>
        <v>02097863</v>
      </c>
      <c r="C2466" t="s">
        <v>14087</v>
      </c>
      <c r="D2466" t="s">
        <v>14088</v>
      </c>
      <c r="E2466" t="s">
        <v>14089</v>
      </c>
      <c r="G2466" t="s">
        <v>14087</v>
      </c>
      <c r="H2466" t="s">
        <v>579</v>
      </c>
      <c r="J2466" t="s">
        <v>14090</v>
      </c>
      <c r="L2466" t="s">
        <v>142</v>
      </c>
      <c r="M2466" t="s">
        <v>113</v>
      </c>
      <c r="R2466" t="s">
        <v>14091</v>
      </c>
      <c r="W2466" t="s">
        <v>14092</v>
      </c>
      <c r="X2466" t="s">
        <v>14093</v>
      </c>
      <c r="Y2466" t="s">
        <v>232</v>
      </c>
      <c r="Z2466" t="s">
        <v>117</v>
      </c>
      <c r="AA2466" t="str">
        <f>"10065-4870"</f>
        <v>10065-4870</v>
      </c>
      <c r="AB2466" t="s">
        <v>118</v>
      </c>
      <c r="AC2466" t="s">
        <v>119</v>
      </c>
      <c r="AD2466" t="s">
        <v>113</v>
      </c>
      <c r="AE2466" t="s">
        <v>120</v>
      </c>
      <c r="AG2466" t="s">
        <v>121</v>
      </c>
    </row>
    <row r="2467" spans="1:33" x14ac:dyDescent="0.25">
      <c r="A2467" t="str">
        <f>"1710393202"</f>
        <v>1710393202</v>
      </c>
      <c r="B2467" t="str">
        <f>"03960670"</f>
        <v>03960670</v>
      </c>
      <c r="C2467" t="s">
        <v>14094</v>
      </c>
      <c r="D2467" t="s">
        <v>14095</v>
      </c>
      <c r="E2467" t="s">
        <v>14096</v>
      </c>
      <c r="G2467" t="s">
        <v>14094</v>
      </c>
      <c r="H2467" t="s">
        <v>272</v>
      </c>
      <c r="J2467" t="s">
        <v>14097</v>
      </c>
      <c r="L2467" t="s">
        <v>142</v>
      </c>
      <c r="M2467" t="s">
        <v>113</v>
      </c>
      <c r="R2467" t="s">
        <v>14098</v>
      </c>
      <c r="W2467" t="s">
        <v>14096</v>
      </c>
      <c r="X2467" t="s">
        <v>1986</v>
      </c>
      <c r="Y2467" t="s">
        <v>116</v>
      </c>
      <c r="Z2467" t="s">
        <v>117</v>
      </c>
      <c r="AA2467" t="str">
        <f>"14207-1816"</f>
        <v>14207-1816</v>
      </c>
      <c r="AB2467" t="s">
        <v>118</v>
      </c>
      <c r="AC2467" t="s">
        <v>119</v>
      </c>
      <c r="AD2467" t="s">
        <v>113</v>
      </c>
      <c r="AE2467" t="s">
        <v>120</v>
      </c>
      <c r="AG2467" t="s">
        <v>121</v>
      </c>
    </row>
    <row r="2468" spans="1:33" x14ac:dyDescent="0.25">
      <c r="A2468" t="str">
        <f>"1710398870"</f>
        <v>1710398870</v>
      </c>
      <c r="C2468" t="s">
        <v>14099</v>
      </c>
      <c r="G2468" t="s">
        <v>14100</v>
      </c>
      <c r="H2468" t="s">
        <v>351</v>
      </c>
      <c r="J2468" t="s">
        <v>352</v>
      </c>
      <c r="K2468" t="s">
        <v>303</v>
      </c>
      <c r="L2468" t="s">
        <v>229</v>
      </c>
      <c r="M2468" t="s">
        <v>113</v>
      </c>
      <c r="R2468" t="s">
        <v>14101</v>
      </c>
      <c r="S2468" t="s">
        <v>354</v>
      </c>
      <c r="T2468" t="s">
        <v>116</v>
      </c>
      <c r="U2468" t="s">
        <v>117</v>
      </c>
      <c r="V2468" t="str">
        <f>"142152814"</f>
        <v>142152814</v>
      </c>
      <c r="AC2468" t="s">
        <v>119</v>
      </c>
      <c r="AD2468" t="s">
        <v>113</v>
      </c>
      <c r="AE2468" t="s">
        <v>306</v>
      </c>
      <c r="AG2468" t="s">
        <v>121</v>
      </c>
    </row>
    <row r="2469" spans="1:33" x14ac:dyDescent="0.25">
      <c r="A2469" t="str">
        <f>"1710904768"</f>
        <v>1710904768</v>
      </c>
      <c r="B2469" t="str">
        <f>"03073365"</f>
        <v>03073365</v>
      </c>
      <c r="C2469" t="s">
        <v>14102</v>
      </c>
      <c r="D2469" t="s">
        <v>14103</v>
      </c>
      <c r="E2469" t="s">
        <v>14104</v>
      </c>
      <c r="G2469" t="s">
        <v>14105</v>
      </c>
      <c r="H2469" t="s">
        <v>1272</v>
      </c>
      <c r="J2469" t="s">
        <v>14106</v>
      </c>
      <c r="L2469" t="s">
        <v>142</v>
      </c>
      <c r="M2469" t="s">
        <v>113</v>
      </c>
      <c r="R2469" t="s">
        <v>14107</v>
      </c>
      <c r="W2469" t="s">
        <v>14108</v>
      </c>
      <c r="X2469" t="s">
        <v>7730</v>
      </c>
      <c r="Y2469" t="s">
        <v>958</v>
      </c>
      <c r="Z2469" t="s">
        <v>117</v>
      </c>
      <c r="AA2469" t="str">
        <f>"14226-2500"</f>
        <v>14226-2500</v>
      </c>
      <c r="AB2469" t="s">
        <v>118</v>
      </c>
      <c r="AC2469" t="s">
        <v>119</v>
      </c>
      <c r="AD2469" t="s">
        <v>113</v>
      </c>
      <c r="AE2469" t="s">
        <v>120</v>
      </c>
      <c r="AG2469" t="s">
        <v>121</v>
      </c>
    </row>
    <row r="2470" spans="1:33" x14ac:dyDescent="0.25">
      <c r="A2470" t="str">
        <f>"1710911268"</f>
        <v>1710911268</v>
      </c>
      <c r="B2470" t="str">
        <f>"00626953"</f>
        <v>00626953</v>
      </c>
      <c r="C2470" t="s">
        <v>14109</v>
      </c>
      <c r="D2470" t="s">
        <v>14110</v>
      </c>
      <c r="E2470" t="s">
        <v>14111</v>
      </c>
      <c r="H2470" t="s">
        <v>1350</v>
      </c>
      <c r="L2470" t="s">
        <v>142</v>
      </c>
      <c r="M2470" t="s">
        <v>113</v>
      </c>
      <c r="R2470" t="s">
        <v>14112</v>
      </c>
      <c r="W2470" t="s">
        <v>14113</v>
      </c>
      <c r="X2470" t="s">
        <v>14114</v>
      </c>
      <c r="Y2470" t="s">
        <v>663</v>
      </c>
      <c r="Z2470" t="s">
        <v>117</v>
      </c>
      <c r="AA2470" t="str">
        <f>"14094-3134"</f>
        <v>14094-3134</v>
      </c>
      <c r="AB2470" t="s">
        <v>118</v>
      </c>
      <c r="AC2470" t="s">
        <v>119</v>
      </c>
      <c r="AD2470" t="s">
        <v>113</v>
      </c>
      <c r="AE2470" t="s">
        <v>120</v>
      </c>
      <c r="AG2470" t="s">
        <v>121</v>
      </c>
    </row>
    <row r="2471" spans="1:33" x14ac:dyDescent="0.25">
      <c r="A2471" t="str">
        <f>"1710914742"</f>
        <v>1710914742</v>
      </c>
      <c r="B2471" t="str">
        <f>"01507377"</f>
        <v>01507377</v>
      </c>
      <c r="C2471" t="s">
        <v>14115</v>
      </c>
      <c r="D2471" t="s">
        <v>14116</v>
      </c>
      <c r="E2471" t="s">
        <v>14117</v>
      </c>
      <c r="G2471" t="s">
        <v>14115</v>
      </c>
      <c r="H2471" t="s">
        <v>937</v>
      </c>
      <c r="J2471" t="s">
        <v>14118</v>
      </c>
      <c r="L2471" t="s">
        <v>142</v>
      </c>
      <c r="M2471" t="s">
        <v>113</v>
      </c>
      <c r="R2471" t="s">
        <v>14119</v>
      </c>
      <c r="W2471" t="s">
        <v>14117</v>
      </c>
      <c r="X2471" t="s">
        <v>14120</v>
      </c>
      <c r="Y2471" t="s">
        <v>326</v>
      </c>
      <c r="Z2471" t="s">
        <v>117</v>
      </c>
      <c r="AA2471" t="str">
        <f>"14127-3216"</f>
        <v>14127-3216</v>
      </c>
      <c r="AB2471" t="s">
        <v>118</v>
      </c>
      <c r="AC2471" t="s">
        <v>119</v>
      </c>
      <c r="AD2471" t="s">
        <v>113</v>
      </c>
      <c r="AE2471" t="s">
        <v>120</v>
      </c>
      <c r="AG2471" t="s">
        <v>121</v>
      </c>
    </row>
    <row r="2472" spans="1:33" x14ac:dyDescent="0.25">
      <c r="A2472" t="str">
        <f>"1710933619"</f>
        <v>1710933619</v>
      </c>
      <c r="B2472" t="str">
        <f>"00632935"</f>
        <v>00632935</v>
      </c>
      <c r="C2472" t="s">
        <v>14121</v>
      </c>
      <c r="D2472" t="s">
        <v>14122</v>
      </c>
      <c r="E2472" t="s">
        <v>14123</v>
      </c>
      <c r="G2472" t="s">
        <v>2297</v>
      </c>
      <c r="H2472" t="s">
        <v>14124</v>
      </c>
      <c r="J2472" t="s">
        <v>2299</v>
      </c>
      <c r="L2472" t="s">
        <v>150</v>
      </c>
      <c r="M2472" t="s">
        <v>113</v>
      </c>
      <c r="R2472" t="s">
        <v>14125</v>
      </c>
      <c r="W2472" t="s">
        <v>14123</v>
      </c>
      <c r="X2472" t="s">
        <v>14126</v>
      </c>
      <c r="Y2472" t="s">
        <v>362</v>
      </c>
      <c r="Z2472" t="s">
        <v>117</v>
      </c>
      <c r="AA2472" t="str">
        <f>"14108-9743"</f>
        <v>14108-9743</v>
      </c>
      <c r="AB2472" t="s">
        <v>118</v>
      </c>
      <c r="AC2472" t="s">
        <v>119</v>
      </c>
      <c r="AD2472" t="s">
        <v>113</v>
      </c>
      <c r="AE2472" t="s">
        <v>120</v>
      </c>
      <c r="AG2472" t="s">
        <v>121</v>
      </c>
    </row>
    <row r="2473" spans="1:33" x14ac:dyDescent="0.25">
      <c r="A2473" t="str">
        <f>"1710936463"</f>
        <v>1710936463</v>
      </c>
      <c r="B2473" t="str">
        <f>"00648251"</f>
        <v>00648251</v>
      </c>
      <c r="C2473" t="s">
        <v>14127</v>
      </c>
      <c r="D2473" t="s">
        <v>14128</v>
      </c>
      <c r="E2473" t="s">
        <v>14129</v>
      </c>
      <c r="G2473" t="s">
        <v>14127</v>
      </c>
      <c r="H2473" t="s">
        <v>205</v>
      </c>
      <c r="J2473" t="s">
        <v>14130</v>
      </c>
      <c r="L2473" t="s">
        <v>142</v>
      </c>
      <c r="M2473" t="s">
        <v>113</v>
      </c>
      <c r="R2473" t="s">
        <v>14131</v>
      </c>
      <c r="W2473" t="s">
        <v>14129</v>
      </c>
      <c r="X2473" t="s">
        <v>2607</v>
      </c>
      <c r="Y2473" t="s">
        <v>116</v>
      </c>
      <c r="Z2473" t="s">
        <v>117</v>
      </c>
      <c r="AA2473" t="str">
        <f>"14203-1149"</f>
        <v>14203-1149</v>
      </c>
      <c r="AB2473" t="s">
        <v>118</v>
      </c>
      <c r="AC2473" t="s">
        <v>119</v>
      </c>
      <c r="AD2473" t="s">
        <v>113</v>
      </c>
      <c r="AE2473" t="s">
        <v>120</v>
      </c>
      <c r="AG2473" t="s">
        <v>121</v>
      </c>
    </row>
    <row r="2474" spans="1:33" x14ac:dyDescent="0.25">
      <c r="A2474" t="str">
        <f>"1710941521"</f>
        <v>1710941521</v>
      </c>
      <c r="B2474" t="str">
        <f>"00995473"</f>
        <v>00995473</v>
      </c>
      <c r="C2474" t="s">
        <v>14132</v>
      </c>
      <c r="D2474" t="s">
        <v>14133</v>
      </c>
      <c r="E2474" t="s">
        <v>14134</v>
      </c>
      <c r="G2474" t="s">
        <v>14132</v>
      </c>
      <c r="H2474" t="s">
        <v>13485</v>
      </c>
      <c r="J2474" t="s">
        <v>14135</v>
      </c>
      <c r="L2474" t="s">
        <v>150</v>
      </c>
      <c r="M2474" t="s">
        <v>113</v>
      </c>
      <c r="R2474" t="s">
        <v>14136</v>
      </c>
      <c r="W2474" t="s">
        <v>14137</v>
      </c>
      <c r="Y2474" t="s">
        <v>116</v>
      </c>
      <c r="Z2474" t="s">
        <v>117</v>
      </c>
      <c r="AA2474" t="str">
        <f>"14222-2099"</f>
        <v>14222-2099</v>
      </c>
      <c r="AB2474" t="s">
        <v>118</v>
      </c>
      <c r="AC2474" t="s">
        <v>119</v>
      </c>
      <c r="AD2474" t="s">
        <v>113</v>
      </c>
      <c r="AE2474" t="s">
        <v>120</v>
      </c>
      <c r="AG2474" t="s">
        <v>121</v>
      </c>
    </row>
    <row r="2475" spans="1:33" x14ac:dyDescent="0.25">
      <c r="A2475" t="str">
        <f>"1710941661"</f>
        <v>1710941661</v>
      </c>
      <c r="B2475" t="str">
        <f>"00658044"</f>
        <v>00658044</v>
      </c>
      <c r="C2475" t="s">
        <v>14138</v>
      </c>
      <c r="D2475" t="s">
        <v>14139</v>
      </c>
      <c r="E2475" t="s">
        <v>14140</v>
      </c>
      <c r="G2475" t="s">
        <v>14138</v>
      </c>
      <c r="H2475" t="s">
        <v>14141</v>
      </c>
      <c r="J2475" t="s">
        <v>14142</v>
      </c>
      <c r="L2475" t="s">
        <v>150</v>
      </c>
      <c r="M2475" t="s">
        <v>113</v>
      </c>
      <c r="R2475" t="s">
        <v>14143</v>
      </c>
      <c r="W2475" t="s">
        <v>14140</v>
      </c>
      <c r="X2475" t="s">
        <v>14144</v>
      </c>
      <c r="Y2475" t="s">
        <v>377</v>
      </c>
      <c r="Z2475" t="s">
        <v>117</v>
      </c>
      <c r="AA2475" t="str">
        <f>"14217-1356"</f>
        <v>14217-1356</v>
      </c>
      <c r="AB2475" t="s">
        <v>118</v>
      </c>
      <c r="AC2475" t="s">
        <v>119</v>
      </c>
      <c r="AD2475" t="s">
        <v>113</v>
      </c>
      <c r="AE2475" t="s">
        <v>120</v>
      </c>
      <c r="AG2475" t="s">
        <v>121</v>
      </c>
    </row>
    <row r="2476" spans="1:33" x14ac:dyDescent="0.25">
      <c r="A2476" t="str">
        <f>"1710942818"</f>
        <v>1710942818</v>
      </c>
      <c r="B2476" t="str">
        <f>"00887027"</f>
        <v>00887027</v>
      </c>
      <c r="C2476" t="s">
        <v>14145</v>
      </c>
      <c r="D2476" t="s">
        <v>14146</v>
      </c>
      <c r="E2476" t="s">
        <v>14147</v>
      </c>
      <c r="G2476" t="s">
        <v>14145</v>
      </c>
      <c r="H2476" t="s">
        <v>8793</v>
      </c>
      <c r="J2476" t="s">
        <v>14148</v>
      </c>
      <c r="L2476" t="s">
        <v>150</v>
      </c>
      <c r="M2476" t="s">
        <v>113</v>
      </c>
      <c r="R2476" t="s">
        <v>14149</v>
      </c>
      <c r="W2476" t="s">
        <v>14150</v>
      </c>
      <c r="X2476" t="s">
        <v>14151</v>
      </c>
      <c r="Y2476" t="s">
        <v>9183</v>
      </c>
      <c r="Z2476" t="s">
        <v>117</v>
      </c>
      <c r="AA2476" t="str">
        <f>"14086-2143"</f>
        <v>14086-2143</v>
      </c>
      <c r="AB2476" t="s">
        <v>118</v>
      </c>
      <c r="AC2476" t="s">
        <v>119</v>
      </c>
      <c r="AD2476" t="s">
        <v>113</v>
      </c>
      <c r="AE2476" t="s">
        <v>120</v>
      </c>
      <c r="AG2476" t="s">
        <v>121</v>
      </c>
    </row>
    <row r="2477" spans="1:33" x14ac:dyDescent="0.25">
      <c r="A2477" t="str">
        <f>"1710942859"</f>
        <v>1710942859</v>
      </c>
      <c r="B2477" t="str">
        <f>"01661027"</f>
        <v>01661027</v>
      </c>
      <c r="C2477" t="s">
        <v>14152</v>
      </c>
      <c r="D2477" t="s">
        <v>14153</v>
      </c>
      <c r="E2477" t="s">
        <v>14154</v>
      </c>
      <c r="G2477" t="s">
        <v>14152</v>
      </c>
      <c r="H2477" t="s">
        <v>205</v>
      </c>
      <c r="J2477" t="s">
        <v>14155</v>
      </c>
      <c r="L2477" t="s">
        <v>142</v>
      </c>
      <c r="M2477" t="s">
        <v>113</v>
      </c>
      <c r="R2477" t="s">
        <v>14156</v>
      </c>
      <c r="W2477" t="s">
        <v>14154</v>
      </c>
      <c r="X2477" t="s">
        <v>176</v>
      </c>
      <c r="Y2477" t="s">
        <v>116</v>
      </c>
      <c r="Z2477" t="s">
        <v>117</v>
      </c>
      <c r="AA2477" t="str">
        <f>"14203-1126"</f>
        <v>14203-1126</v>
      </c>
      <c r="AB2477" t="s">
        <v>118</v>
      </c>
      <c r="AC2477" t="s">
        <v>119</v>
      </c>
      <c r="AD2477" t="s">
        <v>113</v>
      </c>
      <c r="AE2477" t="s">
        <v>120</v>
      </c>
      <c r="AG2477" t="s">
        <v>121</v>
      </c>
    </row>
    <row r="2478" spans="1:33" x14ac:dyDescent="0.25">
      <c r="A2478" t="str">
        <f>"1356535454"</f>
        <v>1356535454</v>
      </c>
      <c r="C2478" t="s">
        <v>14157</v>
      </c>
      <c r="G2478" t="s">
        <v>14158</v>
      </c>
      <c r="H2478" t="s">
        <v>590</v>
      </c>
      <c r="J2478" t="s">
        <v>14159</v>
      </c>
      <c r="K2478" t="s">
        <v>303</v>
      </c>
      <c r="L2478" t="s">
        <v>229</v>
      </c>
      <c r="M2478" t="s">
        <v>113</v>
      </c>
      <c r="R2478" t="s">
        <v>14160</v>
      </c>
      <c r="S2478" t="s">
        <v>8567</v>
      </c>
      <c r="T2478" t="s">
        <v>116</v>
      </c>
      <c r="U2478" t="s">
        <v>117</v>
      </c>
      <c r="V2478" t="str">
        <f>"142091912"</f>
        <v>142091912</v>
      </c>
      <c r="AC2478" t="s">
        <v>119</v>
      </c>
      <c r="AD2478" t="s">
        <v>113</v>
      </c>
      <c r="AE2478" t="s">
        <v>306</v>
      </c>
      <c r="AG2478" t="s">
        <v>121</v>
      </c>
    </row>
    <row r="2479" spans="1:33" x14ac:dyDescent="0.25">
      <c r="A2479" t="str">
        <f>"1356539415"</f>
        <v>1356539415</v>
      </c>
      <c r="B2479" t="str">
        <f>"03156163"</f>
        <v>03156163</v>
      </c>
      <c r="C2479" t="s">
        <v>14161</v>
      </c>
      <c r="D2479" t="s">
        <v>14162</v>
      </c>
      <c r="E2479" t="s">
        <v>14163</v>
      </c>
      <c r="G2479" t="s">
        <v>14164</v>
      </c>
      <c r="H2479" t="s">
        <v>14165</v>
      </c>
      <c r="J2479" t="s">
        <v>14166</v>
      </c>
      <c r="L2479" t="s">
        <v>142</v>
      </c>
      <c r="M2479" t="s">
        <v>113</v>
      </c>
      <c r="R2479" t="s">
        <v>14167</v>
      </c>
      <c r="W2479" t="s">
        <v>14163</v>
      </c>
      <c r="X2479" t="s">
        <v>14168</v>
      </c>
      <c r="Y2479" t="s">
        <v>663</v>
      </c>
      <c r="Z2479" t="s">
        <v>117</v>
      </c>
      <c r="AA2479" t="str">
        <f>"14094-5226"</f>
        <v>14094-5226</v>
      </c>
      <c r="AB2479" t="s">
        <v>118</v>
      </c>
      <c r="AC2479" t="s">
        <v>119</v>
      </c>
      <c r="AD2479" t="s">
        <v>113</v>
      </c>
      <c r="AE2479" t="s">
        <v>120</v>
      </c>
      <c r="AG2479" t="s">
        <v>121</v>
      </c>
    </row>
    <row r="2480" spans="1:33" x14ac:dyDescent="0.25">
      <c r="A2480" t="str">
        <f>"1356563381"</f>
        <v>1356563381</v>
      </c>
      <c r="B2480" t="str">
        <f>"02872397"</f>
        <v>02872397</v>
      </c>
      <c r="C2480" t="s">
        <v>14169</v>
      </c>
      <c r="D2480" t="s">
        <v>14170</v>
      </c>
      <c r="E2480" t="s">
        <v>14171</v>
      </c>
      <c r="G2480" t="s">
        <v>14169</v>
      </c>
      <c r="H2480" t="s">
        <v>14172</v>
      </c>
      <c r="J2480" t="s">
        <v>14173</v>
      </c>
      <c r="L2480" t="s">
        <v>142</v>
      </c>
      <c r="M2480" t="s">
        <v>113</v>
      </c>
      <c r="R2480" t="s">
        <v>14174</v>
      </c>
      <c r="W2480" t="s">
        <v>14171</v>
      </c>
      <c r="X2480" t="s">
        <v>778</v>
      </c>
      <c r="Y2480" t="s">
        <v>240</v>
      </c>
      <c r="Z2480" t="s">
        <v>117</v>
      </c>
      <c r="AA2480" t="str">
        <f>"14221-8214"</f>
        <v>14221-8214</v>
      </c>
      <c r="AB2480" t="s">
        <v>118</v>
      </c>
      <c r="AC2480" t="s">
        <v>119</v>
      </c>
      <c r="AD2480" t="s">
        <v>113</v>
      </c>
      <c r="AE2480" t="s">
        <v>120</v>
      </c>
      <c r="AG2480" t="s">
        <v>121</v>
      </c>
    </row>
    <row r="2481" spans="1:33" x14ac:dyDescent="0.25">
      <c r="A2481" t="str">
        <f>"1356584486"</f>
        <v>1356584486</v>
      </c>
      <c r="B2481" t="str">
        <f>"03523599"</f>
        <v>03523599</v>
      </c>
      <c r="C2481" t="s">
        <v>14175</v>
      </c>
      <c r="D2481" t="s">
        <v>14176</v>
      </c>
      <c r="E2481" t="s">
        <v>14177</v>
      </c>
      <c r="G2481" t="s">
        <v>14178</v>
      </c>
      <c r="H2481" t="s">
        <v>14179</v>
      </c>
      <c r="J2481" t="s">
        <v>14180</v>
      </c>
      <c r="L2481" t="s">
        <v>142</v>
      </c>
      <c r="M2481" t="s">
        <v>113</v>
      </c>
      <c r="R2481" t="s">
        <v>14181</v>
      </c>
      <c r="W2481" t="s">
        <v>14177</v>
      </c>
      <c r="X2481" t="s">
        <v>216</v>
      </c>
      <c r="Y2481" t="s">
        <v>116</v>
      </c>
      <c r="Z2481" t="s">
        <v>117</v>
      </c>
      <c r="AA2481" t="str">
        <f>"14222-2006"</f>
        <v>14222-2006</v>
      </c>
      <c r="AB2481" t="s">
        <v>118</v>
      </c>
      <c r="AC2481" t="s">
        <v>119</v>
      </c>
      <c r="AD2481" t="s">
        <v>113</v>
      </c>
      <c r="AE2481" t="s">
        <v>120</v>
      </c>
      <c r="AG2481" t="s">
        <v>121</v>
      </c>
    </row>
    <row r="2482" spans="1:33" x14ac:dyDescent="0.25">
      <c r="A2482" t="str">
        <f>"1356601470"</f>
        <v>1356601470</v>
      </c>
      <c r="C2482" t="s">
        <v>14182</v>
      </c>
      <c r="G2482" t="s">
        <v>14183</v>
      </c>
      <c r="J2482" t="s">
        <v>438</v>
      </c>
      <c r="K2482" t="s">
        <v>303</v>
      </c>
      <c r="L2482" t="s">
        <v>229</v>
      </c>
      <c r="M2482" t="s">
        <v>113</v>
      </c>
      <c r="R2482" t="s">
        <v>14184</v>
      </c>
      <c r="S2482" t="s">
        <v>14185</v>
      </c>
      <c r="T2482" t="s">
        <v>958</v>
      </c>
      <c r="U2482" t="s">
        <v>117</v>
      </c>
      <c r="V2482" t="str">
        <f>"142261977"</f>
        <v>142261977</v>
      </c>
      <c r="AC2482" t="s">
        <v>119</v>
      </c>
      <c r="AD2482" t="s">
        <v>113</v>
      </c>
      <c r="AE2482" t="s">
        <v>306</v>
      </c>
      <c r="AG2482" t="s">
        <v>121</v>
      </c>
    </row>
    <row r="2483" spans="1:33" x14ac:dyDescent="0.25">
      <c r="A2483" t="str">
        <f>"1356655997"</f>
        <v>1356655997</v>
      </c>
      <c r="C2483" t="s">
        <v>14186</v>
      </c>
      <c r="K2483" t="s">
        <v>303</v>
      </c>
      <c r="L2483" t="s">
        <v>229</v>
      </c>
      <c r="M2483" t="s">
        <v>113</v>
      </c>
      <c r="R2483" t="s">
        <v>14186</v>
      </c>
      <c r="S2483" t="s">
        <v>14185</v>
      </c>
      <c r="T2483" t="s">
        <v>958</v>
      </c>
      <c r="U2483" t="s">
        <v>117</v>
      </c>
      <c r="V2483" t="str">
        <f>"14226"</f>
        <v>14226</v>
      </c>
      <c r="AC2483" t="s">
        <v>119</v>
      </c>
      <c r="AD2483" t="s">
        <v>113</v>
      </c>
      <c r="AE2483" t="s">
        <v>306</v>
      </c>
      <c r="AG2483" t="s">
        <v>121</v>
      </c>
    </row>
    <row r="2484" spans="1:33" x14ac:dyDescent="0.25">
      <c r="A2484" t="str">
        <f>"1356661185"</f>
        <v>1356661185</v>
      </c>
      <c r="B2484" t="str">
        <f>"03921717"</f>
        <v>03921717</v>
      </c>
      <c r="C2484" t="s">
        <v>14187</v>
      </c>
      <c r="D2484" t="s">
        <v>14188</v>
      </c>
      <c r="E2484" t="s">
        <v>14189</v>
      </c>
      <c r="G2484" t="s">
        <v>14187</v>
      </c>
      <c r="H2484" t="s">
        <v>707</v>
      </c>
      <c r="J2484" t="s">
        <v>14190</v>
      </c>
      <c r="L2484" t="s">
        <v>112</v>
      </c>
      <c r="M2484" t="s">
        <v>113</v>
      </c>
      <c r="R2484" t="s">
        <v>14189</v>
      </c>
      <c r="W2484" t="s">
        <v>14189</v>
      </c>
      <c r="X2484" t="s">
        <v>709</v>
      </c>
      <c r="Y2484" t="s">
        <v>116</v>
      </c>
      <c r="Z2484" t="s">
        <v>117</v>
      </c>
      <c r="AA2484" t="str">
        <f>"14263-0001"</f>
        <v>14263-0001</v>
      </c>
      <c r="AB2484" t="s">
        <v>118</v>
      </c>
      <c r="AC2484" t="s">
        <v>119</v>
      </c>
      <c r="AD2484" t="s">
        <v>113</v>
      </c>
      <c r="AE2484" t="s">
        <v>120</v>
      </c>
      <c r="AG2484" t="s">
        <v>121</v>
      </c>
    </row>
    <row r="2485" spans="1:33" x14ac:dyDescent="0.25">
      <c r="A2485" t="str">
        <f>"1356670699"</f>
        <v>1356670699</v>
      </c>
      <c r="C2485" t="s">
        <v>14191</v>
      </c>
      <c r="G2485" t="s">
        <v>14191</v>
      </c>
      <c r="H2485" t="s">
        <v>937</v>
      </c>
      <c r="J2485" t="s">
        <v>14192</v>
      </c>
      <c r="K2485" t="s">
        <v>303</v>
      </c>
      <c r="L2485" t="s">
        <v>229</v>
      </c>
      <c r="M2485" t="s">
        <v>113</v>
      </c>
      <c r="R2485" t="s">
        <v>14193</v>
      </c>
      <c r="S2485" t="s">
        <v>3739</v>
      </c>
      <c r="T2485" t="s">
        <v>240</v>
      </c>
      <c r="U2485" t="s">
        <v>117</v>
      </c>
      <c r="V2485" t="str">
        <f>"142216728"</f>
        <v>142216728</v>
      </c>
      <c r="AC2485" t="s">
        <v>119</v>
      </c>
      <c r="AD2485" t="s">
        <v>113</v>
      </c>
      <c r="AE2485" t="s">
        <v>306</v>
      </c>
      <c r="AG2485" t="s">
        <v>121</v>
      </c>
    </row>
    <row r="2486" spans="1:33" x14ac:dyDescent="0.25">
      <c r="A2486" t="str">
        <f>"1356686109"</f>
        <v>1356686109</v>
      </c>
      <c r="C2486" t="s">
        <v>14194</v>
      </c>
      <c r="G2486" t="s">
        <v>14195</v>
      </c>
      <c r="H2486" t="s">
        <v>1115</v>
      </c>
      <c r="J2486" t="s">
        <v>438</v>
      </c>
      <c r="K2486" t="s">
        <v>303</v>
      </c>
      <c r="L2486" t="s">
        <v>229</v>
      </c>
      <c r="M2486" t="s">
        <v>113</v>
      </c>
      <c r="R2486" t="s">
        <v>14196</v>
      </c>
      <c r="S2486" t="s">
        <v>440</v>
      </c>
      <c r="T2486" t="s">
        <v>318</v>
      </c>
      <c r="U2486" t="s">
        <v>117</v>
      </c>
      <c r="V2486" t="str">
        <f>"142254965"</f>
        <v>142254965</v>
      </c>
      <c r="AC2486" t="s">
        <v>119</v>
      </c>
      <c r="AD2486" t="s">
        <v>113</v>
      </c>
      <c r="AE2486" t="s">
        <v>306</v>
      </c>
      <c r="AG2486" t="s">
        <v>121</v>
      </c>
    </row>
    <row r="2487" spans="1:33" x14ac:dyDescent="0.25">
      <c r="A2487" t="str">
        <f>"1356698245"</f>
        <v>1356698245</v>
      </c>
      <c r="B2487" t="str">
        <f>"04426459"</f>
        <v>04426459</v>
      </c>
      <c r="C2487" t="s">
        <v>14197</v>
      </c>
      <c r="D2487" t="s">
        <v>14198</v>
      </c>
      <c r="E2487" t="s">
        <v>14199</v>
      </c>
      <c r="G2487" t="s">
        <v>14200</v>
      </c>
      <c r="H2487" t="s">
        <v>351</v>
      </c>
      <c r="L2487" t="s">
        <v>112</v>
      </c>
      <c r="M2487" t="s">
        <v>113</v>
      </c>
      <c r="R2487" t="s">
        <v>14199</v>
      </c>
      <c r="W2487" t="s">
        <v>14201</v>
      </c>
      <c r="X2487" t="s">
        <v>14202</v>
      </c>
      <c r="Y2487" t="s">
        <v>116</v>
      </c>
      <c r="Z2487" t="s">
        <v>117</v>
      </c>
      <c r="AA2487" t="str">
        <f>"14207-2303"</f>
        <v>14207-2303</v>
      </c>
      <c r="AB2487" t="s">
        <v>621</v>
      </c>
      <c r="AC2487" t="s">
        <v>119</v>
      </c>
      <c r="AD2487" t="s">
        <v>113</v>
      </c>
      <c r="AE2487" t="s">
        <v>120</v>
      </c>
      <c r="AG2487" t="s">
        <v>121</v>
      </c>
    </row>
    <row r="2488" spans="1:33" x14ac:dyDescent="0.25">
      <c r="A2488" t="str">
        <f>"1356766240"</f>
        <v>1356766240</v>
      </c>
      <c r="C2488" t="s">
        <v>14203</v>
      </c>
      <c r="G2488" t="s">
        <v>14204</v>
      </c>
      <c r="H2488" t="s">
        <v>351</v>
      </c>
      <c r="J2488" t="s">
        <v>352</v>
      </c>
      <c r="K2488" t="s">
        <v>303</v>
      </c>
      <c r="L2488" t="s">
        <v>229</v>
      </c>
      <c r="M2488" t="s">
        <v>113</v>
      </c>
      <c r="R2488" t="s">
        <v>14205</v>
      </c>
      <c r="S2488" t="s">
        <v>354</v>
      </c>
      <c r="T2488" t="s">
        <v>116</v>
      </c>
      <c r="U2488" t="s">
        <v>117</v>
      </c>
      <c r="V2488" t="str">
        <f>"142152814"</f>
        <v>142152814</v>
      </c>
      <c r="AC2488" t="s">
        <v>119</v>
      </c>
      <c r="AD2488" t="s">
        <v>113</v>
      </c>
      <c r="AE2488" t="s">
        <v>306</v>
      </c>
      <c r="AG2488" t="s">
        <v>121</v>
      </c>
    </row>
    <row r="2489" spans="1:33" x14ac:dyDescent="0.25">
      <c r="A2489" t="str">
        <f>"1356782742"</f>
        <v>1356782742</v>
      </c>
      <c r="B2489" t="str">
        <f>"04348858"</f>
        <v>04348858</v>
      </c>
      <c r="C2489" t="s">
        <v>14206</v>
      </c>
      <c r="D2489" t="s">
        <v>14207</v>
      </c>
      <c r="E2489" t="s">
        <v>14208</v>
      </c>
      <c r="G2489" t="s">
        <v>14206</v>
      </c>
      <c r="H2489" t="s">
        <v>14209</v>
      </c>
      <c r="J2489" t="s">
        <v>14210</v>
      </c>
      <c r="L2489" t="s">
        <v>229</v>
      </c>
      <c r="M2489" t="s">
        <v>113</v>
      </c>
      <c r="R2489" t="s">
        <v>14211</v>
      </c>
      <c r="W2489" t="s">
        <v>14208</v>
      </c>
      <c r="X2489" t="s">
        <v>14212</v>
      </c>
      <c r="Y2489" t="s">
        <v>116</v>
      </c>
      <c r="Z2489" t="s">
        <v>117</v>
      </c>
      <c r="AA2489" t="str">
        <f>"14203-1126"</f>
        <v>14203-1126</v>
      </c>
      <c r="AB2489" t="s">
        <v>118</v>
      </c>
      <c r="AC2489" t="s">
        <v>119</v>
      </c>
      <c r="AD2489" t="s">
        <v>113</v>
      </c>
      <c r="AE2489" t="s">
        <v>120</v>
      </c>
      <c r="AG2489" t="s">
        <v>121</v>
      </c>
    </row>
    <row r="2490" spans="1:33" x14ac:dyDescent="0.25">
      <c r="A2490" t="str">
        <f>"1356786511"</f>
        <v>1356786511</v>
      </c>
      <c r="B2490" t="str">
        <f>"03573695"</f>
        <v>03573695</v>
      </c>
      <c r="C2490" t="s">
        <v>14213</v>
      </c>
      <c r="D2490" t="s">
        <v>14214</v>
      </c>
      <c r="E2490" t="s">
        <v>14215</v>
      </c>
      <c r="G2490" t="s">
        <v>14216</v>
      </c>
      <c r="H2490" t="s">
        <v>14217</v>
      </c>
      <c r="J2490" t="s">
        <v>14218</v>
      </c>
      <c r="L2490" t="s">
        <v>112</v>
      </c>
      <c r="M2490" t="s">
        <v>113</v>
      </c>
      <c r="R2490" t="s">
        <v>14219</v>
      </c>
      <c r="W2490" t="s">
        <v>14215</v>
      </c>
      <c r="X2490" t="s">
        <v>216</v>
      </c>
      <c r="Y2490" t="s">
        <v>116</v>
      </c>
      <c r="Z2490" t="s">
        <v>117</v>
      </c>
      <c r="AA2490" t="str">
        <f>"14222-2006"</f>
        <v>14222-2006</v>
      </c>
      <c r="AB2490" t="s">
        <v>118</v>
      </c>
      <c r="AC2490" t="s">
        <v>119</v>
      </c>
      <c r="AD2490" t="s">
        <v>113</v>
      </c>
      <c r="AE2490" t="s">
        <v>120</v>
      </c>
      <c r="AG2490" t="s">
        <v>121</v>
      </c>
    </row>
    <row r="2491" spans="1:33" x14ac:dyDescent="0.25">
      <c r="A2491" t="str">
        <f>"1366406134"</f>
        <v>1366406134</v>
      </c>
      <c r="B2491" t="str">
        <f>"02626126"</f>
        <v>02626126</v>
      </c>
      <c r="C2491" t="s">
        <v>14220</v>
      </c>
      <c r="D2491" t="s">
        <v>14221</v>
      </c>
      <c r="E2491" t="s">
        <v>14222</v>
      </c>
      <c r="G2491" t="s">
        <v>14223</v>
      </c>
      <c r="H2491" t="s">
        <v>4837</v>
      </c>
      <c r="L2491" t="s">
        <v>142</v>
      </c>
      <c r="M2491" t="s">
        <v>113</v>
      </c>
      <c r="R2491" t="s">
        <v>14223</v>
      </c>
      <c r="W2491" t="s">
        <v>14224</v>
      </c>
      <c r="X2491" t="s">
        <v>13813</v>
      </c>
      <c r="Y2491" t="s">
        <v>4071</v>
      </c>
      <c r="Z2491" t="s">
        <v>117</v>
      </c>
      <c r="AA2491" t="str">
        <f>"14070-1111"</f>
        <v>14070-1111</v>
      </c>
      <c r="AB2491" t="s">
        <v>118</v>
      </c>
      <c r="AC2491" t="s">
        <v>119</v>
      </c>
      <c r="AD2491" t="s">
        <v>113</v>
      </c>
      <c r="AE2491" t="s">
        <v>120</v>
      </c>
      <c r="AG2491" t="s">
        <v>121</v>
      </c>
    </row>
    <row r="2492" spans="1:33" x14ac:dyDescent="0.25">
      <c r="A2492" t="str">
        <f>"1366407173"</f>
        <v>1366407173</v>
      </c>
      <c r="B2492" t="str">
        <f>"01419410"</f>
        <v>01419410</v>
      </c>
      <c r="C2492" t="s">
        <v>14225</v>
      </c>
      <c r="D2492" t="s">
        <v>14226</v>
      </c>
      <c r="E2492" t="s">
        <v>14227</v>
      </c>
      <c r="G2492" t="s">
        <v>14225</v>
      </c>
      <c r="H2492" t="s">
        <v>205</v>
      </c>
      <c r="J2492" t="s">
        <v>14228</v>
      </c>
      <c r="L2492" t="s">
        <v>142</v>
      </c>
      <c r="M2492" t="s">
        <v>113</v>
      </c>
      <c r="R2492" t="s">
        <v>14229</v>
      </c>
      <c r="W2492" t="s">
        <v>14227</v>
      </c>
      <c r="X2492" t="s">
        <v>333</v>
      </c>
      <c r="Y2492" t="s">
        <v>116</v>
      </c>
      <c r="Z2492" t="s">
        <v>117</v>
      </c>
      <c r="AA2492" t="str">
        <f>"14203-1109"</f>
        <v>14203-1109</v>
      </c>
      <c r="AB2492" t="s">
        <v>118</v>
      </c>
      <c r="AC2492" t="s">
        <v>119</v>
      </c>
      <c r="AD2492" t="s">
        <v>113</v>
      </c>
      <c r="AE2492" t="s">
        <v>120</v>
      </c>
      <c r="AG2492" t="s">
        <v>121</v>
      </c>
    </row>
    <row r="2493" spans="1:33" x14ac:dyDescent="0.25">
      <c r="A2493" t="str">
        <f>"1376580233"</f>
        <v>1376580233</v>
      </c>
      <c r="B2493" t="str">
        <f>"00820099"</f>
        <v>00820099</v>
      </c>
      <c r="C2493" t="s">
        <v>8825</v>
      </c>
      <c r="D2493" t="s">
        <v>8826</v>
      </c>
      <c r="E2493" t="s">
        <v>8827</v>
      </c>
      <c r="H2493" t="s">
        <v>8828</v>
      </c>
      <c r="L2493" t="s">
        <v>280</v>
      </c>
      <c r="M2493" t="s">
        <v>199</v>
      </c>
      <c r="R2493" t="s">
        <v>8825</v>
      </c>
      <c r="W2493" t="s">
        <v>8827</v>
      </c>
      <c r="X2493" t="s">
        <v>8829</v>
      </c>
      <c r="Y2493" t="s">
        <v>116</v>
      </c>
      <c r="Z2493" t="s">
        <v>117</v>
      </c>
      <c r="AA2493" t="str">
        <f>"14203-1019"</f>
        <v>14203-1019</v>
      </c>
      <c r="AB2493" t="s">
        <v>979</v>
      </c>
      <c r="AC2493" t="s">
        <v>119</v>
      </c>
      <c r="AD2493" t="s">
        <v>113</v>
      </c>
      <c r="AE2493" t="s">
        <v>120</v>
      </c>
      <c r="AG2493" t="s">
        <v>121</v>
      </c>
    </row>
    <row r="2494" spans="1:33" x14ac:dyDescent="0.25">
      <c r="A2494" t="str">
        <f>"1326141342"</f>
        <v>1326141342</v>
      </c>
      <c r="B2494" t="str">
        <f>"02831827"</f>
        <v>02831827</v>
      </c>
      <c r="C2494" t="s">
        <v>14237</v>
      </c>
      <c r="D2494" t="s">
        <v>14238</v>
      </c>
      <c r="E2494" t="s">
        <v>14239</v>
      </c>
      <c r="G2494" t="s">
        <v>14237</v>
      </c>
      <c r="H2494" t="s">
        <v>250</v>
      </c>
      <c r="J2494" t="s">
        <v>14240</v>
      </c>
      <c r="L2494" t="s">
        <v>142</v>
      </c>
      <c r="M2494" t="s">
        <v>113</v>
      </c>
      <c r="R2494" t="s">
        <v>14241</v>
      </c>
      <c r="W2494" t="s">
        <v>14239</v>
      </c>
      <c r="X2494" t="s">
        <v>4607</v>
      </c>
      <c r="Y2494" t="s">
        <v>116</v>
      </c>
      <c r="Z2494" t="s">
        <v>117</v>
      </c>
      <c r="AA2494" t="str">
        <f>"14215-1145"</f>
        <v>14215-1145</v>
      </c>
      <c r="AB2494" t="s">
        <v>118</v>
      </c>
      <c r="AC2494" t="s">
        <v>119</v>
      </c>
      <c r="AD2494" t="s">
        <v>113</v>
      </c>
      <c r="AE2494" t="s">
        <v>120</v>
      </c>
      <c r="AG2494" t="s">
        <v>121</v>
      </c>
    </row>
    <row r="2495" spans="1:33" x14ac:dyDescent="0.25">
      <c r="A2495" t="str">
        <f>"1326148404"</f>
        <v>1326148404</v>
      </c>
      <c r="B2495" t="str">
        <f>"02839196"</f>
        <v>02839196</v>
      </c>
      <c r="C2495" t="s">
        <v>14242</v>
      </c>
      <c r="D2495" t="s">
        <v>14243</v>
      </c>
      <c r="E2495" t="s">
        <v>14244</v>
      </c>
      <c r="G2495" t="s">
        <v>14245</v>
      </c>
      <c r="H2495" t="s">
        <v>8070</v>
      </c>
      <c r="L2495" t="s">
        <v>142</v>
      </c>
      <c r="M2495" t="s">
        <v>113</v>
      </c>
      <c r="R2495" t="s">
        <v>14245</v>
      </c>
      <c r="W2495" t="s">
        <v>14244</v>
      </c>
      <c r="X2495" t="s">
        <v>10477</v>
      </c>
      <c r="Y2495" t="s">
        <v>978</v>
      </c>
      <c r="Z2495" t="s">
        <v>117</v>
      </c>
      <c r="AA2495" t="str">
        <f>"14081"</f>
        <v>14081</v>
      </c>
      <c r="AB2495" t="s">
        <v>118</v>
      </c>
      <c r="AC2495" t="s">
        <v>119</v>
      </c>
      <c r="AD2495" t="s">
        <v>113</v>
      </c>
      <c r="AE2495" t="s">
        <v>120</v>
      </c>
      <c r="AG2495" t="s">
        <v>121</v>
      </c>
    </row>
    <row r="2496" spans="1:33" x14ac:dyDescent="0.25">
      <c r="A2496" t="str">
        <f>"1326158593"</f>
        <v>1326158593</v>
      </c>
      <c r="B2496" t="str">
        <f>"01483930"</f>
        <v>01483930</v>
      </c>
      <c r="C2496" t="s">
        <v>14246</v>
      </c>
      <c r="D2496" t="s">
        <v>14247</v>
      </c>
      <c r="E2496" t="s">
        <v>14248</v>
      </c>
      <c r="G2496" t="s">
        <v>14249</v>
      </c>
      <c r="H2496" t="s">
        <v>2848</v>
      </c>
      <c r="J2496" t="s">
        <v>14250</v>
      </c>
      <c r="L2496" t="s">
        <v>69</v>
      </c>
      <c r="M2496" t="s">
        <v>113</v>
      </c>
      <c r="R2496" t="s">
        <v>14246</v>
      </c>
      <c r="W2496" t="s">
        <v>14248</v>
      </c>
      <c r="X2496" t="s">
        <v>14251</v>
      </c>
      <c r="Y2496" t="s">
        <v>240</v>
      </c>
      <c r="Z2496" t="s">
        <v>117</v>
      </c>
      <c r="AA2496" t="str">
        <f>"14221-7470"</f>
        <v>14221-7470</v>
      </c>
      <c r="AB2496" t="s">
        <v>872</v>
      </c>
      <c r="AC2496" t="s">
        <v>119</v>
      </c>
      <c r="AD2496" t="s">
        <v>113</v>
      </c>
      <c r="AE2496" t="s">
        <v>120</v>
      </c>
      <c r="AG2496" t="s">
        <v>121</v>
      </c>
    </row>
    <row r="2497" spans="1:33" x14ac:dyDescent="0.25">
      <c r="A2497" t="str">
        <f>"1326159237"</f>
        <v>1326159237</v>
      </c>
      <c r="B2497" t="str">
        <f>"01582998"</f>
        <v>01582998</v>
      </c>
      <c r="C2497" t="s">
        <v>14252</v>
      </c>
      <c r="D2497" t="s">
        <v>14253</v>
      </c>
      <c r="E2497" t="s">
        <v>14254</v>
      </c>
      <c r="G2497" t="s">
        <v>14255</v>
      </c>
      <c r="H2497" t="s">
        <v>14256</v>
      </c>
      <c r="J2497" t="s">
        <v>14257</v>
      </c>
      <c r="L2497" t="s">
        <v>142</v>
      </c>
      <c r="M2497" t="s">
        <v>113</v>
      </c>
      <c r="R2497" t="s">
        <v>14258</v>
      </c>
      <c r="W2497" t="s">
        <v>14259</v>
      </c>
      <c r="X2497" t="s">
        <v>14260</v>
      </c>
      <c r="Y2497" t="s">
        <v>116</v>
      </c>
      <c r="Z2497" t="s">
        <v>117</v>
      </c>
      <c r="AA2497" t="str">
        <f>"14201-1108"</f>
        <v>14201-1108</v>
      </c>
      <c r="AB2497" t="s">
        <v>118</v>
      </c>
      <c r="AC2497" t="s">
        <v>119</v>
      </c>
      <c r="AD2497" t="s">
        <v>113</v>
      </c>
      <c r="AE2497" t="s">
        <v>120</v>
      </c>
      <c r="AG2497" t="s">
        <v>121</v>
      </c>
    </row>
    <row r="2498" spans="1:33" x14ac:dyDescent="0.25">
      <c r="A2498" t="str">
        <f>"1063487650"</f>
        <v>1063487650</v>
      </c>
      <c r="B2498" t="str">
        <f>"00906712"</f>
        <v>00906712</v>
      </c>
      <c r="C2498" t="s">
        <v>14261</v>
      </c>
      <c r="D2498" t="s">
        <v>14262</v>
      </c>
      <c r="E2498" t="s">
        <v>14263</v>
      </c>
      <c r="G2498" t="s">
        <v>14264</v>
      </c>
      <c r="H2498" t="s">
        <v>14265</v>
      </c>
      <c r="J2498" t="s">
        <v>14266</v>
      </c>
      <c r="L2498" t="s">
        <v>112</v>
      </c>
      <c r="M2498" t="s">
        <v>113</v>
      </c>
      <c r="R2498" t="s">
        <v>14267</v>
      </c>
      <c r="W2498" t="s">
        <v>14263</v>
      </c>
      <c r="X2498" t="s">
        <v>14268</v>
      </c>
      <c r="Y2498" t="s">
        <v>232</v>
      </c>
      <c r="Z2498" t="s">
        <v>117</v>
      </c>
      <c r="AA2498" t="str">
        <f>"10032-3725"</f>
        <v>10032-3725</v>
      </c>
      <c r="AB2498" t="s">
        <v>118</v>
      </c>
      <c r="AC2498" t="s">
        <v>119</v>
      </c>
      <c r="AD2498" t="s">
        <v>113</v>
      </c>
      <c r="AE2498" t="s">
        <v>120</v>
      </c>
      <c r="AG2498" t="s">
        <v>121</v>
      </c>
    </row>
    <row r="2499" spans="1:33" x14ac:dyDescent="0.25">
      <c r="A2499" t="str">
        <f>"1063488062"</f>
        <v>1063488062</v>
      </c>
      <c r="B2499" t="str">
        <f>"01604737"</f>
        <v>01604737</v>
      </c>
      <c r="C2499" t="s">
        <v>14269</v>
      </c>
      <c r="D2499" t="s">
        <v>14270</v>
      </c>
      <c r="E2499" t="s">
        <v>14271</v>
      </c>
      <c r="G2499" t="s">
        <v>14269</v>
      </c>
      <c r="H2499" t="s">
        <v>9836</v>
      </c>
      <c r="J2499" t="s">
        <v>14272</v>
      </c>
      <c r="L2499" t="s">
        <v>1033</v>
      </c>
      <c r="M2499" t="s">
        <v>113</v>
      </c>
      <c r="R2499" t="s">
        <v>14273</v>
      </c>
      <c r="W2499" t="s">
        <v>14274</v>
      </c>
      <c r="X2499" t="s">
        <v>253</v>
      </c>
      <c r="Y2499" t="s">
        <v>116</v>
      </c>
      <c r="Z2499" t="s">
        <v>117</v>
      </c>
      <c r="AA2499" t="str">
        <f>"14215-3098"</f>
        <v>14215-3098</v>
      </c>
      <c r="AB2499" t="s">
        <v>118</v>
      </c>
      <c r="AC2499" t="s">
        <v>119</v>
      </c>
      <c r="AD2499" t="s">
        <v>113</v>
      </c>
      <c r="AE2499" t="s">
        <v>120</v>
      </c>
      <c r="AG2499" t="s">
        <v>121</v>
      </c>
    </row>
    <row r="2500" spans="1:33" x14ac:dyDescent="0.25">
      <c r="A2500" t="str">
        <f>"1063488542"</f>
        <v>1063488542</v>
      </c>
      <c r="B2500" t="str">
        <f>"00613492"</f>
        <v>00613492</v>
      </c>
      <c r="C2500" t="s">
        <v>14275</v>
      </c>
      <c r="D2500" t="s">
        <v>14276</v>
      </c>
      <c r="E2500" t="s">
        <v>14277</v>
      </c>
      <c r="G2500" t="s">
        <v>14275</v>
      </c>
      <c r="H2500" t="s">
        <v>6622</v>
      </c>
      <c r="J2500" t="s">
        <v>14278</v>
      </c>
      <c r="L2500" t="s">
        <v>150</v>
      </c>
      <c r="M2500" t="s">
        <v>113</v>
      </c>
      <c r="R2500" t="s">
        <v>14279</v>
      </c>
      <c r="W2500" t="s">
        <v>14280</v>
      </c>
      <c r="X2500" t="s">
        <v>6626</v>
      </c>
      <c r="Y2500" t="s">
        <v>116</v>
      </c>
      <c r="Z2500" t="s">
        <v>117</v>
      </c>
      <c r="AA2500" t="str">
        <f>"14209-1118"</f>
        <v>14209-1118</v>
      </c>
      <c r="AB2500" t="s">
        <v>118</v>
      </c>
      <c r="AC2500" t="s">
        <v>119</v>
      </c>
      <c r="AD2500" t="s">
        <v>113</v>
      </c>
      <c r="AE2500" t="s">
        <v>120</v>
      </c>
      <c r="AG2500" t="s">
        <v>121</v>
      </c>
    </row>
    <row r="2501" spans="1:33" x14ac:dyDescent="0.25">
      <c r="A2501" t="str">
        <f>"1063502235"</f>
        <v>1063502235</v>
      </c>
      <c r="B2501" t="str">
        <f>"02134783"</f>
        <v>02134783</v>
      </c>
      <c r="C2501" t="s">
        <v>14281</v>
      </c>
      <c r="D2501" t="s">
        <v>14282</v>
      </c>
      <c r="E2501" t="s">
        <v>14283</v>
      </c>
      <c r="G2501" t="s">
        <v>14281</v>
      </c>
      <c r="H2501" t="s">
        <v>14284</v>
      </c>
      <c r="J2501" t="s">
        <v>14285</v>
      </c>
      <c r="L2501" t="s">
        <v>142</v>
      </c>
      <c r="M2501" t="s">
        <v>113</v>
      </c>
      <c r="R2501" t="s">
        <v>14286</v>
      </c>
      <c r="W2501" t="s">
        <v>14287</v>
      </c>
      <c r="X2501" t="s">
        <v>14288</v>
      </c>
      <c r="Y2501" t="s">
        <v>232</v>
      </c>
      <c r="Z2501" t="s">
        <v>117</v>
      </c>
      <c r="AA2501" t="str">
        <f>"10021-9800"</f>
        <v>10021-9800</v>
      </c>
      <c r="AB2501" t="s">
        <v>118</v>
      </c>
      <c r="AC2501" t="s">
        <v>119</v>
      </c>
      <c r="AD2501" t="s">
        <v>113</v>
      </c>
      <c r="AE2501" t="s">
        <v>120</v>
      </c>
      <c r="AG2501" t="s">
        <v>121</v>
      </c>
    </row>
    <row r="2502" spans="1:33" x14ac:dyDescent="0.25">
      <c r="A2502" t="str">
        <f>"1063526291"</f>
        <v>1063526291</v>
      </c>
      <c r="B2502" t="str">
        <f>"03111199"</f>
        <v>03111199</v>
      </c>
      <c r="C2502" t="s">
        <v>14289</v>
      </c>
      <c r="D2502" t="s">
        <v>14290</v>
      </c>
      <c r="E2502" t="s">
        <v>14291</v>
      </c>
      <c r="G2502" t="s">
        <v>14292</v>
      </c>
      <c r="H2502" t="s">
        <v>14293</v>
      </c>
      <c r="J2502" t="s">
        <v>14294</v>
      </c>
      <c r="L2502" t="s">
        <v>112</v>
      </c>
      <c r="M2502" t="s">
        <v>113</v>
      </c>
      <c r="R2502" t="s">
        <v>14295</v>
      </c>
      <c r="W2502" t="s">
        <v>14296</v>
      </c>
      <c r="X2502" t="s">
        <v>14297</v>
      </c>
      <c r="Y2502" t="s">
        <v>116</v>
      </c>
      <c r="Z2502" t="s">
        <v>117</v>
      </c>
      <c r="AA2502" t="str">
        <f>"14201-2161"</f>
        <v>14201-2161</v>
      </c>
      <c r="AB2502" t="s">
        <v>118</v>
      </c>
      <c r="AC2502" t="s">
        <v>119</v>
      </c>
      <c r="AD2502" t="s">
        <v>113</v>
      </c>
      <c r="AE2502" t="s">
        <v>120</v>
      </c>
      <c r="AG2502" t="s">
        <v>121</v>
      </c>
    </row>
    <row r="2503" spans="1:33" x14ac:dyDescent="0.25">
      <c r="A2503" t="str">
        <f>"1063527380"</f>
        <v>1063527380</v>
      </c>
      <c r="B2503" t="str">
        <f>"02153217"</f>
        <v>02153217</v>
      </c>
      <c r="C2503" t="s">
        <v>14298</v>
      </c>
      <c r="D2503" t="s">
        <v>14299</v>
      </c>
      <c r="E2503" t="s">
        <v>14300</v>
      </c>
      <c r="G2503" t="s">
        <v>14298</v>
      </c>
      <c r="H2503" t="s">
        <v>1724</v>
      </c>
      <c r="J2503" t="s">
        <v>14301</v>
      </c>
      <c r="L2503" t="s">
        <v>142</v>
      </c>
      <c r="M2503" t="s">
        <v>113</v>
      </c>
      <c r="R2503" t="s">
        <v>14302</v>
      </c>
      <c r="W2503" t="s">
        <v>14300</v>
      </c>
      <c r="X2503" t="s">
        <v>1727</v>
      </c>
      <c r="Y2503" t="s">
        <v>192</v>
      </c>
      <c r="Z2503" t="s">
        <v>117</v>
      </c>
      <c r="AA2503" t="str">
        <f>"14020-1697"</f>
        <v>14020-1697</v>
      </c>
      <c r="AB2503" t="s">
        <v>118</v>
      </c>
      <c r="AC2503" t="s">
        <v>119</v>
      </c>
      <c r="AD2503" t="s">
        <v>113</v>
      </c>
      <c r="AE2503" t="s">
        <v>120</v>
      </c>
      <c r="AG2503" t="s">
        <v>121</v>
      </c>
    </row>
    <row r="2504" spans="1:33" x14ac:dyDescent="0.25">
      <c r="A2504" t="str">
        <f>"1104938406"</f>
        <v>1104938406</v>
      </c>
      <c r="C2504" t="s">
        <v>14303</v>
      </c>
      <c r="G2504" t="s">
        <v>14303</v>
      </c>
      <c r="H2504" t="s">
        <v>14304</v>
      </c>
      <c r="J2504" t="s">
        <v>14305</v>
      </c>
      <c r="K2504" t="s">
        <v>303</v>
      </c>
      <c r="L2504" t="s">
        <v>229</v>
      </c>
      <c r="M2504" t="s">
        <v>113</v>
      </c>
      <c r="R2504" t="s">
        <v>14306</v>
      </c>
      <c r="S2504" t="s">
        <v>14307</v>
      </c>
      <c r="T2504" t="s">
        <v>14308</v>
      </c>
      <c r="U2504" t="s">
        <v>117</v>
      </c>
      <c r="V2504" t="str">
        <f>"130211983"</f>
        <v>130211983</v>
      </c>
      <c r="AC2504" t="s">
        <v>119</v>
      </c>
      <c r="AD2504" t="s">
        <v>113</v>
      </c>
      <c r="AE2504" t="s">
        <v>306</v>
      </c>
      <c r="AG2504" t="s">
        <v>121</v>
      </c>
    </row>
    <row r="2505" spans="1:33" x14ac:dyDescent="0.25">
      <c r="A2505" t="str">
        <f>"1548315401"</f>
        <v>1548315401</v>
      </c>
      <c r="B2505" t="str">
        <f>"00354518"</f>
        <v>00354518</v>
      </c>
      <c r="C2505" t="s">
        <v>1074</v>
      </c>
      <c r="D2505" t="s">
        <v>1075</v>
      </c>
      <c r="E2505" t="s">
        <v>1076</v>
      </c>
      <c r="G2505" t="s">
        <v>1077</v>
      </c>
      <c r="H2505" t="s">
        <v>1078</v>
      </c>
      <c r="J2505" t="s">
        <v>1079</v>
      </c>
      <c r="L2505" t="s">
        <v>1080</v>
      </c>
      <c r="M2505" t="s">
        <v>199</v>
      </c>
      <c r="R2505" t="s">
        <v>1074</v>
      </c>
      <c r="W2505" t="s">
        <v>1076</v>
      </c>
      <c r="X2505" t="s">
        <v>709</v>
      </c>
      <c r="Y2505" t="s">
        <v>116</v>
      </c>
      <c r="Z2505" t="s">
        <v>117</v>
      </c>
      <c r="AA2505" t="str">
        <f>"14263-0001"</f>
        <v>14263-0001</v>
      </c>
      <c r="AB2505" t="s">
        <v>979</v>
      </c>
      <c r="AC2505" t="s">
        <v>119</v>
      </c>
      <c r="AD2505" t="s">
        <v>113</v>
      </c>
      <c r="AE2505" t="s">
        <v>120</v>
      </c>
      <c r="AG2505" t="s">
        <v>121</v>
      </c>
    </row>
    <row r="2506" spans="1:33" x14ac:dyDescent="0.25">
      <c r="A2506" t="str">
        <f>"1104957638"</f>
        <v>1104957638</v>
      </c>
      <c r="C2506" t="s">
        <v>14309</v>
      </c>
      <c r="G2506" t="s">
        <v>14309</v>
      </c>
      <c r="H2506" t="s">
        <v>590</v>
      </c>
      <c r="J2506" t="s">
        <v>14310</v>
      </c>
      <c r="K2506" t="s">
        <v>303</v>
      </c>
      <c r="L2506" t="s">
        <v>229</v>
      </c>
      <c r="M2506" t="s">
        <v>113</v>
      </c>
      <c r="R2506" t="s">
        <v>14311</v>
      </c>
      <c r="S2506" t="s">
        <v>8567</v>
      </c>
      <c r="T2506" t="s">
        <v>116</v>
      </c>
      <c r="U2506" t="s">
        <v>117</v>
      </c>
      <c r="V2506" t="str">
        <f>"142091912"</f>
        <v>142091912</v>
      </c>
      <c r="AC2506" t="s">
        <v>119</v>
      </c>
      <c r="AD2506" t="s">
        <v>113</v>
      </c>
      <c r="AE2506" t="s">
        <v>306</v>
      </c>
      <c r="AG2506" t="s">
        <v>121</v>
      </c>
    </row>
    <row r="2507" spans="1:33" x14ac:dyDescent="0.25">
      <c r="A2507" t="str">
        <f>"1104967652"</f>
        <v>1104967652</v>
      </c>
      <c r="B2507" t="str">
        <f>"03679036"</f>
        <v>03679036</v>
      </c>
      <c r="C2507" t="s">
        <v>14312</v>
      </c>
      <c r="D2507" t="s">
        <v>14313</v>
      </c>
      <c r="E2507" t="s">
        <v>14314</v>
      </c>
      <c r="G2507" t="s">
        <v>14315</v>
      </c>
      <c r="H2507" t="s">
        <v>351</v>
      </c>
      <c r="J2507" t="s">
        <v>352</v>
      </c>
      <c r="L2507" t="s">
        <v>112</v>
      </c>
      <c r="M2507" t="s">
        <v>113</v>
      </c>
      <c r="R2507" t="s">
        <v>14314</v>
      </c>
      <c r="W2507" t="s">
        <v>14314</v>
      </c>
      <c r="X2507" t="s">
        <v>14316</v>
      </c>
      <c r="Y2507" t="s">
        <v>145</v>
      </c>
      <c r="Z2507" t="s">
        <v>117</v>
      </c>
      <c r="AA2507" t="str">
        <f>"14051-1427"</f>
        <v>14051-1427</v>
      </c>
      <c r="AB2507" t="s">
        <v>621</v>
      </c>
      <c r="AC2507" t="s">
        <v>119</v>
      </c>
      <c r="AD2507" t="s">
        <v>113</v>
      </c>
      <c r="AE2507" t="s">
        <v>120</v>
      </c>
      <c r="AG2507" t="s">
        <v>121</v>
      </c>
    </row>
    <row r="2508" spans="1:33" x14ac:dyDescent="0.25">
      <c r="A2508" t="str">
        <f>"1104973676"</f>
        <v>1104973676</v>
      </c>
      <c r="C2508" t="s">
        <v>14317</v>
      </c>
      <c r="G2508" t="s">
        <v>14318</v>
      </c>
      <c r="H2508" t="s">
        <v>437</v>
      </c>
      <c r="J2508" t="s">
        <v>438</v>
      </c>
      <c r="K2508" t="s">
        <v>303</v>
      </c>
      <c r="L2508" t="s">
        <v>229</v>
      </c>
      <c r="M2508" t="s">
        <v>113</v>
      </c>
      <c r="R2508" t="s">
        <v>14319</v>
      </c>
      <c r="S2508" t="s">
        <v>1994</v>
      </c>
      <c r="T2508" t="s">
        <v>116</v>
      </c>
      <c r="U2508" t="s">
        <v>117</v>
      </c>
      <c r="V2508" t="str">
        <f>"142041811"</f>
        <v>142041811</v>
      </c>
      <c r="AC2508" t="s">
        <v>119</v>
      </c>
      <c r="AD2508" t="s">
        <v>113</v>
      </c>
      <c r="AE2508" t="s">
        <v>306</v>
      </c>
      <c r="AG2508" t="s">
        <v>121</v>
      </c>
    </row>
    <row r="2509" spans="1:33" x14ac:dyDescent="0.25">
      <c r="A2509" t="str">
        <f>"1104994821"</f>
        <v>1104994821</v>
      </c>
      <c r="B2509" t="str">
        <f>"01830717"</f>
        <v>01830717</v>
      </c>
      <c r="C2509" t="s">
        <v>14320</v>
      </c>
      <c r="D2509" t="s">
        <v>14321</v>
      </c>
      <c r="E2509" t="s">
        <v>14322</v>
      </c>
      <c r="G2509" t="s">
        <v>14320</v>
      </c>
      <c r="H2509" t="s">
        <v>1964</v>
      </c>
      <c r="J2509" t="s">
        <v>14323</v>
      </c>
      <c r="L2509" t="s">
        <v>142</v>
      </c>
      <c r="M2509" t="s">
        <v>113</v>
      </c>
      <c r="R2509" t="s">
        <v>14324</v>
      </c>
      <c r="W2509" t="s">
        <v>14322</v>
      </c>
      <c r="X2509" t="s">
        <v>14322</v>
      </c>
      <c r="Y2509" t="s">
        <v>116</v>
      </c>
      <c r="Z2509" t="s">
        <v>117</v>
      </c>
      <c r="AA2509" t="str">
        <f>"14203-1126"</f>
        <v>14203-1126</v>
      </c>
      <c r="AB2509" t="s">
        <v>118</v>
      </c>
      <c r="AC2509" t="s">
        <v>119</v>
      </c>
      <c r="AD2509" t="s">
        <v>113</v>
      </c>
      <c r="AE2509" t="s">
        <v>120</v>
      </c>
      <c r="AG2509" t="s">
        <v>121</v>
      </c>
    </row>
    <row r="2510" spans="1:33" x14ac:dyDescent="0.25">
      <c r="A2510" t="str">
        <f>"1104998590"</f>
        <v>1104998590</v>
      </c>
      <c r="B2510" t="str">
        <f>"03535164"</f>
        <v>03535164</v>
      </c>
      <c r="C2510" t="s">
        <v>14325</v>
      </c>
      <c r="D2510" t="s">
        <v>14326</v>
      </c>
      <c r="E2510" t="s">
        <v>14327</v>
      </c>
      <c r="G2510" t="s">
        <v>14325</v>
      </c>
      <c r="H2510" t="s">
        <v>590</v>
      </c>
      <c r="J2510" t="s">
        <v>14328</v>
      </c>
      <c r="L2510" t="s">
        <v>229</v>
      </c>
      <c r="M2510" t="s">
        <v>113</v>
      </c>
      <c r="R2510" t="s">
        <v>14329</v>
      </c>
      <c r="W2510" t="s">
        <v>14327</v>
      </c>
      <c r="X2510" t="s">
        <v>1433</v>
      </c>
      <c r="Y2510" t="s">
        <v>129</v>
      </c>
      <c r="Z2510" t="s">
        <v>117</v>
      </c>
      <c r="AA2510" t="str">
        <f>"14224-2635"</f>
        <v>14224-2635</v>
      </c>
      <c r="AB2510" t="s">
        <v>223</v>
      </c>
      <c r="AC2510" t="s">
        <v>119</v>
      </c>
      <c r="AD2510" t="s">
        <v>113</v>
      </c>
      <c r="AE2510" t="s">
        <v>120</v>
      </c>
      <c r="AG2510" t="s">
        <v>121</v>
      </c>
    </row>
    <row r="2511" spans="1:33" x14ac:dyDescent="0.25">
      <c r="A2511" t="str">
        <f>"1114027430"</f>
        <v>1114027430</v>
      </c>
      <c r="B2511" t="str">
        <f>"01673289"</f>
        <v>01673289</v>
      </c>
      <c r="C2511" t="s">
        <v>14330</v>
      </c>
      <c r="D2511" t="s">
        <v>14331</v>
      </c>
      <c r="E2511" t="s">
        <v>14332</v>
      </c>
      <c r="G2511" t="s">
        <v>1882</v>
      </c>
      <c r="H2511" t="s">
        <v>1883</v>
      </c>
      <c r="J2511" t="s">
        <v>1884</v>
      </c>
      <c r="L2511" t="s">
        <v>150</v>
      </c>
      <c r="M2511" t="s">
        <v>113</v>
      </c>
      <c r="R2511" t="s">
        <v>14333</v>
      </c>
      <c r="W2511" t="s">
        <v>14334</v>
      </c>
      <c r="X2511" t="s">
        <v>253</v>
      </c>
      <c r="Y2511" t="s">
        <v>116</v>
      </c>
      <c r="Z2511" t="s">
        <v>117</v>
      </c>
      <c r="AA2511" t="str">
        <f>"14215-3021"</f>
        <v>14215-3021</v>
      </c>
      <c r="AB2511" t="s">
        <v>118</v>
      </c>
      <c r="AC2511" t="s">
        <v>119</v>
      </c>
      <c r="AD2511" t="s">
        <v>113</v>
      </c>
      <c r="AE2511" t="s">
        <v>120</v>
      </c>
      <c r="AG2511" t="s">
        <v>121</v>
      </c>
    </row>
    <row r="2512" spans="1:33" x14ac:dyDescent="0.25">
      <c r="A2512" t="str">
        <f>"1114041555"</f>
        <v>1114041555</v>
      </c>
      <c r="B2512" t="str">
        <f>"03258500"</f>
        <v>03258500</v>
      </c>
      <c r="C2512" t="s">
        <v>14335</v>
      </c>
      <c r="D2512" t="s">
        <v>14336</v>
      </c>
      <c r="E2512" t="s">
        <v>14337</v>
      </c>
      <c r="G2512" t="s">
        <v>14335</v>
      </c>
      <c r="H2512" t="s">
        <v>14338</v>
      </c>
      <c r="J2512" t="s">
        <v>14339</v>
      </c>
      <c r="L2512" t="s">
        <v>150</v>
      </c>
      <c r="M2512" t="s">
        <v>113</v>
      </c>
      <c r="R2512" t="s">
        <v>14340</v>
      </c>
      <c r="W2512" t="s">
        <v>14337</v>
      </c>
      <c r="X2512" t="s">
        <v>14341</v>
      </c>
      <c r="Y2512" t="s">
        <v>2762</v>
      </c>
      <c r="Z2512" t="s">
        <v>117</v>
      </c>
      <c r="AA2512" t="str">
        <f>"14621-3001"</f>
        <v>14621-3001</v>
      </c>
      <c r="AB2512" t="s">
        <v>118</v>
      </c>
      <c r="AC2512" t="s">
        <v>119</v>
      </c>
      <c r="AD2512" t="s">
        <v>113</v>
      </c>
      <c r="AE2512" t="s">
        <v>120</v>
      </c>
      <c r="AG2512" t="s">
        <v>121</v>
      </c>
    </row>
    <row r="2513" spans="1:33" x14ac:dyDescent="0.25">
      <c r="A2513" t="str">
        <f>"1215927330"</f>
        <v>1215927330</v>
      </c>
      <c r="B2513" t="str">
        <f>"01185675"</f>
        <v>01185675</v>
      </c>
      <c r="C2513" t="s">
        <v>14342</v>
      </c>
      <c r="D2513" t="s">
        <v>14343</v>
      </c>
      <c r="E2513" t="s">
        <v>14344</v>
      </c>
      <c r="G2513" t="s">
        <v>14345</v>
      </c>
      <c r="H2513" t="s">
        <v>707</v>
      </c>
      <c r="J2513" t="s">
        <v>14346</v>
      </c>
      <c r="L2513" t="s">
        <v>112</v>
      </c>
      <c r="M2513" t="s">
        <v>113</v>
      </c>
      <c r="R2513" t="s">
        <v>14347</v>
      </c>
      <c r="W2513" t="s">
        <v>14344</v>
      </c>
      <c r="Y2513" t="s">
        <v>232</v>
      </c>
      <c r="Z2513" t="s">
        <v>117</v>
      </c>
      <c r="AA2513" t="str">
        <f>"10019-1104"</f>
        <v>10019-1104</v>
      </c>
      <c r="AB2513" t="s">
        <v>118</v>
      </c>
      <c r="AC2513" t="s">
        <v>119</v>
      </c>
      <c r="AD2513" t="s">
        <v>113</v>
      </c>
      <c r="AE2513" t="s">
        <v>120</v>
      </c>
      <c r="AG2513" t="s">
        <v>121</v>
      </c>
    </row>
    <row r="2514" spans="1:33" x14ac:dyDescent="0.25">
      <c r="A2514" t="str">
        <f>"1215928098"</f>
        <v>1215928098</v>
      </c>
      <c r="B2514" t="str">
        <f>"02395408"</f>
        <v>02395408</v>
      </c>
      <c r="C2514" t="s">
        <v>14348</v>
      </c>
      <c r="D2514" t="s">
        <v>14349</v>
      </c>
      <c r="E2514" t="s">
        <v>14350</v>
      </c>
      <c r="G2514" t="s">
        <v>14348</v>
      </c>
      <c r="H2514" t="s">
        <v>707</v>
      </c>
      <c r="J2514" t="s">
        <v>14351</v>
      </c>
      <c r="L2514" t="s">
        <v>142</v>
      </c>
      <c r="M2514" t="s">
        <v>113</v>
      </c>
      <c r="R2514" t="s">
        <v>14352</v>
      </c>
      <c r="W2514" t="s">
        <v>14350</v>
      </c>
      <c r="X2514" t="s">
        <v>8817</v>
      </c>
      <c r="Y2514" t="s">
        <v>116</v>
      </c>
      <c r="Z2514" t="s">
        <v>117</v>
      </c>
      <c r="AA2514" t="str">
        <f>"14263-0001"</f>
        <v>14263-0001</v>
      </c>
      <c r="AB2514" t="s">
        <v>118</v>
      </c>
      <c r="AC2514" t="s">
        <v>119</v>
      </c>
      <c r="AD2514" t="s">
        <v>113</v>
      </c>
      <c r="AE2514" t="s">
        <v>120</v>
      </c>
      <c r="AG2514" t="s">
        <v>121</v>
      </c>
    </row>
    <row r="2515" spans="1:33" x14ac:dyDescent="0.25">
      <c r="A2515" t="str">
        <f>"1215934294"</f>
        <v>1215934294</v>
      </c>
      <c r="B2515" t="str">
        <f>"02346243"</f>
        <v>02346243</v>
      </c>
      <c r="C2515" t="s">
        <v>14353</v>
      </c>
      <c r="D2515" t="s">
        <v>14354</v>
      </c>
      <c r="E2515" t="s">
        <v>14355</v>
      </c>
      <c r="G2515" t="s">
        <v>14356</v>
      </c>
      <c r="H2515" t="s">
        <v>236</v>
      </c>
      <c r="J2515" t="s">
        <v>14357</v>
      </c>
      <c r="L2515" t="s">
        <v>142</v>
      </c>
      <c r="M2515" t="s">
        <v>113</v>
      </c>
      <c r="R2515" t="s">
        <v>14358</v>
      </c>
      <c r="W2515" t="s">
        <v>14355</v>
      </c>
      <c r="X2515" t="s">
        <v>14355</v>
      </c>
      <c r="Y2515" t="s">
        <v>377</v>
      </c>
      <c r="Z2515" t="s">
        <v>117</v>
      </c>
      <c r="AA2515" t="str">
        <f>"14217-1304"</f>
        <v>14217-1304</v>
      </c>
      <c r="AB2515" t="s">
        <v>118</v>
      </c>
      <c r="AC2515" t="s">
        <v>119</v>
      </c>
      <c r="AD2515" t="s">
        <v>113</v>
      </c>
      <c r="AE2515" t="s">
        <v>120</v>
      </c>
      <c r="AG2515" t="s">
        <v>121</v>
      </c>
    </row>
    <row r="2516" spans="1:33" x14ac:dyDescent="0.25">
      <c r="A2516" t="str">
        <f>"1215934781"</f>
        <v>1215934781</v>
      </c>
      <c r="B2516" t="str">
        <f>"01482255"</f>
        <v>01482255</v>
      </c>
      <c r="C2516" t="s">
        <v>14359</v>
      </c>
      <c r="D2516" t="s">
        <v>14360</v>
      </c>
      <c r="E2516" t="s">
        <v>14361</v>
      </c>
      <c r="G2516" t="s">
        <v>14362</v>
      </c>
      <c r="H2516" t="s">
        <v>9222</v>
      </c>
      <c r="J2516" t="s">
        <v>14363</v>
      </c>
      <c r="L2516" t="s">
        <v>142</v>
      </c>
      <c r="M2516" t="s">
        <v>113</v>
      </c>
      <c r="R2516" t="s">
        <v>14364</v>
      </c>
      <c r="W2516" t="s">
        <v>14365</v>
      </c>
      <c r="X2516" t="s">
        <v>9883</v>
      </c>
      <c r="Y2516" t="s">
        <v>116</v>
      </c>
      <c r="Z2516" t="s">
        <v>117</v>
      </c>
      <c r="AA2516" t="str">
        <f>"14209-1118"</f>
        <v>14209-1118</v>
      </c>
      <c r="AB2516" t="s">
        <v>118</v>
      </c>
      <c r="AC2516" t="s">
        <v>119</v>
      </c>
      <c r="AD2516" t="s">
        <v>113</v>
      </c>
      <c r="AE2516" t="s">
        <v>120</v>
      </c>
      <c r="AG2516" t="s">
        <v>121</v>
      </c>
    </row>
    <row r="2517" spans="1:33" x14ac:dyDescent="0.25">
      <c r="A2517" t="str">
        <f>"1215954102"</f>
        <v>1215954102</v>
      </c>
      <c r="B2517" t="str">
        <f>"02376736"</f>
        <v>02376736</v>
      </c>
      <c r="C2517" t="s">
        <v>14366</v>
      </c>
      <c r="D2517" t="s">
        <v>14367</v>
      </c>
      <c r="E2517" t="s">
        <v>14368</v>
      </c>
      <c r="G2517" t="s">
        <v>14366</v>
      </c>
      <c r="H2517" t="s">
        <v>7498</v>
      </c>
      <c r="J2517" t="s">
        <v>14369</v>
      </c>
      <c r="L2517" t="s">
        <v>142</v>
      </c>
      <c r="M2517" t="s">
        <v>113</v>
      </c>
      <c r="R2517" t="s">
        <v>14370</v>
      </c>
      <c r="W2517" t="s">
        <v>14371</v>
      </c>
      <c r="X2517" t="s">
        <v>14372</v>
      </c>
      <c r="Y2517" t="s">
        <v>116</v>
      </c>
      <c r="Z2517" t="s">
        <v>117</v>
      </c>
      <c r="AA2517" t="str">
        <f>"14209-2256"</f>
        <v>14209-2256</v>
      </c>
      <c r="AB2517" t="s">
        <v>118</v>
      </c>
      <c r="AC2517" t="s">
        <v>119</v>
      </c>
      <c r="AD2517" t="s">
        <v>113</v>
      </c>
      <c r="AE2517" t="s">
        <v>120</v>
      </c>
      <c r="AG2517" t="s">
        <v>121</v>
      </c>
    </row>
    <row r="2518" spans="1:33" x14ac:dyDescent="0.25">
      <c r="A2518" t="str">
        <f>"1215958830"</f>
        <v>1215958830</v>
      </c>
      <c r="B2518" t="str">
        <f>"01253438"</f>
        <v>01253438</v>
      </c>
      <c r="C2518" t="s">
        <v>14373</v>
      </c>
      <c r="D2518" t="s">
        <v>14374</v>
      </c>
      <c r="E2518" t="s">
        <v>14375</v>
      </c>
      <c r="G2518" t="s">
        <v>9672</v>
      </c>
      <c r="H2518" t="s">
        <v>14376</v>
      </c>
      <c r="J2518" t="s">
        <v>6205</v>
      </c>
      <c r="L2518" t="s">
        <v>142</v>
      </c>
      <c r="M2518" t="s">
        <v>113</v>
      </c>
      <c r="R2518" t="s">
        <v>14377</v>
      </c>
      <c r="W2518" t="s">
        <v>14378</v>
      </c>
      <c r="X2518" t="s">
        <v>14379</v>
      </c>
      <c r="Y2518" t="s">
        <v>116</v>
      </c>
      <c r="Z2518" t="s">
        <v>117</v>
      </c>
      <c r="AA2518" t="str">
        <f>"14214-2693"</f>
        <v>14214-2693</v>
      </c>
      <c r="AB2518" t="s">
        <v>1755</v>
      </c>
      <c r="AC2518" t="s">
        <v>119</v>
      </c>
      <c r="AD2518" t="s">
        <v>113</v>
      </c>
      <c r="AE2518" t="s">
        <v>120</v>
      </c>
      <c r="AG2518" t="s">
        <v>121</v>
      </c>
    </row>
    <row r="2519" spans="1:33" x14ac:dyDescent="0.25">
      <c r="A2519" t="str">
        <f>"1215967880"</f>
        <v>1215967880</v>
      </c>
      <c r="B2519" t="str">
        <f>"01885203"</f>
        <v>01885203</v>
      </c>
      <c r="C2519" t="s">
        <v>14380</v>
      </c>
      <c r="D2519" t="s">
        <v>14381</v>
      </c>
      <c r="E2519" t="s">
        <v>14382</v>
      </c>
      <c r="G2519" t="s">
        <v>330</v>
      </c>
      <c r="H2519" t="s">
        <v>7531</v>
      </c>
      <c r="J2519" t="s">
        <v>332</v>
      </c>
      <c r="L2519" t="s">
        <v>150</v>
      </c>
      <c r="M2519" t="s">
        <v>113</v>
      </c>
      <c r="R2519" t="s">
        <v>14383</v>
      </c>
      <c r="W2519" t="s">
        <v>14382</v>
      </c>
      <c r="X2519" t="s">
        <v>14384</v>
      </c>
      <c r="Y2519" t="s">
        <v>116</v>
      </c>
      <c r="Z2519" t="s">
        <v>117</v>
      </c>
      <c r="AA2519" t="str">
        <f>"14215-1433"</f>
        <v>14215-1433</v>
      </c>
      <c r="AB2519" t="s">
        <v>118</v>
      </c>
      <c r="AC2519" t="s">
        <v>119</v>
      </c>
      <c r="AD2519" t="s">
        <v>113</v>
      </c>
      <c r="AE2519" t="s">
        <v>120</v>
      </c>
      <c r="AG2519" t="s">
        <v>121</v>
      </c>
    </row>
    <row r="2520" spans="1:33" x14ac:dyDescent="0.25">
      <c r="A2520" t="str">
        <f>"1215971395"</f>
        <v>1215971395</v>
      </c>
      <c r="B2520" t="str">
        <f>"01144852"</f>
        <v>01144852</v>
      </c>
      <c r="C2520" t="s">
        <v>14385</v>
      </c>
      <c r="D2520" t="s">
        <v>14386</v>
      </c>
      <c r="E2520" t="s">
        <v>14387</v>
      </c>
      <c r="G2520" t="s">
        <v>14385</v>
      </c>
      <c r="H2520" t="s">
        <v>2424</v>
      </c>
      <c r="J2520" t="s">
        <v>14388</v>
      </c>
      <c r="L2520" t="s">
        <v>142</v>
      </c>
      <c r="M2520" t="s">
        <v>113</v>
      </c>
      <c r="R2520" t="s">
        <v>14389</v>
      </c>
      <c r="W2520" t="s">
        <v>14387</v>
      </c>
      <c r="X2520" t="s">
        <v>8278</v>
      </c>
      <c r="Y2520" t="s">
        <v>116</v>
      </c>
      <c r="Z2520" t="s">
        <v>117</v>
      </c>
      <c r="AA2520" t="str">
        <f>"14203-1536"</f>
        <v>14203-1536</v>
      </c>
      <c r="AB2520" t="s">
        <v>118</v>
      </c>
      <c r="AC2520" t="s">
        <v>119</v>
      </c>
      <c r="AD2520" t="s">
        <v>113</v>
      </c>
      <c r="AE2520" t="s">
        <v>120</v>
      </c>
      <c r="AG2520" t="s">
        <v>121</v>
      </c>
    </row>
    <row r="2521" spans="1:33" x14ac:dyDescent="0.25">
      <c r="A2521" t="str">
        <f>"1215977046"</f>
        <v>1215977046</v>
      </c>
      <c r="B2521" t="str">
        <f>"00677761"</f>
        <v>00677761</v>
      </c>
      <c r="C2521" t="s">
        <v>14390</v>
      </c>
      <c r="D2521" t="s">
        <v>14391</v>
      </c>
      <c r="E2521" t="s">
        <v>14392</v>
      </c>
      <c r="G2521" t="s">
        <v>14390</v>
      </c>
      <c r="H2521" t="s">
        <v>14393</v>
      </c>
      <c r="J2521" t="s">
        <v>14394</v>
      </c>
      <c r="L2521" t="s">
        <v>229</v>
      </c>
      <c r="M2521" t="s">
        <v>113</v>
      </c>
      <c r="R2521" t="s">
        <v>14395</v>
      </c>
      <c r="W2521" t="s">
        <v>14392</v>
      </c>
      <c r="X2521" t="s">
        <v>14396</v>
      </c>
      <c r="Y2521" t="s">
        <v>240</v>
      </c>
      <c r="Z2521" t="s">
        <v>117</v>
      </c>
      <c r="AA2521" t="str">
        <f>"14221-8602"</f>
        <v>14221-8602</v>
      </c>
      <c r="AB2521" t="s">
        <v>118</v>
      </c>
      <c r="AC2521" t="s">
        <v>119</v>
      </c>
      <c r="AD2521" t="s">
        <v>113</v>
      </c>
      <c r="AE2521" t="s">
        <v>120</v>
      </c>
      <c r="AG2521" t="s">
        <v>121</v>
      </c>
    </row>
    <row r="2522" spans="1:33" x14ac:dyDescent="0.25">
      <c r="A2522" t="str">
        <f>"1215988191"</f>
        <v>1215988191</v>
      </c>
      <c r="C2522" t="s">
        <v>14397</v>
      </c>
      <c r="G2522" t="s">
        <v>14397</v>
      </c>
      <c r="H2522" t="s">
        <v>2280</v>
      </c>
      <c r="J2522" t="s">
        <v>14398</v>
      </c>
      <c r="K2522" t="s">
        <v>303</v>
      </c>
      <c r="L2522" t="s">
        <v>229</v>
      </c>
      <c r="M2522" t="s">
        <v>113</v>
      </c>
      <c r="R2522" t="s">
        <v>14399</v>
      </c>
      <c r="S2522" t="s">
        <v>14400</v>
      </c>
      <c r="T2522" t="s">
        <v>116</v>
      </c>
      <c r="U2522" t="s">
        <v>117</v>
      </c>
      <c r="V2522" t="str">
        <f>"14222"</f>
        <v>14222</v>
      </c>
      <c r="AC2522" t="s">
        <v>119</v>
      </c>
      <c r="AD2522" t="s">
        <v>113</v>
      </c>
      <c r="AE2522" t="s">
        <v>306</v>
      </c>
      <c r="AG2522" t="s">
        <v>121</v>
      </c>
    </row>
    <row r="2523" spans="1:33" x14ac:dyDescent="0.25">
      <c r="A2523" t="str">
        <f>"1003881400"</f>
        <v>1003881400</v>
      </c>
      <c r="B2523" t="str">
        <f>"02586029"</f>
        <v>02586029</v>
      </c>
      <c r="C2523" t="s">
        <v>14401</v>
      </c>
      <c r="D2523" t="s">
        <v>14402</v>
      </c>
      <c r="E2523" t="s">
        <v>14403</v>
      </c>
      <c r="G2523" t="s">
        <v>14404</v>
      </c>
      <c r="H2523" t="s">
        <v>382</v>
      </c>
      <c r="J2523" t="s">
        <v>383</v>
      </c>
      <c r="L2523" t="s">
        <v>150</v>
      </c>
      <c r="M2523" t="s">
        <v>113</v>
      </c>
      <c r="R2523" t="s">
        <v>14405</v>
      </c>
      <c r="W2523" t="s">
        <v>14403</v>
      </c>
      <c r="X2523" t="s">
        <v>14406</v>
      </c>
      <c r="Y2523" t="s">
        <v>387</v>
      </c>
      <c r="Z2523" t="s">
        <v>117</v>
      </c>
      <c r="AA2523" t="str">
        <f>"14787-0010"</f>
        <v>14787-0010</v>
      </c>
      <c r="AB2523" t="s">
        <v>118</v>
      </c>
      <c r="AC2523" t="s">
        <v>119</v>
      </c>
      <c r="AD2523" t="s">
        <v>113</v>
      </c>
      <c r="AE2523" t="s">
        <v>120</v>
      </c>
      <c r="AG2523" t="s">
        <v>121</v>
      </c>
    </row>
    <row r="2524" spans="1:33" x14ac:dyDescent="0.25">
      <c r="A2524" t="str">
        <f>"1003882283"</f>
        <v>1003882283</v>
      </c>
      <c r="B2524" t="str">
        <f>"01824304"</f>
        <v>01824304</v>
      </c>
      <c r="C2524" t="s">
        <v>14407</v>
      </c>
      <c r="D2524" t="s">
        <v>14408</v>
      </c>
      <c r="E2524" t="s">
        <v>14409</v>
      </c>
      <c r="G2524" t="s">
        <v>14407</v>
      </c>
      <c r="H2524" t="s">
        <v>744</v>
      </c>
      <c r="J2524" t="s">
        <v>14410</v>
      </c>
      <c r="L2524" t="s">
        <v>150</v>
      </c>
      <c r="M2524" t="s">
        <v>113</v>
      </c>
      <c r="R2524" t="s">
        <v>14411</v>
      </c>
      <c r="W2524" t="s">
        <v>14409</v>
      </c>
      <c r="X2524" t="s">
        <v>14412</v>
      </c>
      <c r="Y2524" t="s">
        <v>5228</v>
      </c>
      <c r="Z2524" t="s">
        <v>117</v>
      </c>
      <c r="AA2524" t="str">
        <f>"14228"</f>
        <v>14228</v>
      </c>
      <c r="AB2524" t="s">
        <v>118</v>
      </c>
      <c r="AC2524" t="s">
        <v>119</v>
      </c>
      <c r="AD2524" t="s">
        <v>113</v>
      </c>
      <c r="AE2524" t="s">
        <v>120</v>
      </c>
      <c r="AG2524" t="s">
        <v>121</v>
      </c>
    </row>
    <row r="2525" spans="1:33" x14ac:dyDescent="0.25">
      <c r="A2525" t="str">
        <f>"1235115957"</f>
        <v>1235115957</v>
      </c>
      <c r="B2525" t="str">
        <f>"02161773"</f>
        <v>02161773</v>
      </c>
      <c r="C2525" t="s">
        <v>14413</v>
      </c>
      <c r="D2525" t="s">
        <v>14414</v>
      </c>
      <c r="E2525" t="s">
        <v>14415</v>
      </c>
      <c r="G2525" t="s">
        <v>14416</v>
      </c>
      <c r="H2525" t="s">
        <v>398</v>
      </c>
      <c r="J2525" t="s">
        <v>14417</v>
      </c>
      <c r="L2525" t="s">
        <v>150</v>
      </c>
      <c r="M2525" t="s">
        <v>113</v>
      </c>
      <c r="R2525" t="s">
        <v>14418</v>
      </c>
      <c r="W2525" t="s">
        <v>14419</v>
      </c>
      <c r="X2525" t="s">
        <v>14420</v>
      </c>
      <c r="Y2525" t="s">
        <v>116</v>
      </c>
      <c r="Z2525" t="s">
        <v>117</v>
      </c>
      <c r="AA2525" t="str">
        <f>"14209-1684"</f>
        <v>14209-1684</v>
      </c>
      <c r="AB2525" t="s">
        <v>118</v>
      </c>
      <c r="AC2525" t="s">
        <v>119</v>
      </c>
      <c r="AD2525" t="s">
        <v>113</v>
      </c>
      <c r="AE2525" t="s">
        <v>120</v>
      </c>
      <c r="AG2525" t="s">
        <v>121</v>
      </c>
    </row>
    <row r="2526" spans="1:33" x14ac:dyDescent="0.25">
      <c r="A2526" t="str">
        <f>"1235122326"</f>
        <v>1235122326</v>
      </c>
      <c r="B2526" t="str">
        <f>"00598045"</f>
        <v>00598045</v>
      </c>
      <c r="C2526" t="s">
        <v>14421</v>
      </c>
      <c r="D2526" t="s">
        <v>14422</v>
      </c>
      <c r="E2526" t="s">
        <v>14423</v>
      </c>
      <c r="G2526" t="s">
        <v>14421</v>
      </c>
      <c r="H2526" t="s">
        <v>14424</v>
      </c>
      <c r="J2526" t="s">
        <v>14425</v>
      </c>
      <c r="L2526" t="s">
        <v>728</v>
      </c>
      <c r="M2526" t="s">
        <v>113</v>
      </c>
      <c r="R2526" t="s">
        <v>14426</v>
      </c>
      <c r="W2526" t="s">
        <v>14423</v>
      </c>
      <c r="X2526" t="s">
        <v>14427</v>
      </c>
      <c r="Y2526" t="s">
        <v>240</v>
      </c>
      <c r="Z2526" t="s">
        <v>117</v>
      </c>
      <c r="AA2526" t="str">
        <f>"14221-3521"</f>
        <v>14221-3521</v>
      </c>
      <c r="AB2526" t="s">
        <v>118</v>
      </c>
      <c r="AC2526" t="s">
        <v>119</v>
      </c>
      <c r="AD2526" t="s">
        <v>113</v>
      </c>
      <c r="AE2526" t="s">
        <v>120</v>
      </c>
      <c r="AG2526" t="s">
        <v>121</v>
      </c>
    </row>
    <row r="2527" spans="1:33" x14ac:dyDescent="0.25">
      <c r="A2527" t="str">
        <f>"1235127150"</f>
        <v>1235127150</v>
      </c>
      <c r="B2527" t="str">
        <f>"00602837"</f>
        <v>00602837</v>
      </c>
      <c r="C2527" t="s">
        <v>14428</v>
      </c>
      <c r="D2527" t="s">
        <v>14429</v>
      </c>
      <c r="E2527" t="s">
        <v>14430</v>
      </c>
      <c r="G2527" t="s">
        <v>14428</v>
      </c>
      <c r="H2527" t="s">
        <v>14431</v>
      </c>
      <c r="J2527" t="s">
        <v>14432</v>
      </c>
      <c r="L2527" t="s">
        <v>728</v>
      </c>
      <c r="M2527" t="s">
        <v>113</v>
      </c>
      <c r="R2527" t="s">
        <v>14433</v>
      </c>
      <c r="W2527" t="s">
        <v>14434</v>
      </c>
      <c r="X2527" t="s">
        <v>1845</v>
      </c>
      <c r="Y2527" t="s">
        <v>816</v>
      </c>
      <c r="Z2527" t="s">
        <v>117</v>
      </c>
      <c r="AA2527" t="str">
        <f>"14120-6150"</f>
        <v>14120-6150</v>
      </c>
      <c r="AB2527" t="s">
        <v>118</v>
      </c>
      <c r="AC2527" t="s">
        <v>119</v>
      </c>
      <c r="AD2527" t="s">
        <v>113</v>
      </c>
      <c r="AE2527" t="s">
        <v>120</v>
      </c>
      <c r="AG2527" t="s">
        <v>121</v>
      </c>
    </row>
    <row r="2528" spans="1:33" x14ac:dyDescent="0.25">
      <c r="A2528" t="str">
        <f>"1235145905"</f>
        <v>1235145905</v>
      </c>
      <c r="B2528" t="str">
        <f>"01873156"</f>
        <v>01873156</v>
      </c>
      <c r="C2528" t="s">
        <v>14435</v>
      </c>
      <c r="D2528" t="s">
        <v>14436</v>
      </c>
      <c r="E2528" t="s">
        <v>14437</v>
      </c>
      <c r="G2528" t="s">
        <v>14438</v>
      </c>
      <c r="H2528" t="s">
        <v>205</v>
      </c>
      <c r="J2528" t="s">
        <v>14439</v>
      </c>
      <c r="L2528" t="s">
        <v>112</v>
      </c>
      <c r="M2528" t="s">
        <v>113</v>
      </c>
      <c r="R2528" t="s">
        <v>14440</v>
      </c>
      <c r="W2528" t="s">
        <v>14437</v>
      </c>
      <c r="X2528" t="s">
        <v>176</v>
      </c>
      <c r="Y2528" t="s">
        <v>116</v>
      </c>
      <c r="Z2528" t="s">
        <v>117</v>
      </c>
      <c r="AA2528" t="str">
        <f>"14203-1126"</f>
        <v>14203-1126</v>
      </c>
      <c r="AB2528" t="s">
        <v>118</v>
      </c>
      <c r="AC2528" t="s">
        <v>119</v>
      </c>
      <c r="AD2528" t="s">
        <v>113</v>
      </c>
      <c r="AE2528" t="s">
        <v>120</v>
      </c>
      <c r="AG2528" t="s">
        <v>121</v>
      </c>
    </row>
    <row r="2529" spans="1:33" x14ac:dyDescent="0.25">
      <c r="A2529" t="str">
        <f>"1235153917"</f>
        <v>1235153917</v>
      </c>
      <c r="B2529" t="str">
        <f>"02209763"</f>
        <v>02209763</v>
      </c>
      <c r="C2529" t="s">
        <v>14441</v>
      </c>
      <c r="D2529" t="s">
        <v>14442</v>
      </c>
      <c r="E2529" t="s">
        <v>14443</v>
      </c>
      <c r="G2529" t="s">
        <v>14441</v>
      </c>
      <c r="H2529" t="s">
        <v>937</v>
      </c>
      <c r="J2529" t="s">
        <v>14444</v>
      </c>
      <c r="L2529" t="s">
        <v>142</v>
      </c>
      <c r="M2529" t="s">
        <v>113</v>
      </c>
      <c r="R2529" t="s">
        <v>14445</v>
      </c>
      <c r="W2529" t="s">
        <v>14443</v>
      </c>
      <c r="X2529" t="s">
        <v>14446</v>
      </c>
      <c r="Y2529" t="s">
        <v>116</v>
      </c>
      <c r="Z2529" t="s">
        <v>117</v>
      </c>
      <c r="AA2529" t="str">
        <f>"14209-1120"</f>
        <v>14209-1120</v>
      </c>
      <c r="AB2529" t="s">
        <v>118</v>
      </c>
      <c r="AC2529" t="s">
        <v>119</v>
      </c>
      <c r="AD2529" t="s">
        <v>113</v>
      </c>
      <c r="AE2529" t="s">
        <v>120</v>
      </c>
      <c r="AG2529" t="s">
        <v>121</v>
      </c>
    </row>
    <row r="2530" spans="1:33" x14ac:dyDescent="0.25">
      <c r="A2530" t="str">
        <f>"1235157355"</f>
        <v>1235157355</v>
      </c>
      <c r="B2530" t="str">
        <f>"02429261"</f>
        <v>02429261</v>
      </c>
      <c r="C2530" t="s">
        <v>14447</v>
      </c>
      <c r="D2530" t="s">
        <v>14448</v>
      </c>
      <c r="E2530" t="s">
        <v>14449</v>
      </c>
      <c r="G2530" t="s">
        <v>14450</v>
      </c>
      <c r="H2530" t="s">
        <v>14451</v>
      </c>
      <c r="J2530" t="s">
        <v>14452</v>
      </c>
      <c r="L2530" t="s">
        <v>142</v>
      </c>
      <c r="M2530" t="s">
        <v>113</v>
      </c>
      <c r="R2530" t="s">
        <v>14453</v>
      </c>
      <c r="W2530" t="s">
        <v>14449</v>
      </c>
      <c r="X2530" t="s">
        <v>14454</v>
      </c>
      <c r="Y2530" t="s">
        <v>663</v>
      </c>
      <c r="Z2530" t="s">
        <v>117</v>
      </c>
      <c r="AA2530" t="str">
        <f>"14094-5370"</f>
        <v>14094-5370</v>
      </c>
      <c r="AB2530" t="s">
        <v>118</v>
      </c>
      <c r="AC2530" t="s">
        <v>119</v>
      </c>
      <c r="AD2530" t="s">
        <v>113</v>
      </c>
      <c r="AE2530" t="s">
        <v>120</v>
      </c>
      <c r="AG2530" t="s">
        <v>121</v>
      </c>
    </row>
    <row r="2531" spans="1:33" x14ac:dyDescent="0.25">
      <c r="A2531" t="str">
        <f>"1235169848"</f>
        <v>1235169848</v>
      </c>
      <c r="B2531" t="str">
        <f>"00705344"</f>
        <v>00705344</v>
      </c>
      <c r="C2531" t="s">
        <v>14455</v>
      </c>
      <c r="D2531" t="s">
        <v>14456</v>
      </c>
      <c r="E2531" t="s">
        <v>14457</v>
      </c>
      <c r="G2531" t="s">
        <v>14458</v>
      </c>
      <c r="H2531" t="s">
        <v>14459</v>
      </c>
      <c r="J2531" t="s">
        <v>14460</v>
      </c>
      <c r="L2531" t="s">
        <v>150</v>
      </c>
      <c r="M2531" t="s">
        <v>113</v>
      </c>
      <c r="R2531" t="s">
        <v>14461</v>
      </c>
      <c r="W2531" t="s">
        <v>14457</v>
      </c>
      <c r="X2531" t="s">
        <v>253</v>
      </c>
      <c r="Y2531" t="s">
        <v>116</v>
      </c>
      <c r="Z2531" t="s">
        <v>117</v>
      </c>
      <c r="AA2531" t="str">
        <f>"14215-3021"</f>
        <v>14215-3021</v>
      </c>
      <c r="AB2531" t="s">
        <v>118</v>
      </c>
      <c r="AC2531" t="s">
        <v>119</v>
      </c>
      <c r="AD2531" t="s">
        <v>113</v>
      </c>
      <c r="AE2531" t="s">
        <v>120</v>
      </c>
      <c r="AG2531" t="s">
        <v>121</v>
      </c>
    </row>
    <row r="2532" spans="1:33" x14ac:dyDescent="0.25">
      <c r="A2532" t="str">
        <f>"1235169871"</f>
        <v>1235169871</v>
      </c>
      <c r="B2532" t="str">
        <f>"02669652"</f>
        <v>02669652</v>
      </c>
      <c r="C2532" t="s">
        <v>14462</v>
      </c>
      <c r="D2532" t="s">
        <v>14463</v>
      </c>
      <c r="E2532" t="s">
        <v>14464</v>
      </c>
      <c r="G2532" t="s">
        <v>14462</v>
      </c>
      <c r="H2532" t="s">
        <v>1478</v>
      </c>
      <c r="J2532" t="s">
        <v>14465</v>
      </c>
      <c r="L2532" t="s">
        <v>142</v>
      </c>
      <c r="M2532" t="s">
        <v>113</v>
      </c>
      <c r="R2532" t="s">
        <v>14466</v>
      </c>
      <c r="W2532" t="s">
        <v>14464</v>
      </c>
      <c r="X2532" t="s">
        <v>838</v>
      </c>
      <c r="Y2532" t="s">
        <v>240</v>
      </c>
      <c r="Z2532" t="s">
        <v>117</v>
      </c>
      <c r="AA2532" t="str">
        <f>"14221-3647"</f>
        <v>14221-3647</v>
      </c>
      <c r="AB2532" t="s">
        <v>118</v>
      </c>
      <c r="AC2532" t="s">
        <v>119</v>
      </c>
      <c r="AD2532" t="s">
        <v>113</v>
      </c>
      <c r="AE2532" t="s">
        <v>120</v>
      </c>
      <c r="AG2532" t="s">
        <v>121</v>
      </c>
    </row>
    <row r="2533" spans="1:33" x14ac:dyDescent="0.25">
      <c r="A2533" t="str">
        <f>"1235180621"</f>
        <v>1235180621</v>
      </c>
      <c r="B2533" t="str">
        <f>"02346376"</f>
        <v>02346376</v>
      </c>
      <c r="C2533" t="s">
        <v>14467</v>
      </c>
      <c r="D2533" t="s">
        <v>14468</v>
      </c>
      <c r="E2533" t="s">
        <v>14469</v>
      </c>
      <c r="L2533" t="s">
        <v>142</v>
      </c>
      <c r="M2533" t="s">
        <v>113</v>
      </c>
      <c r="R2533" t="s">
        <v>14467</v>
      </c>
      <c r="W2533" t="s">
        <v>14470</v>
      </c>
      <c r="X2533" t="s">
        <v>12723</v>
      </c>
      <c r="Y2533" t="s">
        <v>3012</v>
      </c>
      <c r="Z2533" t="s">
        <v>117</v>
      </c>
      <c r="AA2533" t="str">
        <f>"14052-1655"</f>
        <v>14052-1655</v>
      </c>
      <c r="AB2533" t="s">
        <v>118</v>
      </c>
      <c r="AC2533" t="s">
        <v>119</v>
      </c>
      <c r="AD2533" t="s">
        <v>113</v>
      </c>
      <c r="AE2533" t="s">
        <v>120</v>
      </c>
      <c r="AG2533" t="s">
        <v>121</v>
      </c>
    </row>
    <row r="2534" spans="1:33" x14ac:dyDescent="0.25">
      <c r="A2534" t="str">
        <f>"1235188467"</f>
        <v>1235188467</v>
      </c>
      <c r="B2534" t="str">
        <f>"00889607"</f>
        <v>00889607</v>
      </c>
      <c r="C2534" t="s">
        <v>14471</v>
      </c>
      <c r="D2534" t="s">
        <v>14472</v>
      </c>
      <c r="E2534" t="s">
        <v>14473</v>
      </c>
      <c r="G2534" t="s">
        <v>14471</v>
      </c>
      <c r="H2534" t="s">
        <v>11471</v>
      </c>
      <c r="J2534" t="s">
        <v>14474</v>
      </c>
      <c r="L2534" t="s">
        <v>150</v>
      </c>
      <c r="M2534" t="s">
        <v>113</v>
      </c>
      <c r="R2534" t="s">
        <v>14475</v>
      </c>
      <c r="W2534" t="s">
        <v>14473</v>
      </c>
      <c r="Y2534" t="s">
        <v>116</v>
      </c>
      <c r="Z2534" t="s">
        <v>117</v>
      </c>
      <c r="AA2534" t="str">
        <f>"14209-2027"</f>
        <v>14209-2027</v>
      </c>
      <c r="AB2534" t="s">
        <v>118</v>
      </c>
      <c r="AC2534" t="s">
        <v>119</v>
      </c>
      <c r="AD2534" t="s">
        <v>113</v>
      </c>
      <c r="AE2534" t="s">
        <v>120</v>
      </c>
      <c r="AG2534" t="s">
        <v>121</v>
      </c>
    </row>
    <row r="2535" spans="1:33" x14ac:dyDescent="0.25">
      <c r="A2535" t="str">
        <f>"1235190828"</f>
        <v>1235190828</v>
      </c>
      <c r="B2535" t="str">
        <f>"01194256"</f>
        <v>01194256</v>
      </c>
      <c r="C2535" t="s">
        <v>14476</v>
      </c>
      <c r="D2535" t="s">
        <v>14477</v>
      </c>
      <c r="E2535" t="s">
        <v>14478</v>
      </c>
      <c r="G2535" t="s">
        <v>14476</v>
      </c>
      <c r="H2535" t="s">
        <v>3305</v>
      </c>
      <c r="J2535" t="s">
        <v>14479</v>
      </c>
      <c r="L2535" t="s">
        <v>112</v>
      </c>
      <c r="M2535" t="s">
        <v>113</v>
      </c>
      <c r="R2535" t="s">
        <v>14480</v>
      </c>
      <c r="W2535" t="s">
        <v>14478</v>
      </c>
      <c r="X2535" t="s">
        <v>1845</v>
      </c>
      <c r="Y2535" t="s">
        <v>889</v>
      </c>
      <c r="Z2535" t="s">
        <v>117</v>
      </c>
      <c r="AA2535" t="str">
        <f>"14120-6150"</f>
        <v>14120-6150</v>
      </c>
      <c r="AB2535" t="s">
        <v>118</v>
      </c>
      <c r="AC2535" t="s">
        <v>119</v>
      </c>
      <c r="AD2535" t="s">
        <v>113</v>
      </c>
      <c r="AE2535" t="s">
        <v>120</v>
      </c>
      <c r="AG2535" t="s">
        <v>121</v>
      </c>
    </row>
    <row r="2536" spans="1:33" x14ac:dyDescent="0.25">
      <c r="A2536" t="str">
        <f>"1235195058"</f>
        <v>1235195058</v>
      </c>
      <c r="B2536" t="str">
        <f>"01885198"</f>
        <v>01885198</v>
      </c>
      <c r="C2536" t="s">
        <v>14481</v>
      </c>
      <c r="D2536" t="s">
        <v>14482</v>
      </c>
      <c r="E2536" t="s">
        <v>14483</v>
      </c>
      <c r="G2536" t="s">
        <v>14481</v>
      </c>
      <c r="H2536" t="s">
        <v>14484</v>
      </c>
      <c r="J2536" t="s">
        <v>14485</v>
      </c>
      <c r="L2536" t="s">
        <v>142</v>
      </c>
      <c r="M2536" t="s">
        <v>113</v>
      </c>
      <c r="R2536" t="s">
        <v>14483</v>
      </c>
      <c r="W2536" t="s">
        <v>14483</v>
      </c>
      <c r="X2536" t="s">
        <v>14483</v>
      </c>
      <c r="Y2536" t="s">
        <v>958</v>
      </c>
      <c r="Z2536" t="s">
        <v>117</v>
      </c>
      <c r="AA2536" t="str">
        <f>"14226-1736"</f>
        <v>14226-1736</v>
      </c>
      <c r="AB2536" t="s">
        <v>118</v>
      </c>
      <c r="AC2536" t="s">
        <v>119</v>
      </c>
      <c r="AD2536" t="s">
        <v>113</v>
      </c>
      <c r="AE2536" t="s">
        <v>120</v>
      </c>
      <c r="AG2536" t="s">
        <v>121</v>
      </c>
    </row>
    <row r="2537" spans="1:33" x14ac:dyDescent="0.25">
      <c r="A2537" t="str">
        <f>"1235195769"</f>
        <v>1235195769</v>
      </c>
      <c r="B2537" t="str">
        <f>"01716774"</f>
        <v>01716774</v>
      </c>
      <c r="C2537" t="s">
        <v>14486</v>
      </c>
      <c r="D2537" t="s">
        <v>14487</v>
      </c>
      <c r="E2537" t="s">
        <v>14488</v>
      </c>
      <c r="G2537" t="s">
        <v>14486</v>
      </c>
      <c r="H2537" t="s">
        <v>8793</v>
      </c>
      <c r="J2537" t="s">
        <v>14489</v>
      </c>
      <c r="L2537" t="s">
        <v>150</v>
      </c>
      <c r="M2537" t="s">
        <v>113</v>
      </c>
      <c r="R2537" t="s">
        <v>14490</v>
      </c>
      <c r="W2537" t="s">
        <v>14488</v>
      </c>
      <c r="X2537" t="s">
        <v>14151</v>
      </c>
      <c r="Y2537" t="s">
        <v>9183</v>
      </c>
      <c r="Z2537" t="s">
        <v>117</v>
      </c>
      <c r="AA2537" t="str">
        <f>"14086-2143"</f>
        <v>14086-2143</v>
      </c>
      <c r="AB2537" t="s">
        <v>118</v>
      </c>
      <c r="AC2537" t="s">
        <v>119</v>
      </c>
      <c r="AD2537" t="s">
        <v>113</v>
      </c>
      <c r="AE2537" t="s">
        <v>120</v>
      </c>
      <c r="AG2537" t="s">
        <v>121</v>
      </c>
    </row>
    <row r="2538" spans="1:33" x14ac:dyDescent="0.25">
      <c r="A2538" t="str">
        <f>"1235196189"</f>
        <v>1235196189</v>
      </c>
      <c r="B2538" t="str">
        <f>"01503039"</f>
        <v>01503039</v>
      </c>
      <c r="C2538" t="s">
        <v>14491</v>
      </c>
      <c r="D2538" t="s">
        <v>14492</v>
      </c>
      <c r="E2538" t="s">
        <v>14493</v>
      </c>
      <c r="G2538" t="s">
        <v>14491</v>
      </c>
      <c r="H2538" t="s">
        <v>205</v>
      </c>
      <c r="J2538" t="s">
        <v>14494</v>
      </c>
      <c r="L2538" t="s">
        <v>142</v>
      </c>
      <c r="M2538" t="s">
        <v>113</v>
      </c>
      <c r="R2538" t="s">
        <v>14495</v>
      </c>
      <c r="W2538" t="s">
        <v>14493</v>
      </c>
      <c r="X2538" t="s">
        <v>11848</v>
      </c>
      <c r="Y2538" t="s">
        <v>116</v>
      </c>
      <c r="Z2538" t="s">
        <v>117</v>
      </c>
      <c r="AA2538" t="str">
        <f>"14209-1120"</f>
        <v>14209-1120</v>
      </c>
      <c r="AB2538" t="s">
        <v>118</v>
      </c>
      <c r="AC2538" t="s">
        <v>119</v>
      </c>
      <c r="AD2538" t="s">
        <v>113</v>
      </c>
      <c r="AE2538" t="s">
        <v>120</v>
      </c>
      <c r="AG2538" t="s">
        <v>121</v>
      </c>
    </row>
    <row r="2539" spans="1:33" x14ac:dyDescent="0.25">
      <c r="A2539" t="str">
        <f>"1235196544"</f>
        <v>1235196544</v>
      </c>
      <c r="B2539" t="str">
        <f>"02091743"</f>
        <v>02091743</v>
      </c>
      <c r="C2539" t="s">
        <v>14496</v>
      </c>
      <c r="D2539" t="s">
        <v>14497</v>
      </c>
      <c r="E2539" t="s">
        <v>14498</v>
      </c>
      <c r="G2539" t="s">
        <v>14496</v>
      </c>
      <c r="H2539" t="s">
        <v>908</v>
      </c>
      <c r="J2539" t="s">
        <v>14499</v>
      </c>
      <c r="L2539" t="s">
        <v>142</v>
      </c>
      <c r="M2539" t="s">
        <v>113</v>
      </c>
      <c r="R2539" t="s">
        <v>14500</v>
      </c>
      <c r="W2539" t="s">
        <v>14498</v>
      </c>
      <c r="X2539" t="s">
        <v>14501</v>
      </c>
      <c r="Y2539" t="s">
        <v>2762</v>
      </c>
      <c r="Z2539" t="s">
        <v>117</v>
      </c>
      <c r="AA2539" t="str">
        <f>"14618-2623"</f>
        <v>14618-2623</v>
      </c>
      <c r="AB2539" t="s">
        <v>118</v>
      </c>
      <c r="AC2539" t="s">
        <v>119</v>
      </c>
      <c r="AD2539" t="s">
        <v>113</v>
      </c>
      <c r="AE2539" t="s">
        <v>120</v>
      </c>
      <c r="AG2539" t="s">
        <v>121</v>
      </c>
    </row>
    <row r="2540" spans="1:33" x14ac:dyDescent="0.25">
      <c r="A2540" t="str">
        <f>"1235224239"</f>
        <v>1235224239</v>
      </c>
      <c r="B2540" t="str">
        <f>"01537255"</f>
        <v>01537255</v>
      </c>
      <c r="C2540" t="s">
        <v>14502</v>
      </c>
      <c r="D2540" t="s">
        <v>14503</v>
      </c>
      <c r="E2540" t="s">
        <v>14504</v>
      </c>
      <c r="G2540" t="s">
        <v>14502</v>
      </c>
      <c r="H2540" t="s">
        <v>14505</v>
      </c>
      <c r="J2540" t="s">
        <v>14506</v>
      </c>
      <c r="L2540" t="s">
        <v>112</v>
      </c>
      <c r="M2540" t="s">
        <v>113</v>
      </c>
      <c r="R2540" t="s">
        <v>14507</v>
      </c>
      <c r="W2540" t="s">
        <v>14504</v>
      </c>
      <c r="X2540" t="s">
        <v>14508</v>
      </c>
      <c r="Y2540" t="s">
        <v>326</v>
      </c>
      <c r="Z2540" t="s">
        <v>117</v>
      </c>
      <c r="AA2540" t="str">
        <f>"14127-2330"</f>
        <v>14127-2330</v>
      </c>
      <c r="AB2540" t="s">
        <v>1755</v>
      </c>
      <c r="AC2540" t="s">
        <v>119</v>
      </c>
      <c r="AD2540" t="s">
        <v>113</v>
      </c>
      <c r="AE2540" t="s">
        <v>120</v>
      </c>
      <c r="AG2540" t="s">
        <v>121</v>
      </c>
    </row>
    <row r="2541" spans="1:33" x14ac:dyDescent="0.25">
      <c r="A2541" t="str">
        <f>"1275524316"</f>
        <v>1275524316</v>
      </c>
      <c r="B2541" t="str">
        <f>"01031896"</f>
        <v>01031896</v>
      </c>
      <c r="C2541" t="s">
        <v>14509</v>
      </c>
      <c r="D2541" t="s">
        <v>14510</v>
      </c>
      <c r="E2541" t="s">
        <v>14511</v>
      </c>
      <c r="G2541" t="s">
        <v>14509</v>
      </c>
      <c r="H2541" t="s">
        <v>707</v>
      </c>
      <c r="J2541" t="s">
        <v>14512</v>
      </c>
      <c r="L2541" t="s">
        <v>142</v>
      </c>
      <c r="M2541" t="s">
        <v>113</v>
      </c>
      <c r="R2541" t="s">
        <v>14513</v>
      </c>
      <c r="W2541" t="s">
        <v>14511</v>
      </c>
      <c r="X2541" t="s">
        <v>1648</v>
      </c>
      <c r="Y2541" t="s">
        <v>116</v>
      </c>
      <c r="Z2541" t="s">
        <v>117</v>
      </c>
      <c r="AA2541" t="str">
        <f>"14214-2648"</f>
        <v>14214-2648</v>
      </c>
      <c r="AB2541" t="s">
        <v>634</v>
      </c>
      <c r="AC2541" t="s">
        <v>119</v>
      </c>
      <c r="AD2541" t="s">
        <v>113</v>
      </c>
      <c r="AE2541" t="s">
        <v>120</v>
      </c>
      <c r="AG2541" t="s">
        <v>121</v>
      </c>
    </row>
    <row r="2542" spans="1:33" x14ac:dyDescent="0.25">
      <c r="A2542" t="str">
        <f>"1275527004"</f>
        <v>1275527004</v>
      </c>
      <c r="B2542" t="str">
        <f>"01484748"</f>
        <v>01484748</v>
      </c>
      <c r="C2542" t="s">
        <v>14514</v>
      </c>
      <c r="D2542" t="s">
        <v>14515</v>
      </c>
      <c r="E2542" t="s">
        <v>14516</v>
      </c>
      <c r="G2542" t="s">
        <v>14514</v>
      </c>
      <c r="H2542" t="s">
        <v>2702</v>
      </c>
      <c r="J2542" t="s">
        <v>14517</v>
      </c>
      <c r="L2542" t="s">
        <v>142</v>
      </c>
      <c r="M2542" t="s">
        <v>113</v>
      </c>
      <c r="R2542" t="s">
        <v>14518</v>
      </c>
      <c r="W2542" t="s">
        <v>14516</v>
      </c>
      <c r="X2542" t="s">
        <v>14519</v>
      </c>
      <c r="Y2542" t="s">
        <v>240</v>
      </c>
      <c r="Z2542" t="s">
        <v>117</v>
      </c>
      <c r="AA2542" t="str">
        <f>"14221-7889"</f>
        <v>14221-7889</v>
      </c>
      <c r="AB2542" t="s">
        <v>118</v>
      </c>
      <c r="AC2542" t="s">
        <v>119</v>
      </c>
      <c r="AD2542" t="s">
        <v>113</v>
      </c>
      <c r="AE2542" t="s">
        <v>120</v>
      </c>
      <c r="AG2542" t="s">
        <v>121</v>
      </c>
    </row>
    <row r="2543" spans="1:33" x14ac:dyDescent="0.25">
      <c r="A2543" t="str">
        <f>"1275561094"</f>
        <v>1275561094</v>
      </c>
      <c r="B2543" t="str">
        <f>"01248604"</f>
        <v>01248604</v>
      </c>
      <c r="C2543" t="s">
        <v>14520</v>
      </c>
      <c r="D2543" t="s">
        <v>14521</v>
      </c>
      <c r="E2543" t="s">
        <v>14522</v>
      </c>
      <c r="L2543" t="s">
        <v>142</v>
      </c>
      <c r="M2543" t="s">
        <v>113</v>
      </c>
      <c r="R2543" t="s">
        <v>14523</v>
      </c>
      <c r="W2543" t="s">
        <v>14522</v>
      </c>
      <c r="X2543" t="s">
        <v>253</v>
      </c>
      <c r="Y2543" t="s">
        <v>116</v>
      </c>
      <c r="Z2543" t="s">
        <v>117</v>
      </c>
      <c r="AA2543" t="str">
        <f>"14215-3021"</f>
        <v>14215-3021</v>
      </c>
      <c r="AB2543" t="s">
        <v>118</v>
      </c>
      <c r="AC2543" t="s">
        <v>119</v>
      </c>
      <c r="AD2543" t="s">
        <v>113</v>
      </c>
      <c r="AE2543" t="s">
        <v>120</v>
      </c>
      <c r="AG2543" t="s">
        <v>121</v>
      </c>
    </row>
    <row r="2544" spans="1:33" x14ac:dyDescent="0.25">
      <c r="A2544" t="str">
        <f>"1093788432"</f>
        <v>1093788432</v>
      </c>
      <c r="B2544" t="str">
        <f>"02564047"</f>
        <v>02564047</v>
      </c>
      <c r="C2544" t="s">
        <v>14524</v>
      </c>
      <c r="D2544" t="s">
        <v>14525</v>
      </c>
      <c r="E2544" t="s">
        <v>14526</v>
      </c>
      <c r="G2544" t="s">
        <v>14524</v>
      </c>
      <c r="H2544" t="s">
        <v>630</v>
      </c>
      <c r="J2544" t="s">
        <v>14527</v>
      </c>
      <c r="L2544" t="s">
        <v>142</v>
      </c>
      <c r="M2544" t="s">
        <v>113</v>
      </c>
      <c r="R2544" t="s">
        <v>14528</v>
      </c>
      <c r="W2544" t="s">
        <v>14526</v>
      </c>
      <c r="X2544" t="s">
        <v>253</v>
      </c>
      <c r="Y2544" t="s">
        <v>116</v>
      </c>
      <c r="Z2544" t="s">
        <v>117</v>
      </c>
      <c r="AA2544" t="str">
        <f>"14215-3021"</f>
        <v>14215-3021</v>
      </c>
      <c r="AB2544" t="s">
        <v>118</v>
      </c>
      <c r="AC2544" t="s">
        <v>119</v>
      </c>
      <c r="AD2544" t="s">
        <v>113</v>
      </c>
      <c r="AE2544" t="s">
        <v>120</v>
      </c>
      <c r="AG2544" t="s">
        <v>121</v>
      </c>
    </row>
    <row r="2545" spans="1:33" x14ac:dyDescent="0.25">
      <c r="A2545" t="str">
        <f>"1093792483"</f>
        <v>1093792483</v>
      </c>
      <c r="B2545" t="str">
        <f>"03131317"</f>
        <v>03131317</v>
      </c>
      <c r="C2545" t="s">
        <v>14529</v>
      </c>
      <c r="D2545" t="s">
        <v>14530</v>
      </c>
      <c r="E2545" t="s">
        <v>14531</v>
      </c>
      <c r="G2545" t="s">
        <v>14532</v>
      </c>
      <c r="H2545" t="s">
        <v>14533</v>
      </c>
      <c r="J2545" t="s">
        <v>14534</v>
      </c>
      <c r="L2545" t="s">
        <v>142</v>
      </c>
      <c r="M2545" t="s">
        <v>113</v>
      </c>
      <c r="R2545" t="s">
        <v>14535</v>
      </c>
      <c r="W2545" t="s">
        <v>14531</v>
      </c>
      <c r="X2545" t="s">
        <v>7792</v>
      </c>
      <c r="Y2545" t="s">
        <v>116</v>
      </c>
      <c r="Z2545" t="s">
        <v>117</v>
      </c>
      <c r="AA2545" t="str">
        <f>"14209-2102"</f>
        <v>14209-2102</v>
      </c>
      <c r="AB2545" t="s">
        <v>118</v>
      </c>
      <c r="AC2545" t="s">
        <v>119</v>
      </c>
      <c r="AD2545" t="s">
        <v>113</v>
      </c>
      <c r="AE2545" t="s">
        <v>120</v>
      </c>
      <c r="AG2545" t="s">
        <v>121</v>
      </c>
    </row>
    <row r="2546" spans="1:33" x14ac:dyDescent="0.25">
      <c r="A2546" t="str">
        <f>"1093794836"</f>
        <v>1093794836</v>
      </c>
      <c r="B2546" t="str">
        <f>"02684733"</f>
        <v>02684733</v>
      </c>
      <c r="C2546" t="s">
        <v>14536</v>
      </c>
      <c r="D2546" t="s">
        <v>14537</v>
      </c>
      <c r="E2546" t="s">
        <v>14538</v>
      </c>
      <c r="G2546" t="s">
        <v>14536</v>
      </c>
      <c r="H2546" t="s">
        <v>205</v>
      </c>
      <c r="J2546" t="s">
        <v>14539</v>
      </c>
      <c r="L2546" t="s">
        <v>142</v>
      </c>
      <c r="M2546" t="s">
        <v>113</v>
      </c>
      <c r="R2546" t="s">
        <v>14540</v>
      </c>
      <c r="W2546" t="s">
        <v>14538</v>
      </c>
      <c r="X2546" t="s">
        <v>14541</v>
      </c>
      <c r="Y2546" t="s">
        <v>240</v>
      </c>
      <c r="Z2546" t="s">
        <v>117</v>
      </c>
      <c r="AA2546" t="str">
        <f>"14221-4836"</f>
        <v>14221-4836</v>
      </c>
      <c r="AB2546" t="s">
        <v>118</v>
      </c>
      <c r="AC2546" t="s">
        <v>119</v>
      </c>
      <c r="AD2546" t="s">
        <v>113</v>
      </c>
      <c r="AE2546" t="s">
        <v>120</v>
      </c>
      <c r="AG2546" t="s">
        <v>121</v>
      </c>
    </row>
    <row r="2547" spans="1:33" x14ac:dyDescent="0.25">
      <c r="A2547" t="str">
        <f>"1093799157"</f>
        <v>1093799157</v>
      </c>
      <c r="B2547" t="str">
        <f>"00796781"</f>
        <v>00796781</v>
      </c>
      <c r="C2547" t="s">
        <v>14542</v>
      </c>
      <c r="D2547" t="s">
        <v>14543</v>
      </c>
      <c r="E2547" t="s">
        <v>14544</v>
      </c>
      <c r="G2547" t="s">
        <v>14542</v>
      </c>
      <c r="H2547" t="s">
        <v>188</v>
      </c>
      <c r="J2547" t="s">
        <v>14545</v>
      </c>
      <c r="L2547" t="s">
        <v>142</v>
      </c>
      <c r="M2547" t="s">
        <v>113</v>
      </c>
      <c r="R2547" t="s">
        <v>14546</v>
      </c>
      <c r="W2547" t="s">
        <v>14544</v>
      </c>
      <c r="X2547" t="s">
        <v>191</v>
      </c>
      <c r="Y2547" t="s">
        <v>192</v>
      </c>
      <c r="Z2547" t="s">
        <v>117</v>
      </c>
      <c r="AA2547" t="str">
        <f>"14020-2202"</f>
        <v>14020-2202</v>
      </c>
      <c r="AB2547" t="s">
        <v>118</v>
      </c>
      <c r="AC2547" t="s">
        <v>119</v>
      </c>
      <c r="AD2547" t="s">
        <v>113</v>
      </c>
      <c r="AE2547" t="s">
        <v>120</v>
      </c>
      <c r="AG2547" t="s">
        <v>121</v>
      </c>
    </row>
    <row r="2548" spans="1:33" x14ac:dyDescent="0.25">
      <c r="A2548" t="str">
        <f>"1093800476"</f>
        <v>1093800476</v>
      </c>
      <c r="B2548" t="str">
        <f>"01747144"</f>
        <v>01747144</v>
      </c>
      <c r="C2548" t="s">
        <v>14547</v>
      </c>
      <c r="D2548" t="s">
        <v>14548</v>
      </c>
      <c r="E2548" t="s">
        <v>14549</v>
      </c>
      <c r="G2548" t="s">
        <v>14547</v>
      </c>
      <c r="H2548" t="s">
        <v>272</v>
      </c>
      <c r="J2548" t="s">
        <v>14550</v>
      </c>
      <c r="L2548" t="s">
        <v>142</v>
      </c>
      <c r="M2548" t="s">
        <v>199</v>
      </c>
      <c r="R2548" t="s">
        <v>14551</v>
      </c>
      <c r="W2548" t="s">
        <v>14549</v>
      </c>
      <c r="X2548" t="s">
        <v>966</v>
      </c>
      <c r="Y2548" t="s">
        <v>116</v>
      </c>
      <c r="Z2548" t="s">
        <v>117</v>
      </c>
      <c r="AA2548" t="str">
        <f>"14207-1816"</f>
        <v>14207-1816</v>
      </c>
      <c r="AB2548" t="s">
        <v>118</v>
      </c>
      <c r="AC2548" t="s">
        <v>119</v>
      </c>
      <c r="AD2548" t="s">
        <v>113</v>
      </c>
      <c r="AE2548" t="s">
        <v>120</v>
      </c>
      <c r="AG2548" t="s">
        <v>121</v>
      </c>
    </row>
    <row r="2549" spans="1:33" x14ac:dyDescent="0.25">
      <c r="A2549" t="str">
        <f>"1093825721"</f>
        <v>1093825721</v>
      </c>
      <c r="B2549" t="str">
        <f>"01316201"</f>
        <v>01316201</v>
      </c>
      <c r="C2549" t="s">
        <v>14552</v>
      </c>
      <c r="D2549" t="s">
        <v>14553</v>
      </c>
      <c r="E2549" t="s">
        <v>14554</v>
      </c>
      <c r="G2549" t="s">
        <v>14552</v>
      </c>
      <c r="H2549" t="s">
        <v>953</v>
      </c>
      <c r="J2549" t="s">
        <v>14555</v>
      </c>
      <c r="L2549" t="s">
        <v>142</v>
      </c>
      <c r="M2549" t="s">
        <v>113</v>
      </c>
      <c r="R2549" t="s">
        <v>14556</v>
      </c>
      <c r="W2549" t="s">
        <v>14554</v>
      </c>
      <c r="X2549" t="s">
        <v>14557</v>
      </c>
      <c r="Y2549" t="s">
        <v>326</v>
      </c>
      <c r="Z2549" t="s">
        <v>117</v>
      </c>
      <c r="AA2549" t="str">
        <f>"14127-1239"</f>
        <v>14127-1239</v>
      </c>
      <c r="AB2549" t="s">
        <v>118</v>
      </c>
      <c r="AC2549" t="s">
        <v>119</v>
      </c>
      <c r="AD2549" t="s">
        <v>113</v>
      </c>
      <c r="AE2549" t="s">
        <v>120</v>
      </c>
      <c r="AG2549" t="s">
        <v>121</v>
      </c>
    </row>
    <row r="2550" spans="1:33" x14ac:dyDescent="0.25">
      <c r="A2550" t="str">
        <f>"1093878845"</f>
        <v>1093878845</v>
      </c>
      <c r="B2550" t="str">
        <f>"00616931"</f>
        <v>00616931</v>
      </c>
      <c r="C2550" t="s">
        <v>14558</v>
      </c>
      <c r="D2550" t="s">
        <v>14559</v>
      </c>
      <c r="E2550" t="s">
        <v>14560</v>
      </c>
      <c r="G2550" t="s">
        <v>14558</v>
      </c>
      <c r="H2550" t="s">
        <v>2037</v>
      </c>
      <c r="J2550" t="s">
        <v>14561</v>
      </c>
      <c r="L2550" t="s">
        <v>112</v>
      </c>
      <c r="M2550" t="s">
        <v>113</v>
      </c>
      <c r="R2550" t="s">
        <v>14562</v>
      </c>
      <c r="W2550" t="s">
        <v>14560</v>
      </c>
      <c r="X2550" t="s">
        <v>216</v>
      </c>
      <c r="Y2550" t="s">
        <v>116</v>
      </c>
      <c r="Z2550" t="s">
        <v>117</v>
      </c>
      <c r="AA2550" t="str">
        <f>"14222-2006"</f>
        <v>14222-2006</v>
      </c>
      <c r="AB2550" t="s">
        <v>634</v>
      </c>
      <c r="AC2550" t="s">
        <v>119</v>
      </c>
      <c r="AD2550" t="s">
        <v>113</v>
      </c>
      <c r="AE2550" t="s">
        <v>120</v>
      </c>
      <c r="AG2550" t="s">
        <v>121</v>
      </c>
    </row>
    <row r="2551" spans="1:33" x14ac:dyDescent="0.25">
      <c r="A2551" t="str">
        <f>"1093896797"</f>
        <v>1093896797</v>
      </c>
      <c r="C2551" t="s">
        <v>14563</v>
      </c>
      <c r="G2551" t="s">
        <v>14564</v>
      </c>
      <c r="H2551" t="s">
        <v>1538</v>
      </c>
      <c r="J2551" t="s">
        <v>352</v>
      </c>
      <c r="K2551" t="s">
        <v>303</v>
      </c>
      <c r="L2551" t="s">
        <v>229</v>
      </c>
      <c r="M2551" t="s">
        <v>113</v>
      </c>
      <c r="R2551" t="s">
        <v>14565</v>
      </c>
      <c r="S2551" t="s">
        <v>409</v>
      </c>
      <c r="T2551" t="s">
        <v>116</v>
      </c>
      <c r="U2551" t="s">
        <v>117</v>
      </c>
      <c r="V2551" t="str">
        <f>"142152814"</f>
        <v>142152814</v>
      </c>
      <c r="AC2551" t="s">
        <v>119</v>
      </c>
      <c r="AD2551" t="s">
        <v>113</v>
      </c>
      <c r="AE2551" t="s">
        <v>306</v>
      </c>
      <c r="AG2551" t="s">
        <v>121</v>
      </c>
    </row>
    <row r="2552" spans="1:33" x14ac:dyDescent="0.25">
      <c r="A2552" t="str">
        <f>"1093913519"</f>
        <v>1093913519</v>
      </c>
      <c r="B2552" t="str">
        <f>"03306076"</f>
        <v>03306076</v>
      </c>
      <c r="C2552" t="s">
        <v>14566</v>
      </c>
      <c r="D2552" t="s">
        <v>14567</v>
      </c>
      <c r="E2552" t="s">
        <v>14568</v>
      </c>
      <c r="G2552" t="s">
        <v>14566</v>
      </c>
      <c r="H2552" t="s">
        <v>8175</v>
      </c>
      <c r="J2552" t="s">
        <v>14569</v>
      </c>
      <c r="L2552" t="s">
        <v>142</v>
      </c>
      <c r="M2552" t="s">
        <v>113</v>
      </c>
      <c r="R2552" t="s">
        <v>14570</v>
      </c>
      <c r="W2552" t="s">
        <v>14568</v>
      </c>
      <c r="X2552" t="s">
        <v>216</v>
      </c>
      <c r="Y2552" t="s">
        <v>116</v>
      </c>
      <c r="Z2552" t="s">
        <v>117</v>
      </c>
      <c r="AA2552" t="str">
        <f>"14222-2006"</f>
        <v>14222-2006</v>
      </c>
      <c r="AB2552" t="s">
        <v>118</v>
      </c>
      <c r="AC2552" t="s">
        <v>119</v>
      </c>
      <c r="AD2552" t="s">
        <v>113</v>
      </c>
      <c r="AE2552" t="s">
        <v>120</v>
      </c>
      <c r="AG2552" t="s">
        <v>121</v>
      </c>
    </row>
    <row r="2553" spans="1:33" x14ac:dyDescent="0.25">
      <c r="A2553" t="str">
        <f>"1093937765"</f>
        <v>1093937765</v>
      </c>
      <c r="B2553" t="str">
        <f>"02879321"</f>
        <v>02879321</v>
      </c>
      <c r="C2553" t="s">
        <v>14571</v>
      </c>
      <c r="D2553" t="s">
        <v>14572</v>
      </c>
      <c r="E2553" t="s">
        <v>14573</v>
      </c>
      <c r="G2553" t="s">
        <v>14571</v>
      </c>
      <c r="H2553" t="s">
        <v>14574</v>
      </c>
      <c r="J2553" t="s">
        <v>14575</v>
      </c>
      <c r="L2553" t="s">
        <v>150</v>
      </c>
      <c r="M2553" t="s">
        <v>199</v>
      </c>
      <c r="R2553" t="s">
        <v>14576</v>
      </c>
      <c r="W2553" t="s">
        <v>14573</v>
      </c>
      <c r="X2553" t="s">
        <v>4423</v>
      </c>
      <c r="Y2553" t="s">
        <v>268</v>
      </c>
      <c r="Z2553" t="s">
        <v>117</v>
      </c>
      <c r="AA2553" t="str">
        <f>"14150-9405"</f>
        <v>14150-9405</v>
      </c>
      <c r="AB2553" t="s">
        <v>118</v>
      </c>
      <c r="AC2553" t="s">
        <v>119</v>
      </c>
      <c r="AD2553" t="s">
        <v>113</v>
      </c>
      <c r="AE2553" t="s">
        <v>120</v>
      </c>
      <c r="AG2553" t="s">
        <v>121</v>
      </c>
    </row>
    <row r="2554" spans="1:33" x14ac:dyDescent="0.25">
      <c r="A2554" t="str">
        <f>"1306894928"</f>
        <v>1306894928</v>
      </c>
      <c r="B2554" t="str">
        <f>"02078435"</f>
        <v>02078435</v>
      </c>
      <c r="C2554" t="s">
        <v>14577</v>
      </c>
      <c r="D2554" t="s">
        <v>14578</v>
      </c>
      <c r="E2554" t="s">
        <v>14579</v>
      </c>
      <c r="G2554" t="s">
        <v>14577</v>
      </c>
      <c r="J2554" t="s">
        <v>14580</v>
      </c>
      <c r="L2554" t="s">
        <v>150</v>
      </c>
      <c r="M2554" t="s">
        <v>113</v>
      </c>
      <c r="R2554" t="s">
        <v>14581</v>
      </c>
      <c r="W2554" t="s">
        <v>14579</v>
      </c>
      <c r="X2554" t="s">
        <v>2827</v>
      </c>
      <c r="Y2554" t="s">
        <v>240</v>
      </c>
      <c r="Z2554" t="s">
        <v>117</v>
      </c>
      <c r="AA2554" t="str">
        <f>"14221-2780"</f>
        <v>14221-2780</v>
      </c>
      <c r="AB2554" t="s">
        <v>118</v>
      </c>
      <c r="AC2554" t="s">
        <v>119</v>
      </c>
      <c r="AD2554" t="s">
        <v>113</v>
      </c>
      <c r="AE2554" t="s">
        <v>120</v>
      </c>
      <c r="AG2554" t="s">
        <v>121</v>
      </c>
    </row>
    <row r="2555" spans="1:33" x14ac:dyDescent="0.25">
      <c r="A2555" t="str">
        <f>"1306895800"</f>
        <v>1306895800</v>
      </c>
      <c r="B2555" t="str">
        <f>"01354989"</f>
        <v>01354989</v>
      </c>
      <c r="C2555" t="s">
        <v>14582</v>
      </c>
      <c r="D2555" t="s">
        <v>14583</v>
      </c>
      <c r="E2555" t="s">
        <v>14584</v>
      </c>
      <c r="G2555" t="s">
        <v>14582</v>
      </c>
      <c r="H2555" t="s">
        <v>205</v>
      </c>
      <c r="J2555" t="s">
        <v>14585</v>
      </c>
      <c r="L2555" t="s">
        <v>112</v>
      </c>
      <c r="M2555" t="s">
        <v>113</v>
      </c>
      <c r="R2555" t="s">
        <v>14586</v>
      </c>
      <c r="W2555" t="s">
        <v>14584</v>
      </c>
      <c r="X2555" t="s">
        <v>2607</v>
      </c>
      <c r="Y2555" t="s">
        <v>116</v>
      </c>
      <c r="Z2555" t="s">
        <v>117</v>
      </c>
      <c r="AA2555" t="str">
        <f>"14203-1149"</f>
        <v>14203-1149</v>
      </c>
      <c r="AB2555" t="s">
        <v>118</v>
      </c>
      <c r="AC2555" t="s">
        <v>119</v>
      </c>
      <c r="AD2555" t="s">
        <v>113</v>
      </c>
      <c r="AE2555" t="s">
        <v>120</v>
      </c>
      <c r="AG2555" t="s">
        <v>121</v>
      </c>
    </row>
    <row r="2556" spans="1:33" x14ac:dyDescent="0.25">
      <c r="A2556" t="str">
        <f>"1306898762"</f>
        <v>1306898762</v>
      </c>
      <c r="B2556" t="str">
        <f>"02862453"</f>
        <v>02862453</v>
      </c>
      <c r="C2556" t="s">
        <v>14587</v>
      </c>
      <c r="D2556" t="s">
        <v>14588</v>
      </c>
      <c r="E2556" t="s">
        <v>14589</v>
      </c>
      <c r="G2556" t="s">
        <v>14587</v>
      </c>
      <c r="H2556" t="s">
        <v>14590</v>
      </c>
      <c r="J2556" t="s">
        <v>14591</v>
      </c>
      <c r="L2556" t="s">
        <v>112</v>
      </c>
      <c r="M2556" t="s">
        <v>113</v>
      </c>
      <c r="R2556" t="s">
        <v>14592</v>
      </c>
      <c r="W2556" t="s">
        <v>14593</v>
      </c>
      <c r="X2556" t="s">
        <v>778</v>
      </c>
      <c r="Y2556" t="s">
        <v>240</v>
      </c>
      <c r="Z2556" t="s">
        <v>117</v>
      </c>
      <c r="AA2556" t="str">
        <f>"14221-8214"</f>
        <v>14221-8214</v>
      </c>
      <c r="AB2556" t="s">
        <v>118</v>
      </c>
      <c r="AC2556" t="s">
        <v>119</v>
      </c>
      <c r="AD2556" t="s">
        <v>113</v>
      </c>
      <c r="AE2556" t="s">
        <v>120</v>
      </c>
      <c r="AG2556" t="s">
        <v>121</v>
      </c>
    </row>
    <row r="2557" spans="1:33" x14ac:dyDescent="0.25">
      <c r="A2557" t="str">
        <f>"1306899380"</f>
        <v>1306899380</v>
      </c>
      <c r="B2557" t="str">
        <f>"00611885"</f>
        <v>00611885</v>
      </c>
      <c r="C2557" t="s">
        <v>14594</v>
      </c>
      <c r="D2557" t="s">
        <v>14595</v>
      </c>
      <c r="E2557" t="s">
        <v>14596</v>
      </c>
      <c r="G2557" t="s">
        <v>14594</v>
      </c>
      <c r="H2557" t="s">
        <v>5158</v>
      </c>
      <c r="J2557" t="s">
        <v>14597</v>
      </c>
      <c r="L2557" t="s">
        <v>112</v>
      </c>
      <c r="M2557" t="s">
        <v>113</v>
      </c>
      <c r="R2557" t="s">
        <v>14598</v>
      </c>
      <c r="W2557" t="s">
        <v>14596</v>
      </c>
      <c r="X2557" t="s">
        <v>494</v>
      </c>
      <c r="Y2557" t="s">
        <v>240</v>
      </c>
      <c r="Z2557" t="s">
        <v>117</v>
      </c>
      <c r="AA2557" t="str">
        <f>"14221-5994"</f>
        <v>14221-5994</v>
      </c>
      <c r="AB2557" t="s">
        <v>118</v>
      </c>
      <c r="AC2557" t="s">
        <v>119</v>
      </c>
      <c r="AD2557" t="s">
        <v>113</v>
      </c>
      <c r="AE2557" t="s">
        <v>120</v>
      </c>
      <c r="AG2557" t="s">
        <v>121</v>
      </c>
    </row>
    <row r="2558" spans="1:33" x14ac:dyDescent="0.25">
      <c r="A2558" t="str">
        <f>"1073569877"</f>
        <v>1073569877</v>
      </c>
      <c r="B2558" t="str">
        <f>"02070799"</f>
        <v>02070799</v>
      </c>
      <c r="C2558" t="s">
        <v>14599</v>
      </c>
      <c r="D2558" t="s">
        <v>14600</v>
      </c>
      <c r="E2558" t="s">
        <v>14601</v>
      </c>
      <c r="G2558" t="s">
        <v>14602</v>
      </c>
      <c r="H2558" t="s">
        <v>7245</v>
      </c>
      <c r="J2558" t="s">
        <v>14603</v>
      </c>
      <c r="L2558" t="s">
        <v>142</v>
      </c>
      <c r="M2558" t="s">
        <v>113</v>
      </c>
      <c r="R2558" t="s">
        <v>14604</v>
      </c>
      <c r="W2558" t="s">
        <v>14601</v>
      </c>
      <c r="X2558" t="s">
        <v>14605</v>
      </c>
      <c r="Y2558" t="s">
        <v>2762</v>
      </c>
      <c r="Z2558" t="s">
        <v>117</v>
      </c>
      <c r="AA2558" t="str">
        <f>"14618-2663"</f>
        <v>14618-2663</v>
      </c>
      <c r="AB2558" t="s">
        <v>118</v>
      </c>
      <c r="AC2558" t="s">
        <v>119</v>
      </c>
      <c r="AD2558" t="s">
        <v>113</v>
      </c>
      <c r="AE2558" t="s">
        <v>120</v>
      </c>
      <c r="AG2558" t="s">
        <v>121</v>
      </c>
    </row>
    <row r="2559" spans="1:33" x14ac:dyDescent="0.25">
      <c r="A2559" t="str">
        <f>"1073578175"</f>
        <v>1073578175</v>
      </c>
      <c r="B2559" t="str">
        <f>"01577086"</f>
        <v>01577086</v>
      </c>
      <c r="C2559" t="s">
        <v>14606</v>
      </c>
      <c r="D2559" t="s">
        <v>14607</v>
      </c>
      <c r="E2559" t="s">
        <v>14608</v>
      </c>
      <c r="G2559" t="s">
        <v>14606</v>
      </c>
      <c r="H2559" t="s">
        <v>205</v>
      </c>
      <c r="J2559" t="s">
        <v>14609</v>
      </c>
      <c r="L2559" t="s">
        <v>150</v>
      </c>
      <c r="M2559" t="s">
        <v>113</v>
      </c>
      <c r="R2559" t="s">
        <v>14610</v>
      </c>
      <c r="W2559" t="s">
        <v>14608</v>
      </c>
      <c r="X2559" t="s">
        <v>6289</v>
      </c>
      <c r="Y2559" t="s">
        <v>240</v>
      </c>
      <c r="Z2559" t="s">
        <v>117</v>
      </c>
      <c r="AA2559" t="str">
        <f>"14221-8216"</f>
        <v>14221-8216</v>
      </c>
      <c r="AB2559" t="s">
        <v>118</v>
      </c>
      <c r="AC2559" t="s">
        <v>119</v>
      </c>
      <c r="AD2559" t="s">
        <v>113</v>
      </c>
      <c r="AE2559" t="s">
        <v>120</v>
      </c>
      <c r="AG2559" t="s">
        <v>121</v>
      </c>
    </row>
    <row r="2560" spans="1:33" x14ac:dyDescent="0.25">
      <c r="A2560" t="str">
        <f>"1073579165"</f>
        <v>1073579165</v>
      </c>
      <c r="B2560" t="str">
        <f>"01087952"</f>
        <v>01087952</v>
      </c>
      <c r="C2560" t="s">
        <v>14611</v>
      </c>
      <c r="D2560" t="s">
        <v>14612</v>
      </c>
      <c r="E2560" t="s">
        <v>14613</v>
      </c>
      <c r="G2560" t="s">
        <v>14611</v>
      </c>
      <c r="H2560" t="s">
        <v>1724</v>
      </c>
      <c r="J2560" t="s">
        <v>14614</v>
      </c>
      <c r="L2560" t="s">
        <v>150</v>
      </c>
      <c r="M2560" t="s">
        <v>199</v>
      </c>
      <c r="R2560" t="s">
        <v>14615</v>
      </c>
      <c r="W2560" t="s">
        <v>14613</v>
      </c>
      <c r="X2560" t="s">
        <v>216</v>
      </c>
      <c r="Y2560" t="s">
        <v>116</v>
      </c>
      <c r="Z2560" t="s">
        <v>117</v>
      </c>
      <c r="AA2560" t="str">
        <f>"14222-2099"</f>
        <v>14222-2099</v>
      </c>
      <c r="AB2560" t="s">
        <v>118</v>
      </c>
      <c r="AC2560" t="s">
        <v>119</v>
      </c>
      <c r="AD2560" t="s">
        <v>113</v>
      </c>
      <c r="AE2560" t="s">
        <v>120</v>
      </c>
      <c r="AG2560" t="s">
        <v>121</v>
      </c>
    </row>
    <row r="2561" spans="1:33" x14ac:dyDescent="0.25">
      <c r="A2561" t="str">
        <f>"1073582243"</f>
        <v>1073582243</v>
      </c>
      <c r="B2561" t="str">
        <f>"01440133"</f>
        <v>01440133</v>
      </c>
      <c r="C2561" t="s">
        <v>14616</v>
      </c>
      <c r="D2561" t="s">
        <v>14617</v>
      </c>
      <c r="E2561" t="s">
        <v>14618</v>
      </c>
      <c r="G2561" t="s">
        <v>14616</v>
      </c>
      <c r="H2561" t="s">
        <v>5151</v>
      </c>
      <c r="J2561" t="s">
        <v>14619</v>
      </c>
      <c r="L2561" t="s">
        <v>112</v>
      </c>
      <c r="M2561" t="s">
        <v>199</v>
      </c>
      <c r="R2561" t="s">
        <v>14620</v>
      </c>
      <c r="W2561" t="s">
        <v>14618</v>
      </c>
      <c r="X2561" t="s">
        <v>216</v>
      </c>
      <c r="Y2561" t="s">
        <v>116</v>
      </c>
      <c r="Z2561" t="s">
        <v>117</v>
      </c>
      <c r="AA2561" t="str">
        <f>"14222-2006"</f>
        <v>14222-2006</v>
      </c>
      <c r="AB2561" t="s">
        <v>118</v>
      </c>
      <c r="AC2561" t="s">
        <v>119</v>
      </c>
      <c r="AD2561" t="s">
        <v>113</v>
      </c>
      <c r="AE2561" t="s">
        <v>120</v>
      </c>
      <c r="AG2561" t="s">
        <v>121</v>
      </c>
    </row>
    <row r="2562" spans="1:33" x14ac:dyDescent="0.25">
      <c r="A2562" t="str">
        <f>"1073595872"</f>
        <v>1073595872</v>
      </c>
      <c r="B2562" t="str">
        <f>"01752134"</f>
        <v>01752134</v>
      </c>
      <c r="C2562" t="s">
        <v>14621</v>
      </c>
      <c r="D2562" t="s">
        <v>14622</v>
      </c>
      <c r="E2562" t="s">
        <v>14623</v>
      </c>
      <c r="G2562" t="s">
        <v>14621</v>
      </c>
      <c r="H2562" t="s">
        <v>1272</v>
      </c>
      <c r="J2562" t="s">
        <v>14624</v>
      </c>
      <c r="L2562" t="s">
        <v>142</v>
      </c>
      <c r="M2562" t="s">
        <v>113</v>
      </c>
      <c r="R2562" t="s">
        <v>14625</v>
      </c>
      <c r="W2562" t="s">
        <v>14623</v>
      </c>
      <c r="X2562" t="s">
        <v>1311</v>
      </c>
      <c r="Y2562" t="s">
        <v>1312</v>
      </c>
      <c r="Z2562" t="s">
        <v>117</v>
      </c>
      <c r="AA2562" t="str">
        <f>"14226-4567"</f>
        <v>14226-4567</v>
      </c>
      <c r="AB2562" t="s">
        <v>118</v>
      </c>
      <c r="AC2562" t="s">
        <v>119</v>
      </c>
      <c r="AD2562" t="s">
        <v>113</v>
      </c>
      <c r="AE2562" t="s">
        <v>120</v>
      </c>
      <c r="AG2562" t="s">
        <v>121</v>
      </c>
    </row>
    <row r="2563" spans="1:33" x14ac:dyDescent="0.25">
      <c r="A2563" t="str">
        <f>"1073600839"</f>
        <v>1073600839</v>
      </c>
      <c r="B2563" t="str">
        <f>"01757937"</f>
        <v>01757937</v>
      </c>
      <c r="C2563" t="s">
        <v>14626</v>
      </c>
      <c r="D2563" t="s">
        <v>14627</v>
      </c>
      <c r="E2563" t="s">
        <v>14628</v>
      </c>
      <c r="G2563" t="s">
        <v>14626</v>
      </c>
      <c r="J2563" t="s">
        <v>438</v>
      </c>
      <c r="L2563" t="s">
        <v>112</v>
      </c>
      <c r="M2563" t="s">
        <v>113</v>
      </c>
      <c r="R2563" t="s">
        <v>14629</v>
      </c>
      <c r="W2563" t="s">
        <v>14628</v>
      </c>
      <c r="X2563" t="s">
        <v>1994</v>
      </c>
      <c r="Y2563" t="s">
        <v>116</v>
      </c>
      <c r="Z2563" t="s">
        <v>117</v>
      </c>
      <c r="AA2563" t="str">
        <f>"14204-1811"</f>
        <v>14204-1811</v>
      </c>
      <c r="AB2563" t="s">
        <v>118</v>
      </c>
      <c r="AC2563" t="s">
        <v>119</v>
      </c>
      <c r="AD2563" t="s">
        <v>113</v>
      </c>
      <c r="AE2563" t="s">
        <v>120</v>
      </c>
      <c r="AG2563" t="s">
        <v>121</v>
      </c>
    </row>
    <row r="2564" spans="1:33" x14ac:dyDescent="0.25">
      <c r="A2564" t="str">
        <f>"1073606216"</f>
        <v>1073606216</v>
      </c>
      <c r="B2564" t="str">
        <f>"01198461"</f>
        <v>01198461</v>
      </c>
      <c r="C2564" t="s">
        <v>14630</v>
      </c>
      <c r="D2564" t="s">
        <v>14631</v>
      </c>
      <c r="E2564" t="s">
        <v>14632</v>
      </c>
      <c r="G2564" t="s">
        <v>14630</v>
      </c>
      <c r="H2564" t="s">
        <v>14633</v>
      </c>
      <c r="J2564" t="s">
        <v>14634</v>
      </c>
      <c r="L2564" t="s">
        <v>142</v>
      </c>
      <c r="M2564" t="s">
        <v>113</v>
      </c>
      <c r="R2564" t="s">
        <v>14635</v>
      </c>
      <c r="W2564" t="s">
        <v>14636</v>
      </c>
      <c r="X2564" t="s">
        <v>14637</v>
      </c>
      <c r="Y2564" t="s">
        <v>232</v>
      </c>
      <c r="Z2564" t="s">
        <v>117</v>
      </c>
      <c r="AA2564" t="str">
        <f>"10032-3720"</f>
        <v>10032-3720</v>
      </c>
      <c r="AB2564" t="s">
        <v>118</v>
      </c>
      <c r="AC2564" t="s">
        <v>119</v>
      </c>
      <c r="AD2564" t="s">
        <v>113</v>
      </c>
      <c r="AE2564" t="s">
        <v>120</v>
      </c>
      <c r="AG2564" t="s">
        <v>121</v>
      </c>
    </row>
    <row r="2565" spans="1:33" x14ac:dyDescent="0.25">
      <c r="A2565" t="str">
        <f>"1073628244"</f>
        <v>1073628244</v>
      </c>
      <c r="B2565" t="str">
        <f>"02414840"</f>
        <v>02414840</v>
      </c>
      <c r="C2565" t="s">
        <v>14638</v>
      </c>
      <c r="D2565" t="s">
        <v>14639</v>
      </c>
      <c r="E2565" t="s">
        <v>14640</v>
      </c>
      <c r="G2565" t="s">
        <v>14638</v>
      </c>
      <c r="H2565" t="s">
        <v>14641</v>
      </c>
      <c r="J2565" t="s">
        <v>14642</v>
      </c>
      <c r="L2565" t="s">
        <v>142</v>
      </c>
      <c r="M2565" t="s">
        <v>113</v>
      </c>
      <c r="R2565" t="s">
        <v>14643</v>
      </c>
      <c r="W2565" t="s">
        <v>14640</v>
      </c>
      <c r="X2565" t="s">
        <v>14644</v>
      </c>
      <c r="Y2565" t="s">
        <v>240</v>
      </c>
      <c r="Z2565" t="s">
        <v>117</v>
      </c>
      <c r="AA2565" t="str">
        <f>"14221-7385"</f>
        <v>14221-7385</v>
      </c>
      <c r="AB2565" t="s">
        <v>118</v>
      </c>
      <c r="AC2565" t="s">
        <v>119</v>
      </c>
      <c r="AD2565" t="s">
        <v>113</v>
      </c>
      <c r="AE2565" t="s">
        <v>120</v>
      </c>
      <c r="AG2565" t="s">
        <v>121</v>
      </c>
    </row>
    <row r="2566" spans="1:33" x14ac:dyDescent="0.25">
      <c r="A2566" t="str">
        <f>"1114900230"</f>
        <v>1114900230</v>
      </c>
      <c r="B2566" t="str">
        <f>"02597886"</f>
        <v>02597886</v>
      </c>
      <c r="C2566" t="s">
        <v>14645</v>
      </c>
      <c r="D2566" t="s">
        <v>14646</v>
      </c>
      <c r="E2566" t="s">
        <v>14647</v>
      </c>
      <c r="G2566" t="s">
        <v>14648</v>
      </c>
      <c r="H2566" t="s">
        <v>707</v>
      </c>
      <c r="J2566" t="s">
        <v>14649</v>
      </c>
      <c r="L2566" t="s">
        <v>112</v>
      </c>
      <c r="M2566" t="s">
        <v>113</v>
      </c>
      <c r="R2566" t="s">
        <v>14650</v>
      </c>
      <c r="W2566" t="s">
        <v>14647</v>
      </c>
      <c r="X2566" t="s">
        <v>709</v>
      </c>
      <c r="Y2566" t="s">
        <v>116</v>
      </c>
      <c r="Z2566" t="s">
        <v>117</v>
      </c>
      <c r="AA2566" t="str">
        <f>"14263-0001"</f>
        <v>14263-0001</v>
      </c>
      <c r="AB2566" t="s">
        <v>118</v>
      </c>
      <c r="AC2566" t="s">
        <v>119</v>
      </c>
      <c r="AD2566" t="s">
        <v>113</v>
      </c>
      <c r="AE2566" t="s">
        <v>120</v>
      </c>
      <c r="AG2566" t="s">
        <v>121</v>
      </c>
    </row>
    <row r="2567" spans="1:33" x14ac:dyDescent="0.25">
      <c r="A2567" t="str">
        <f>"1114908985"</f>
        <v>1114908985</v>
      </c>
      <c r="B2567" t="str">
        <f>"01960558"</f>
        <v>01960558</v>
      </c>
      <c r="C2567" t="s">
        <v>14651</v>
      </c>
      <c r="D2567" t="s">
        <v>14652</v>
      </c>
      <c r="E2567" t="s">
        <v>14653</v>
      </c>
      <c r="G2567" t="s">
        <v>14654</v>
      </c>
      <c r="H2567" t="s">
        <v>707</v>
      </c>
      <c r="J2567" t="s">
        <v>14655</v>
      </c>
      <c r="L2567" t="s">
        <v>142</v>
      </c>
      <c r="M2567" t="s">
        <v>113</v>
      </c>
      <c r="R2567" t="s">
        <v>14656</v>
      </c>
      <c r="W2567" t="s">
        <v>14653</v>
      </c>
      <c r="X2567" t="s">
        <v>14657</v>
      </c>
      <c r="Y2567" t="s">
        <v>116</v>
      </c>
      <c r="Z2567" t="s">
        <v>117</v>
      </c>
      <c r="AA2567" t="str">
        <f>"14263-0001"</f>
        <v>14263-0001</v>
      </c>
      <c r="AB2567" t="s">
        <v>634</v>
      </c>
      <c r="AC2567" t="s">
        <v>119</v>
      </c>
      <c r="AD2567" t="s">
        <v>113</v>
      </c>
      <c r="AE2567" t="s">
        <v>120</v>
      </c>
      <c r="AG2567" t="s">
        <v>121</v>
      </c>
    </row>
    <row r="2568" spans="1:33" x14ac:dyDescent="0.25">
      <c r="A2568" t="str">
        <f>"1508930983"</f>
        <v>1508930983</v>
      </c>
      <c r="B2568" t="str">
        <f>"02010979"</f>
        <v>02010979</v>
      </c>
      <c r="C2568" t="s">
        <v>14658</v>
      </c>
      <c r="D2568" t="s">
        <v>14659</v>
      </c>
      <c r="E2568" t="s">
        <v>14660</v>
      </c>
      <c r="G2568" t="s">
        <v>14658</v>
      </c>
      <c r="H2568" t="s">
        <v>9222</v>
      </c>
      <c r="J2568" t="s">
        <v>14661</v>
      </c>
      <c r="L2568" t="s">
        <v>142</v>
      </c>
      <c r="M2568" t="s">
        <v>113</v>
      </c>
      <c r="R2568" t="s">
        <v>14662</v>
      </c>
      <c r="W2568" t="s">
        <v>14660</v>
      </c>
      <c r="X2568" t="s">
        <v>8984</v>
      </c>
      <c r="Y2568" t="s">
        <v>116</v>
      </c>
      <c r="Z2568" t="s">
        <v>117</v>
      </c>
      <c r="AA2568" t="str">
        <f>"14215-3021"</f>
        <v>14215-3021</v>
      </c>
      <c r="AB2568" t="s">
        <v>118</v>
      </c>
      <c r="AC2568" t="s">
        <v>119</v>
      </c>
      <c r="AD2568" t="s">
        <v>113</v>
      </c>
      <c r="AE2568" t="s">
        <v>120</v>
      </c>
      <c r="AG2568" t="s">
        <v>121</v>
      </c>
    </row>
    <row r="2569" spans="1:33" x14ac:dyDescent="0.25">
      <c r="A2569" t="str">
        <f>"1508947953"</f>
        <v>1508947953</v>
      </c>
      <c r="B2569" t="str">
        <f>"02345980"</f>
        <v>02345980</v>
      </c>
      <c r="C2569" t="s">
        <v>14663</v>
      </c>
      <c r="D2569" t="s">
        <v>14664</v>
      </c>
      <c r="E2569" t="s">
        <v>14665</v>
      </c>
      <c r="G2569" t="s">
        <v>14666</v>
      </c>
      <c r="J2569" t="s">
        <v>14667</v>
      </c>
      <c r="L2569" t="s">
        <v>112</v>
      </c>
      <c r="M2569" t="s">
        <v>113</v>
      </c>
      <c r="R2569" t="s">
        <v>14665</v>
      </c>
      <c r="W2569" t="s">
        <v>14665</v>
      </c>
      <c r="X2569" t="s">
        <v>14665</v>
      </c>
      <c r="Y2569" t="s">
        <v>14668</v>
      </c>
      <c r="Z2569" t="s">
        <v>117</v>
      </c>
      <c r="AA2569" t="str">
        <f>"14221"</f>
        <v>14221</v>
      </c>
      <c r="AB2569" t="s">
        <v>118</v>
      </c>
      <c r="AC2569" t="s">
        <v>119</v>
      </c>
      <c r="AD2569" t="s">
        <v>113</v>
      </c>
      <c r="AE2569" t="s">
        <v>120</v>
      </c>
      <c r="AG2569" t="s">
        <v>121</v>
      </c>
    </row>
    <row r="2570" spans="1:33" x14ac:dyDescent="0.25">
      <c r="A2570" t="str">
        <f>"1508952573"</f>
        <v>1508952573</v>
      </c>
      <c r="B2570" t="str">
        <f>"02920923"</f>
        <v>02920923</v>
      </c>
      <c r="C2570" t="s">
        <v>14669</v>
      </c>
      <c r="D2570" t="s">
        <v>14670</v>
      </c>
      <c r="E2570" t="s">
        <v>14671</v>
      </c>
      <c r="G2570" t="s">
        <v>14672</v>
      </c>
      <c r="H2570" t="s">
        <v>1507</v>
      </c>
      <c r="L2570" t="s">
        <v>112</v>
      </c>
      <c r="M2570" t="s">
        <v>113</v>
      </c>
      <c r="R2570" t="s">
        <v>14672</v>
      </c>
      <c r="W2570" t="s">
        <v>14671</v>
      </c>
      <c r="X2570" t="s">
        <v>176</v>
      </c>
      <c r="Y2570" t="s">
        <v>116</v>
      </c>
      <c r="Z2570" t="s">
        <v>117</v>
      </c>
      <c r="AA2570" t="str">
        <f>"14203-1126"</f>
        <v>14203-1126</v>
      </c>
      <c r="AB2570" t="s">
        <v>118</v>
      </c>
      <c r="AC2570" t="s">
        <v>119</v>
      </c>
      <c r="AD2570" t="s">
        <v>113</v>
      </c>
      <c r="AE2570" t="s">
        <v>120</v>
      </c>
      <c r="AG2570" t="s">
        <v>121</v>
      </c>
    </row>
    <row r="2571" spans="1:33" x14ac:dyDescent="0.25">
      <c r="A2571" t="str">
        <f>"1508986332"</f>
        <v>1508986332</v>
      </c>
      <c r="B2571" t="str">
        <f>"02878288"</f>
        <v>02878288</v>
      </c>
      <c r="C2571" t="s">
        <v>14673</v>
      </c>
      <c r="D2571" t="s">
        <v>14674</v>
      </c>
      <c r="E2571" t="s">
        <v>14675</v>
      </c>
      <c r="L2571" t="s">
        <v>69</v>
      </c>
      <c r="M2571" t="s">
        <v>113</v>
      </c>
      <c r="R2571" t="s">
        <v>14673</v>
      </c>
      <c r="W2571" t="s">
        <v>14675</v>
      </c>
      <c r="X2571" t="s">
        <v>511</v>
      </c>
      <c r="Y2571" t="s">
        <v>512</v>
      </c>
      <c r="Z2571" t="s">
        <v>117</v>
      </c>
      <c r="AA2571" t="str">
        <f>"14092-1903"</f>
        <v>14092-1903</v>
      </c>
      <c r="AB2571" t="s">
        <v>872</v>
      </c>
      <c r="AC2571" t="s">
        <v>119</v>
      </c>
      <c r="AD2571" t="s">
        <v>113</v>
      </c>
      <c r="AE2571" t="s">
        <v>120</v>
      </c>
      <c r="AG2571" t="s">
        <v>121</v>
      </c>
    </row>
    <row r="2572" spans="1:33" x14ac:dyDescent="0.25">
      <c r="A2572" t="str">
        <f>"1164487385"</f>
        <v>1164487385</v>
      </c>
      <c r="B2572" t="str">
        <f>"01050953"</f>
        <v>01050953</v>
      </c>
      <c r="C2572" t="s">
        <v>14676</v>
      </c>
      <c r="D2572" t="s">
        <v>14677</v>
      </c>
      <c r="E2572" t="s">
        <v>14678</v>
      </c>
      <c r="G2572" t="s">
        <v>14676</v>
      </c>
      <c r="H2572" t="s">
        <v>9360</v>
      </c>
      <c r="J2572" t="s">
        <v>14679</v>
      </c>
      <c r="L2572" t="s">
        <v>142</v>
      </c>
      <c r="M2572" t="s">
        <v>113</v>
      </c>
      <c r="R2572" t="s">
        <v>14680</v>
      </c>
      <c r="W2572" t="s">
        <v>14678</v>
      </c>
      <c r="X2572" t="s">
        <v>176</v>
      </c>
      <c r="Y2572" t="s">
        <v>116</v>
      </c>
      <c r="Z2572" t="s">
        <v>117</v>
      </c>
      <c r="AA2572" t="str">
        <f>"14203-1126"</f>
        <v>14203-1126</v>
      </c>
      <c r="AB2572" t="s">
        <v>118</v>
      </c>
      <c r="AC2572" t="s">
        <v>119</v>
      </c>
      <c r="AD2572" t="s">
        <v>113</v>
      </c>
      <c r="AE2572" t="s">
        <v>120</v>
      </c>
      <c r="AG2572" t="s">
        <v>121</v>
      </c>
    </row>
    <row r="2573" spans="1:33" x14ac:dyDescent="0.25">
      <c r="A2573" t="str">
        <f>"1164489043"</f>
        <v>1164489043</v>
      </c>
      <c r="B2573" t="str">
        <f>"02504910"</f>
        <v>02504910</v>
      </c>
      <c r="C2573" t="s">
        <v>14681</v>
      </c>
      <c r="D2573" t="s">
        <v>14682</v>
      </c>
      <c r="E2573" t="s">
        <v>14683</v>
      </c>
      <c r="H2573" t="s">
        <v>9490</v>
      </c>
      <c r="L2573" t="s">
        <v>142</v>
      </c>
      <c r="M2573" t="s">
        <v>199</v>
      </c>
      <c r="R2573" t="s">
        <v>14684</v>
      </c>
      <c r="W2573" t="s">
        <v>14683</v>
      </c>
      <c r="X2573" t="s">
        <v>1973</v>
      </c>
      <c r="Y2573" t="s">
        <v>116</v>
      </c>
      <c r="Z2573" t="s">
        <v>117</v>
      </c>
      <c r="AA2573" t="str">
        <f>"14214-1701"</f>
        <v>14214-1701</v>
      </c>
      <c r="AB2573" t="s">
        <v>118</v>
      </c>
      <c r="AC2573" t="s">
        <v>119</v>
      </c>
      <c r="AD2573" t="s">
        <v>113</v>
      </c>
      <c r="AE2573" t="s">
        <v>120</v>
      </c>
      <c r="AG2573" t="s">
        <v>121</v>
      </c>
    </row>
    <row r="2574" spans="1:33" x14ac:dyDescent="0.25">
      <c r="A2574" t="str">
        <f>"1164495446"</f>
        <v>1164495446</v>
      </c>
      <c r="B2574" t="str">
        <f>"01581593"</f>
        <v>01581593</v>
      </c>
      <c r="C2574" t="s">
        <v>14685</v>
      </c>
      <c r="D2574" t="s">
        <v>14686</v>
      </c>
      <c r="E2574" t="s">
        <v>14687</v>
      </c>
      <c r="G2574" t="s">
        <v>14685</v>
      </c>
      <c r="H2574" t="s">
        <v>14688</v>
      </c>
      <c r="J2574" t="s">
        <v>14689</v>
      </c>
      <c r="L2574" t="s">
        <v>142</v>
      </c>
      <c r="M2574" t="s">
        <v>113</v>
      </c>
      <c r="R2574" t="s">
        <v>14690</v>
      </c>
      <c r="W2574" t="s">
        <v>14687</v>
      </c>
      <c r="X2574" t="s">
        <v>14691</v>
      </c>
      <c r="Y2574" t="s">
        <v>116</v>
      </c>
      <c r="Z2574" t="s">
        <v>117</v>
      </c>
      <c r="AA2574" t="str">
        <f>"14201-1435"</f>
        <v>14201-1435</v>
      </c>
      <c r="AB2574" t="s">
        <v>118</v>
      </c>
      <c r="AC2574" t="s">
        <v>119</v>
      </c>
      <c r="AD2574" t="s">
        <v>113</v>
      </c>
      <c r="AE2574" t="s">
        <v>120</v>
      </c>
      <c r="AG2574" t="s">
        <v>121</v>
      </c>
    </row>
    <row r="2575" spans="1:33" x14ac:dyDescent="0.25">
      <c r="A2575" t="str">
        <f>"1164497384"</f>
        <v>1164497384</v>
      </c>
      <c r="B2575" t="str">
        <f>"01776750"</f>
        <v>01776750</v>
      </c>
      <c r="C2575" t="s">
        <v>14692</v>
      </c>
      <c r="D2575" t="s">
        <v>14693</v>
      </c>
      <c r="E2575" t="s">
        <v>14694</v>
      </c>
      <c r="G2575" t="s">
        <v>14692</v>
      </c>
      <c r="H2575" t="s">
        <v>2280</v>
      </c>
      <c r="J2575" t="s">
        <v>14695</v>
      </c>
      <c r="L2575" t="s">
        <v>142</v>
      </c>
      <c r="M2575" t="s">
        <v>113</v>
      </c>
      <c r="R2575" t="s">
        <v>14696</v>
      </c>
      <c r="W2575" t="s">
        <v>14694</v>
      </c>
      <c r="Y2575" t="s">
        <v>116</v>
      </c>
      <c r="Z2575" t="s">
        <v>117</v>
      </c>
      <c r="AA2575" t="str">
        <f>"14222-2099"</f>
        <v>14222-2099</v>
      </c>
      <c r="AB2575" t="s">
        <v>118</v>
      </c>
      <c r="AC2575" t="s">
        <v>119</v>
      </c>
      <c r="AD2575" t="s">
        <v>113</v>
      </c>
      <c r="AE2575" t="s">
        <v>120</v>
      </c>
      <c r="AG2575" t="s">
        <v>121</v>
      </c>
    </row>
    <row r="2576" spans="1:33" x14ac:dyDescent="0.25">
      <c r="A2576" t="str">
        <f>"1164521688"</f>
        <v>1164521688</v>
      </c>
      <c r="B2576" t="str">
        <f>"02775579"</f>
        <v>02775579</v>
      </c>
      <c r="C2576" t="s">
        <v>14697</v>
      </c>
      <c r="D2576" t="s">
        <v>14698</v>
      </c>
      <c r="E2576" t="s">
        <v>14699</v>
      </c>
      <c r="G2576" t="s">
        <v>14697</v>
      </c>
      <c r="H2576" t="s">
        <v>14533</v>
      </c>
      <c r="J2576" t="s">
        <v>14700</v>
      </c>
      <c r="L2576" t="s">
        <v>142</v>
      </c>
      <c r="M2576" t="s">
        <v>199</v>
      </c>
      <c r="R2576" t="s">
        <v>14699</v>
      </c>
      <c r="W2576" t="s">
        <v>14701</v>
      </c>
      <c r="X2576" t="s">
        <v>7792</v>
      </c>
      <c r="Y2576" t="s">
        <v>116</v>
      </c>
      <c r="Z2576" t="s">
        <v>117</v>
      </c>
      <c r="AA2576" t="str">
        <f>"14209-2102"</f>
        <v>14209-2102</v>
      </c>
      <c r="AB2576" t="s">
        <v>118</v>
      </c>
      <c r="AC2576" t="s">
        <v>119</v>
      </c>
      <c r="AD2576" t="s">
        <v>113</v>
      </c>
      <c r="AE2576" t="s">
        <v>120</v>
      </c>
      <c r="AG2576" t="s">
        <v>121</v>
      </c>
    </row>
    <row r="2577" spans="1:33" x14ac:dyDescent="0.25">
      <c r="A2577" t="str">
        <f>"1164539391"</f>
        <v>1164539391</v>
      </c>
      <c r="B2577" t="str">
        <f>"02619047"</f>
        <v>02619047</v>
      </c>
      <c r="C2577" t="s">
        <v>14702</v>
      </c>
      <c r="D2577" t="s">
        <v>14703</v>
      </c>
      <c r="E2577" t="s">
        <v>14704</v>
      </c>
      <c r="G2577" t="s">
        <v>14705</v>
      </c>
      <c r="H2577" t="s">
        <v>4847</v>
      </c>
      <c r="J2577" t="s">
        <v>14706</v>
      </c>
      <c r="L2577" t="s">
        <v>142</v>
      </c>
      <c r="M2577" t="s">
        <v>113</v>
      </c>
      <c r="R2577" t="s">
        <v>14707</v>
      </c>
      <c r="W2577" t="s">
        <v>14708</v>
      </c>
      <c r="X2577" t="s">
        <v>1304</v>
      </c>
      <c r="Y2577" t="s">
        <v>116</v>
      </c>
      <c r="Z2577" t="s">
        <v>117</v>
      </c>
      <c r="AA2577" t="str">
        <f>"14220-2039"</f>
        <v>14220-2039</v>
      </c>
      <c r="AB2577" t="s">
        <v>118</v>
      </c>
      <c r="AC2577" t="s">
        <v>119</v>
      </c>
      <c r="AD2577" t="s">
        <v>113</v>
      </c>
      <c r="AE2577" t="s">
        <v>120</v>
      </c>
      <c r="AG2577" t="s">
        <v>121</v>
      </c>
    </row>
    <row r="2578" spans="1:33" x14ac:dyDescent="0.25">
      <c r="A2578" t="str">
        <f>"1164541066"</f>
        <v>1164541066</v>
      </c>
      <c r="B2578" t="str">
        <f>"03481725"</f>
        <v>03481725</v>
      </c>
      <c r="C2578" t="s">
        <v>14709</v>
      </c>
      <c r="D2578" t="s">
        <v>14710</v>
      </c>
      <c r="E2578" t="s">
        <v>14711</v>
      </c>
      <c r="G2578" t="s">
        <v>14709</v>
      </c>
      <c r="H2578" t="s">
        <v>14712</v>
      </c>
      <c r="J2578" t="s">
        <v>14713</v>
      </c>
      <c r="L2578" t="s">
        <v>142</v>
      </c>
      <c r="M2578" t="s">
        <v>113</v>
      </c>
      <c r="R2578" t="s">
        <v>14714</v>
      </c>
      <c r="W2578" t="s">
        <v>14711</v>
      </c>
      <c r="X2578" t="s">
        <v>14715</v>
      </c>
      <c r="Y2578" t="s">
        <v>145</v>
      </c>
      <c r="Z2578" t="s">
        <v>117</v>
      </c>
      <c r="AA2578" t="str">
        <f>"14051-2610"</f>
        <v>14051-2610</v>
      </c>
      <c r="AB2578" t="s">
        <v>118</v>
      </c>
      <c r="AC2578" t="s">
        <v>119</v>
      </c>
      <c r="AD2578" t="s">
        <v>113</v>
      </c>
      <c r="AE2578" t="s">
        <v>120</v>
      </c>
      <c r="AG2578" t="s">
        <v>121</v>
      </c>
    </row>
    <row r="2579" spans="1:33" x14ac:dyDescent="0.25">
      <c r="A2579" t="str">
        <f>"1164545174"</f>
        <v>1164545174</v>
      </c>
      <c r="B2579" t="str">
        <f>"03033447"</f>
        <v>03033447</v>
      </c>
      <c r="C2579" t="s">
        <v>14716</v>
      </c>
      <c r="D2579" t="s">
        <v>14717</v>
      </c>
      <c r="E2579" t="s">
        <v>14718</v>
      </c>
      <c r="G2579" t="s">
        <v>14719</v>
      </c>
      <c r="H2579" t="s">
        <v>14720</v>
      </c>
      <c r="J2579" t="s">
        <v>14721</v>
      </c>
      <c r="L2579" t="s">
        <v>112</v>
      </c>
      <c r="M2579" t="s">
        <v>113</v>
      </c>
      <c r="R2579" t="s">
        <v>14722</v>
      </c>
      <c r="W2579" t="s">
        <v>14723</v>
      </c>
      <c r="X2579" t="s">
        <v>14724</v>
      </c>
      <c r="Y2579" t="s">
        <v>2683</v>
      </c>
      <c r="Z2579" t="s">
        <v>117</v>
      </c>
      <c r="AA2579" t="str">
        <f>"14009-9665"</f>
        <v>14009-9665</v>
      </c>
      <c r="AB2579" t="s">
        <v>4141</v>
      </c>
      <c r="AC2579" t="s">
        <v>119</v>
      </c>
      <c r="AD2579" t="s">
        <v>113</v>
      </c>
      <c r="AE2579" t="s">
        <v>120</v>
      </c>
      <c r="AG2579" t="s">
        <v>121</v>
      </c>
    </row>
    <row r="2580" spans="1:33" x14ac:dyDescent="0.25">
      <c r="A2580" t="str">
        <f>"1164577516"</f>
        <v>1164577516</v>
      </c>
      <c r="B2580" t="str">
        <f>"00718167"</f>
        <v>00718167</v>
      </c>
      <c r="C2580" t="s">
        <v>14725</v>
      </c>
      <c r="D2580" t="s">
        <v>14726</v>
      </c>
      <c r="E2580" t="s">
        <v>14727</v>
      </c>
      <c r="G2580" t="s">
        <v>14725</v>
      </c>
      <c r="J2580" t="s">
        <v>14728</v>
      </c>
      <c r="L2580" t="s">
        <v>728</v>
      </c>
      <c r="M2580" t="s">
        <v>113</v>
      </c>
      <c r="R2580" t="s">
        <v>14729</v>
      </c>
      <c r="W2580" t="s">
        <v>14727</v>
      </c>
      <c r="X2580" t="s">
        <v>12060</v>
      </c>
      <c r="Y2580" t="s">
        <v>12061</v>
      </c>
      <c r="Z2580" t="s">
        <v>117</v>
      </c>
      <c r="AA2580" t="str">
        <f>"14031-1934"</f>
        <v>14031-1934</v>
      </c>
      <c r="AB2580" t="s">
        <v>118</v>
      </c>
      <c r="AC2580" t="s">
        <v>119</v>
      </c>
      <c r="AD2580" t="s">
        <v>113</v>
      </c>
      <c r="AE2580" t="s">
        <v>120</v>
      </c>
      <c r="AG2580" t="s">
        <v>121</v>
      </c>
    </row>
    <row r="2581" spans="1:33" x14ac:dyDescent="0.25">
      <c r="A2581" t="str">
        <f>"1164594099"</f>
        <v>1164594099</v>
      </c>
      <c r="B2581" t="str">
        <f>"03812122"</f>
        <v>03812122</v>
      </c>
      <c r="C2581" t="s">
        <v>14730</v>
      </c>
      <c r="D2581" t="s">
        <v>14731</v>
      </c>
      <c r="E2581" t="s">
        <v>14730</v>
      </c>
      <c r="G2581" t="s">
        <v>14732</v>
      </c>
      <c r="H2581" t="s">
        <v>14733</v>
      </c>
      <c r="J2581" t="s">
        <v>14734</v>
      </c>
      <c r="L2581" t="s">
        <v>69</v>
      </c>
      <c r="M2581" t="s">
        <v>113</v>
      </c>
      <c r="R2581" t="s">
        <v>14730</v>
      </c>
      <c r="W2581" t="s">
        <v>14730</v>
      </c>
      <c r="X2581" t="s">
        <v>14735</v>
      </c>
      <c r="Y2581" t="s">
        <v>116</v>
      </c>
      <c r="Z2581" t="s">
        <v>117</v>
      </c>
      <c r="AA2581" t="str">
        <f>"14201-1108"</f>
        <v>14201-1108</v>
      </c>
      <c r="AB2581" t="s">
        <v>872</v>
      </c>
      <c r="AC2581" t="s">
        <v>119</v>
      </c>
      <c r="AD2581" t="s">
        <v>113</v>
      </c>
      <c r="AE2581" t="s">
        <v>120</v>
      </c>
      <c r="AG2581" t="s">
        <v>121</v>
      </c>
    </row>
    <row r="2582" spans="1:33" x14ac:dyDescent="0.25">
      <c r="A2582" t="str">
        <f>"1164600144"</f>
        <v>1164600144</v>
      </c>
      <c r="B2582" t="str">
        <f>"02675496"</f>
        <v>02675496</v>
      </c>
      <c r="C2582" t="s">
        <v>14736</v>
      </c>
      <c r="D2582" t="s">
        <v>14737</v>
      </c>
      <c r="E2582" t="s">
        <v>14738</v>
      </c>
      <c r="G2582" t="s">
        <v>14736</v>
      </c>
      <c r="H2582" t="s">
        <v>2252</v>
      </c>
      <c r="J2582" t="s">
        <v>14739</v>
      </c>
      <c r="L2582" t="s">
        <v>112</v>
      </c>
      <c r="M2582" t="s">
        <v>113</v>
      </c>
      <c r="R2582" t="s">
        <v>14740</v>
      </c>
      <c r="W2582" t="s">
        <v>14738</v>
      </c>
      <c r="X2582" t="s">
        <v>11516</v>
      </c>
      <c r="Y2582" t="s">
        <v>377</v>
      </c>
      <c r="Z2582" t="s">
        <v>117</v>
      </c>
      <c r="AA2582" t="str">
        <f>"14217-1339"</f>
        <v>14217-1339</v>
      </c>
      <c r="AB2582" t="s">
        <v>118</v>
      </c>
      <c r="AC2582" t="s">
        <v>119</v>
      </c>
      <c r="AD2582" t="s">
        <v>113</v>
      </c>
      <c r="AE2582" t="s">
        <v>120</v>
      </c>
      <c r="AG2582" t="s">
        <v>121</v>
      </c>
    </row>
    <row r="2583" spans="1:33" x14ac:dyDescent="0.25">
      <c r="A2583" t="str">
        <f>"1164601761"</f>
        <v>1164601761</v>
      </c>
      <c r="B2583" t="str">
        <f>"03265510"</f>
        <v>03265510</v>
      </c>
      <c r="C2583" t="s">
        <v>14741</v>
      </c>
      <c r="D2583" t="s">
        <v>14742</v>
      </c>
      <c r="E2583" t="s">
        <v>14743</v>
      </c>
      <c r="G2583" t="s">
        <v>1723</v>
      </c>
      <c r="H2583" t="s">
        <v>11960</v>
      </c>
      <c r="J2583" t="s">
        <v>1725</v>
      </c>
      <c r="L2583" t="s">
        <v>112</v>
      </c>
      <c r="M2583" t="s">
        <v>113</v>
      </c>
      <c r="R2583" t="s">
        <v>14743</v>
      </c>
      <c r="W2583" t="s">
        <v>14743</v>
      </c>
      <c r="X2583" t="s">
        <v>1353</v>
      </c>
      <c r="Y2583" t="s">
        <v>663</v>
      </c>
      <c r="Z2583" t="s">
        <v>117</v>
      </c>
      <c r="AA2583" t="str">
        <f>"14094-3201"</f>
        <v>14094-3201</v>
      </c>
      <c r="AB2583" t="s">
        <v>118</v>
      </c>
      <c r="AC2583" t="s">
        <v>119</v>
      </c>
      <c r="AD2583" t="s">
        <v>113</v>
      </c>
      <c r="AE2583" t="s">
        <v>120</v>
      </c>
      <c r="AG2583" t="s">
        <v>121</v>
      </c>
    </row>
    <row r="2584" spans="1:33" x14ac:dyDescent="0.25">
      <c r="A2584" t="str">
        <f>"1508997446"</f>
        <v>1508997446</v>
      </c>
      <c r="B2584" t="str">
        <f>"02860557"</f>
        <v>02860557</v>
      </c>
      <c r="C2584" t="s">
        <v>14744</v>
      </c>
      <c r="D2584" t="s">
        <v>14745</v>
      </c>
      <c r="E2584" t="s">
        <v>14746</v>
      </c>
      <c r="G2584" t="s">
        <v>14744</v>
      </c>
      <c r="H2584" t="s">
        <v>14747</v>
      </c>
      <c r="J2584" t="s">
        <v>14748</v>
      </c>
      <c r="L2584" t="s">
        <v>142</v>
      </c>
      <c r="M2584" t="s">
        <v>113</v>
      </c>
      <c r="R2584" t="s">
        <v>14749</v>
      </c>
      <c r="W2584" t="s">
        <v>14746</v>
      </c>
      <c r="X2584" t="s">
        <v>1727</v>
      </c>
      <c r="Y2584" t="s">
        <v>192</v>
      </c>
      <c r="Z2584" t="s">
        <v>117</v>
      </c>
      <c r="AA2584" t="str">
        <f>"14020-1631"</f>
        <v>14020-1631</v>
      </c>
      <c r="AB2584" t="s">
        <v>118</v>
      </c>
      <c r="AC2584" t="s">
        <v>119</v>
      </c>
      <c r="AD2584" t="s">
        <v>113</v>
      </c>
      <c r="AE2584" t="s">
        <v>120</v>
      </c>
      <c r="AG2584" t="s">
        <v>121</v>
      </c>
    </row>
    <row r="2585" spans="1:33" x14ac:dyDescent="0.25">
      <c r="A2585" t="str">
        <f>"1518019074"</f>
        <v>1518019074</v>
      </c>
      <c r="B2585" t="str">
        <f>"02976974"</f>
        <v>02976974</v>
      </c>
      <c r="C2585" t="s">
        <v>14750</v>
      </c>
      <c r="D2585" t="s">
        <v>14751</v>
      </c>
      <c r="E2585" t="s">
        <v>14752</v>
      </c>
      <c r="G2585" t="s">
        <v>14753</v>
      </c>
      <c r="H2585" t="s">
        <v>14754</v>
      </c>
      <c r="J2585" t="s">
        <v>14755</v>
      </c>
      <c r="L2585" t="s">
        <v>112</v>
      </c>
      <c r="M2585" t="s">
        <v>113</v>
      </c>
      <c r="R2585" t="s">
        <v>14756</v>
      </c>
      <c r="W2585" t="s">
        <v>14752</v>
      </c>
      <c r="X2585" t="s">
        <v>176</v>
      </c>
      <c r="Y2585" t="s">
        <v>116</v>
      </c>
      <c r="Z2585" t="s">
        <v>117</v>
      </c>
      <c r="AA2585" t="str">
        <f>"14203-1126"</f>
        <v>14203-1126</v>
      </c>
      <c r="AB2585" t="s">
        <v>118</v>
      </c>
      <c r="AC2585" t="s">
        <v>119</v>
      </c>
      <c r="AD2585" t="s">
        <v>113</v>
      </c>
      <c r="AE2585" t="s">
        <v>120</v>
      </c>
      <c r="AG2585" t="s">
        <v>121</v>
      </c>
    </row>
    <row r="2586" spans="1:33" x14ac:dyDescent="0.25">
      <c r="A2586" t="str">
        <f>"1639141633"</f>
        <v>1639141633</v>
      </c>
      <c r="B2586" t="str">
        <f>"02613252"</f>
        <v>02613252</v>
      </c>
      <c r="C2586" t="s">
        <v>14757</v>
      </c>
      <c r="D2586" t="s">
        <v>14758</v>
      </c>
      <c r="E2586" t="s">
        <v>14759</v>
      </c>
      <c r="G2586" t="s">
        <v>14757</v>
      </c>
      <c r="H2586" t="s">
        <v>14760</v>
      </c>
      <c r="J2586" t="s">
        <v>14761</v>
      </c>
      <c r="L2586" t="s">
        <v>150</v>
      </c>
      <c r="M2586" t="s">
        <v>113</v>
      </c>
      <c r="R2586" t="s">
        <v>14759</v>
      </c>
      <c r="W2586" t="s">
        <v>14759</v>
      </c>
      <c r="X2586" t="s">
        <v>136</v>
      </c>
      <c r="Y2586" t="s">
        <v>116</v>
      </c>
      <c r="Z2586" t="s">
        <v>117</v>
      </c>
      <c r="AA2586" t="str">
        <f>"14209-1120"</f>
        <v>14209-1120</v>
      </c>
      <c r="AB2586" t="s">
        <v>118</v>
      </c>
      <c r="AC2586" t="s">
        <v>119</v>
      </c>
      <c r="AD2586" t="s">
        <v>113</v>
      </c>
      <c r="AE2586" t="s">
        <v>120</v>
      </c>
      <c r="AG2586" t="s">
        <v>121</v>
      </c>
    </row>
    <row r="2587" spans="1:33" x14ac:dyDescent="0.25">
      <c r="A2587" t="str">
        <f>"1639143076"</f>
        <v>1639143076</v>
      </c>
      <c r="B2587" t="str">
        <f>"01792709"</f>
        <v>01792709</v>
      </c>
      <c r="C2587" t="s">
        <v>14762</v>
      </c>
      <c r="D2587" t="s">
        <v>14763</v>
      </c>
      <c r="E2587" t="s">
        <v>14764</v>
      </c>
      <c r="G2587" t="s">
        <v>14762</v>
      </c>
      <c r="H2587" t="s">
        <v>4553</v>
      </c>
      <c r="J2587" t="s">
        <v>14765</v>
      </c>
      <c r="L2587" t="s">
        <v>142</v>
      </c>
      <c r="M2587" t="s">
        <v>113</v>
      </c>
      <c r="R2587" t="s">
        <v>14766</v>
      </c>
      <c r="W2587" t="s">
        <v>14767</v>
      </c>
      <c r="X2587" t="s">
        <v>136</v>
      </c>
      <c r="Y2587" t="s">
        <v>116</v>
      </c>
      <c r="Z2587" t="s">
        <v>117</v>
      </c>
      <c r="AA2587" t="str">
        <f>"14209-1120"</f>
        <v>14209-1120</v>
      </c>
      <c r="AB2587" t="s">
        <v>118</v>
      </c>
      <c r="AC2587" t="s">
        <v>119</v>
      </c>
      <c r="AD2587" t="s">
        <v>113</v>
      </c>
      <c r="AE2587" t="s">
        <v>120</v>
      </c>
      <c r="AG2587" t="s">
        <v>121</v>
      </c>
    </row>
    <row r="2588" spans="1:33" x14ac:dyDescent="0.25">
      <c r="A2588" t="str">
        <f>"1639143456"</f>
        <v>1639143456</v>
      </c>
      <c r="B2588" t="str">
        <f>"00614186"</f>
        <v>00614186</v>
      </c>
      <c r="C2588" t="s">
        <v>14768</v>
      </c>
      <c r="D2588" t="s">
        <v>14769</v>
      </c>
      <c r="E2588" t="s">
        <v>14770</v>
      </c>
      <c r="G2588" t="s">
        <v>14768</v>
      </c>
      <c r="H2588" t="s">
        <v>14771</v>
      </c>
      <c r="J2588" t="s">
        <v>14772</v>
      </c>
      <c r="L2588" t="s">
        <v>112</v>
      </c>
      <c r="M2588" t="s">
        <v>113</v>
      </c>
      <c r="R2588" t="s">
        <v>14773</v>
      </c>
      <c r="W2588" t="s">
        <v>14770</v>
      </c>
      <c r="X2588" t="s">
        <v>6154</v>
      </c>
      <c r="Y2588" t="s">
        <v>240</v>
      </c>
      <c r="Z2588" t="s">
        <v>117</v>
      </c>
      <c r="AA2588" t="str">
        <f>"14221-7717"</f>
        <v>14221-7717</v>
      </c>
      <c r="AB2588" t="s">
        <v>118</v>
      </c>
      <c r="AC2588" t="s">
        <v>119</v>
      </c>
      <c r="AD2588" t="s">
        <v>113</v>
      </c>
      <c r="AE2588" t="s">
        <v>120</v>
      </c>
      <c r="AG2588" t="s">
        <v>121</v>
      </c>
    </row>
    <row r="2589" spans="1:33" x14ac:dyDescent="0.25">
      <c r="A2589" t="str">
        <f>"1639143795"</f>
        <v>1639143795</v>
      </c>
      <c r="B2589" t="str">
        <f>"02937891"</f>
        <v>02937891</v>
      </c>
      <c r="C2589" t="s">
        <v>14774</v>
      </c>
      <c r="D2589" t="s">
        <v>14775</v>
      </c>
      <c r="E2589" t="s">
        <v>14776</v>
      </c>
      <c r="G2589" t="s">
        <v>14774</v>
      </c>
      <c r="H2589" t="s">
        <v>707</v>
      </c>
      <c r="J2589" t="s">
        <v>14777</v>
      </c>
      <c r="L2589" t="s">
        <v>142</v>
      </c>
      <c r="M2589" t="s">
        <v>113</v>
      </c>
      <c r="R2589" t="s">
        <v>14776</v>
      </c>
      <c r="W2589" t="s">
        <v>14778</v>
      </c>
      <c r="X2589" t="s">
        <v>14779</v>
      </c>
      <c r="Y2589" t="s">
        <v>116</v>
      </c>
      <c r="Z2589" t="s">
        <v>117</v>
      </c>
      <c r="AA2589" t="str">
        <f>"14263-0001"</f>
        <v>14263-0001</v>
      </c>
      <c r="AB2589" t="s">
        <v>118</v>
      </c>
      <c r="AC2589" t="s">
        <v>119</v>
      </c>
      <c r="AD2589" t="s">
        <v>113</v>
      </c>
      <c r="AE2589" t="s">
        <v>120</v>
      </c>
      <c r="AG2589" t="s">
        <v>121</v>
      </c>
    </row>
    <row r="2590" spans="1:33" x14ac:dyDescent="0.25">
      <c r="A2590" t="str">
        <f>"1639144611"</f>
        <v>1639144611</v>
      </c>
      <c r="B2590" t="str">
        <f>"01541937"</f>
        <v>01541937</v>
      </c>
      <c r="C2590" t="s">
        <v>14780</v>
      </c>
      <c r="D2590" t="s">
        <v>14781</v>
      </c>
      <c r="E2590" t="s">
        <v>14782</v>
      </c>
      <c r="H2590" t="s">
        <v>14783</v>
      </c>
      <c r="L2590" t="s">
        <v>150</v>
      </c>
      <c r="M2590" t="s">
        <v>113</v>
      </c>
      <c r="R2590" t="s">
        <v>14784</v>
      </c>
      <c r="W2590" t="s">
        <v>14782</v>
      </c>
      <c r="X2590" t="s">
        <v>2326</v>
      </c>
      <c r="Y2590" t="s">
        <v>153</v>
      </c>
      <c r="Z2590" t="s">
        <v>117</v>
      </c>
      <c r="AA2590" t="str">
        <f>"14301-1530"</f>
        <v>14301-1530</v>
      </c>
      <c r="AB2590" t="s">
        <v>118</v>
      </c>
      <c r="AC2590" t="s">
        <v>119</v>
      </c>
      <c r="AD2590" t="s">
        <v>113</v>
      </c>
      <c r="AE2590" t="s">
        <v>120</v>
      </c>
      <c r="AG2590" t="s">
        <v>121</v>
      </c>
    </row>
    <row r="2591" spans="1:33" x14ac:dyDescent="0.25">
      <c r="A2591" t="str">
        <f>"1639153943"</f>
        <v>1639153943</v>
      </c>
      <c r="B2591" t="str">
        <f>"00834217"</f>
        <v>00834217</v>
      </c>
      <c r="C2591" t="s">
        <v>14785</v>
      </c>
      <c r="D2591" t="s">
        <v>14786</v>
      </c>
      <c r="E2591" t="s">
        <v>14787</v>
      </c>
      <c r="G2591" t="s">
        <v>14785</v>
      </c>
      <c r="H2591" t="s">
        <v>3978</v>
      </c>
      <c r="J2591" t="s">
        <v>14788</v>
      </c>
      <c r="L2591" t="s">
        <v>142</v>
      </c>
      <c r="M2591" t="s">
        <v>113</v>
      </c>
      <c r="R2591" t="s">
        <v>14789</v>
      </c>
      <c r="W2591" t="s">
        <v>14787</v>
      </c>
      <c r="X2591" t="s">
        <v>14790</v>
      </c>
      <c r="Y2591" t="s">
        <v>116</v>
      </c>
      <c r="Z2591" t="s">
        <v>117</v>
      </c>
      <c r="AA2591" t="str">
        <f>"14263-0001"</f>
        <v>14263-0001</v>
      </c>
      <c r="AB2591" t="s">
        <v>118</v>
      </c>
      <c r="AC2591" t="s">
        <v>119</v>
      </c>
      <c r="AD2591" t="s">
        <v>113</v>
      </c>
      <c r="AE2591" t="s">
        <v>120</v>
      </c>
      <c r="AG2591" t="s">
        <v>121</v>
      </c>
    </row>
    <row r="2592" spans="1:33" x14ac:dyDescent="0.25">
      <c r="A2592" t="str">
        <f>"1639154982"</f>
        <v>1639154982</v>
      </c>
      <c r="B2592" t="str">
        <f>"02653941"</f>
        <v>02653941</v>
      </c>
      <c r="C2592" t="s">
        <v>14791</v>
      </c>
      <c r="D2592" t="s">
        <v>14792</v>
      </c>
      <c r="E2592" t="s">
        <v>14793</v>
      </c>
      <c r="G2592" t="s">
        <v>14791</v>
      </c>
      <c r="H2592" t="s">
        <v>227</v>
      </c>
      <c r="J2592" t="s">
        <v>14794</v>
      </c>
      <c r="L2592" t="s">
        <v>142</v>
      </c>
      <c r="M2592" t="s">
        <v>113</v>
      </c>
      <c r="R2592" t="s">
        <v>14795</v>
      </c>
      <c r="W2592" t="s">
        <v>14793</v>
      </c>
      <c r="X2592" t="s">
        <v>1318</v>
      </c>
      <c r="Y2592" t="s">
        <v>1319</v>
      </c>
      <c r="Z2592" t="s">
        <v>117</v>
      </c>
      <c r="AA2592" t="str">
        <f>"11373-1329"</f>
        <v>11373-1329</v>
      </c>
      <c r="AB2592" t="s">
        <v>118</v>
      </c>
      <c r="AC2592" t="s">
        <v>119</v>
      </c>
      <c r="AD2592" t="s">
        <v>113</v>
      </c>
      <c r="AE2592" t="s">
        <v>120</v>
      </c>
      <c r="AG2592" t="s">
        <v>121</v>
      </c>
    </row>
    <row r="2593" spans="1:33" x14ac:dyDescent="0.25">
      <c r="A2593" t="str">
        <f>"1598876732"</f>
        <v>1598876732</v>
      </c>
      <c r="B2593" t="str">
        <f>"02978518"</f>
        <v>02978518</v>
      </c>
      <c r="C2593" t="s">
        <v>971</v>
      </c>
      <c r="D2593" t="s">
        <v>972</v>
      </c>
      <c r="E2593" t="s">
        <v>973</v>
      </c>
      <c r="H2593" t="s">
        <v>974</v>
      </c>
      <c r="L2593" t="s">
        <v>975</v>
      </c>
      <c r="M2593" t="s">
        <v>199</v>
      </c>
      <c r="R2593" t="s">
        <v>971</v>
      </c>
      <c r="W2593" t="s">
        <v>976</v>
      </c>
      <c r="X2593" t="s">
        <v>977</v>
      </c>
      <c r="Y2593" t="s">
        <v>978</v>
      </c>
      <c r="Z2593" t="s">
        <v>117</v>
      </c>
      <c r="AA2593" t="str">
        <f>"14081-9706"</f>
        <v>14081-9706</v>
      </c>
      <c r="AB2593" t="s">
        <v>979</v>
      </c>
      <c r="AC2593" t="s">
        <v>119</v>
      </c>
      <c r="AD2593" t="s">
        <v>113</v>
      </c>
      <c r="AE2593" t="s">
        <v>120</v>
      </c>
      <c r="AG2593" t="s">
        <v>121</v>
      </c>
    </row>
    <row r="2594" spans="1:33" x14ac:dyDescent="0.25">
      <c r="A2594" t="str">
        <f>"1639165772"</f>
        <v>1639165772</v>
      </c>
      <c r="B2594" t="str">
        <f>"00602828"</f>
        <v>00602828</v>
      </c>
      <c r="C2594" t="s">
        <v>14797</v>
      </c>
      <c r="D2594" t="s">
        <v>14798</v>
      </c>
      <c r="E2594" t="s">
        <v>14799</v>
      </c>
      <c r="G2594" t="s">
        <v>14797</v>
      </c>
      <c r="H2594" t="s">
        <v>14800</v>
      </c>
      <c r="J2594" t="s">
        <v>14801</v>
      </c>
      <c r="L2594" t="s">
        <v>150</v>
      </c>
      <c r="M2594" t="s">
        <v>113</v>
      </c>
      <c r="R2594" t="s">
        <v>14802</v>
      </c>
      <c r="W2594" t="s">
        <v>14803</v>
      </c>
      <c r="X2594" t="s">
        <v>216</v>
      </c>
      <c r="Y2594" t="s">
        <v>116</v>
      </c>
      <c r="Z2594" t="s">
        <v>117</v>
      </c>
      <c r="AA2594" t="str">
        <f>"14222-2099"</f>
        <v>14222-2099</v>
      </c>
      <c r="AB2594" t="s">
        <v>118</v>
      </c>
      <c r="AC2594" t="s">
        <v>119</v>
      </c>
      <c r="AD2594" t="s">
        <v>113</v>
      </c>
      <c r="AE2594" t="s">
        <v>120</v>
      </c>
      <c r="AG2594" t="s">
        <v>121</v>
      </c>
    </row>
    <row r="2595" spans="1:33" x14ac:dyDescent="0.25">
      <c r="A2595" t="str">
        <f>"1639169527"</f>
        <v>1639169527</v>
      </c>
      <c r="B2595" t="str">
        <f>"03122887"</f>
        <v>03122887</v>
      </c>
      <c r="C2595" t="s">
        <v>14804</v>
      </c>
      <c r="D2595" t="s">
        <v>14805</v>
      </c>
      <c r="E2595" t="s">
        <v>14806</v>
      </c>
      <c r="G2595" t="s">
        <v>14804</v>
      </c>
      <c r="H2595" t="s">
        <v>227</v>
      </c>
      <c r="J2595" t="s">
        <v>14807</v>
      </c>
      <c r="L2595" t="s">
        <v>142</v>
      </c>
      <c r="M2595" t="s">
        <v>113</v>
      </c>
      <c r="R2595" t="s">
        <v>14808</v>
      </c>
      <c r="W2595" t="s">
        <v>14806</v>
      </c>
      <c r="X2595" t="s">
        <v>14809</v>
      </c>
      <c r="Y2595" t="s">
        <v>9661</v>
      </c>
      <c r="Z2595" t="s">
        <v>117</v>
      </c>
      <c r="AA2595" t="str">
        <f>"11203-1809"</f>
        <v>11203-1809</v>
      </c>
      <c r="AB2595" t="s">
        <v>118</v>
      </c>
      <c r="AC2595" t="s">
        <v>119</v>
      </c>
      <c r="AD2595" t="s">
        <v>113</v>
      </c>
      <c r="AE2595" t="s">
        <v>120</v>
      </c>
      <c r="AG2595" t="s">
        <v>121</v>
      </c>
    </row>
    <row r="2596" spans="1:33" x14ac:dyDescent="0.25">
      <c r="A2596" t="str">
        <f>"1639192156"</f>
        <v>1639192156</v>
      </c>
      <c r="B2596" t="str">
        <f>"01009030"</f>
        <v>01009030</v>
      </c>
      <c r="C2596" t="s">
        <v>14810</v>
      </c>
      <c r="D2596" t="s">
        <v>14811</v>
      </c>
      <c r="E2596" t="s">
        <v>14812</v>
      </c>
      <c r="G2596" t="s">
        <v>14810</v>
      </c>
      <c r="H2596" t="s">
        <v>14813</v>
      </c>
      <c r="J2596" t="s">
        <v>14814</v>
      </c>
      <c r="L2596" t="s">
        <v>142</v>
      </c>
      <c r="M2596" t="s">
        <v>113</v>
      </c>
      <c r="R2596" t="s">
        <v>14815</v>
      </c>
      <c r="W2596" t="s">
        <v>14812</v>
      </c>
      <c r="X2596" t="s">
        <v>14379</v>
      </c>
      <c r="Y2596" t="s">
        <v>116</v>
      </c>
      <c r="Z2596" t="s">
        <v>117</v>
      </c>
      <c r="AA2596" t="str">
        <f>"14214-2693"</f>
        <v>14214-2693</v>
      </c>
      <c r="AB2596" t="s">
        <v>1755</v>
      </c>
      <c r="AC2596" t="s">
        <v>119</v>
      </c>
      <c r="AD2596" t="s">
        <v>113</v>
      </c>
      <c r="AE2596" t="s">
        <v>120</v>
      </c>
      <c r="AG2596" t="s">
        <v>121</v>
      </c>
    </row>
    <row r="2597" spans="1:33" x14ac:dyDescent="0.25">
      <c r="A2597" t="str">
        <f>"1669405965"</f>
        <v>1669405965</v>
      </c>
      <c r="B2597" t="str">
        <f>"00612446"</f>
        <v>00612446</v>
      </c>
      <c r="C2597" t="s">
        <v>14816</v>
      </c>
      <c r="D2597" t="s">
        <v>14817</v>
      </c>
      <c r="E2597" t="s">
        <v>14818</v>
      </c>
      <c r="G2597" t="s">
        <v>14816</v>
      </c>
      <c r="H2597" t="s">
        <v>10825</v>
      </c>
      <c r="J2597" t="s">
        <v>14819</v>
      </c>
      <c r="L2597" t="s">
        <v>728</v>
      </c>
      <c r="M2597" t="s">
        <v>113</v>
      </c>
      <c r="R2597" t="s">
        <v>14820</v>
      </c>
      <c r="W2597" t="s">
        <v>14821</v>
      </c>
      <c r="X2597" t="s">
        <v>253</v>
      </c>
      <c r="Y2597" t="s">
        <v>116</v>
      </c>
      <c r="Z2597" t="s">
        <v>117</v>
      </c>
      <c r="AA2597" t="str">
        <f>"14215-3021"</f>
        <v>14215-3021</v>
      </c>
      <c r="AB2597" t="s">
        <v>118</v>
      </c>
      <c r="AC2597" t="s">
        <v>119</v>
      </c>
      <c r="AD2597" t="s">
        <v>113</v>
      </c>
      <c r="AE2597" t="s">
        <v>120</v>
      </c>
      <c r="AG2597" t="s">
        <v>121</v>
      </c>
    </row>
    <row r="2598" spans="1:33" x14ac:dyDescent="0.25">
      <c r="A2598" t="str">
        <f>"1669411120"</f>
        <v>1669411120</v>
      </c>
      <c r="B2598" t="str">
        <f>"01701220"</f>
        <v>01701220</v>
      </c>
      <c r="C2598" t="s">
        <v>14822</v>
      </c>
      <c r="D2598" t="s">
        <v>14823</v>
      </c>
      <c r="E2598" t="s">
        <v>14824</v>
      </c>
      <c r="G2598" t="s">
        <v>6204</v>
      </c>
      <c r="H2598" t="s">
        <v>1883</v>
      </c>
      <c r="J2598" t="s">
        <v>6205</v>
      </c>
      <c r="L2598" t="s">
        <v>150</v>
      </c>
      <c r="M2598" t="s">
        <v>113</v>
      </c>
      <c r="R2598" t="s">
        <v>14825</v>
      </c>
      <c r="W2598" t="s">
        <v>14824</v>
      </c>
      <c r="X2598" t="s">
        <v>14826</v>
      </c>
      <c r="Y2598" t="s">
        <v>116</v>
      </c>
      <c r="Z2598" t="s">
        <v>117</v>
      </c>
      <c r="AA2598" t="str">
        <f>"14215-3021"</f>
        <v>14215-3021</v>
      </c>
      <c r="AB2598" t="s">
        <v>118</v>
      </c>
      <c r="AC2598" t="s">
        <v>119</v>
      </c>
      <c r="AD2598" t="s">
        <v>113</v>
      </c>
      <c r="AE2598" t="s">
        <v>120</v>
      </c>
      <c r="AG2598" t="s">
        <v>121</v>
      </c>
    </row>
    <row r="2599" spans="1:33" x14ac:dyDescent="0.25">
      <c r="A2599" t="str">
        <f>"1669414223"</f>
        <v>1669414223</v>
      </c>
      <c r="B2599" t="str">
        <f>"03126441"</f>
        <v>03126441</v>
      </c>
      <c r="C2599" t="s">
        <v>14827</v>
      </c>
      <c r="D2599" t="s">
        <v>14828</v>
      </c>
      <c r="E2599" t="s">
        <v>14829</v>
      </c>
      <c r="G2599" t="s">
        <v>14827</v>
      </c>
      <c r="H2599" t="s">
        <v>227</v>
      </c>
      <c r="J2599" t="s">
        <v>14830</v>
      </c>
      <c r="L2599" t="s">
        <v>142</v>
      </c>
      <c r="M2599" t="s">
        <v>113</v>
      </c>
      <c r="R2599" t="s">
        <v>14831</v>
      </c>
      <c r="W2599" t="s">
        <v>14829</v>
      </c>
      <c r="X2599" t="s">
        <v>14832</v>
      </c>
      <c r="Y2599" t="s">
        <v>14833</v>
      </c>
      <c r="Z2599" t="s">
        <v>6827</v>
      </c>
      <c r="AA2599" t="str">
        <f>"21117-2214"</f>
        <v>21117-2214</v>
      </c>
      <c r="AB2599" t="s">
        <v>118</v>
      </c>
      <c r="AC2599" t="s">
        <v>119</v>
      </c>
      <c r="AD2599" t="s">
        <v>113</v>
      </c>
      <c r="AE2599" t="s">
        <v>120</v>
      </c>
      <c r="AG2599" t="s">
        <v>121</v>
      </c>
    </row>
    <row r="2600" spans="1:33" x14ac:dyDescent="0.25">
      <c r="A2600" t="str">
        <f>"1669419867"</f>
        <v>1669419867</v>
      </c>
      <c r="B2600" t="str">
        <f>"03084984"</f>
        <v>03084984</v>
      </c>
      <c r="C2600" t="s">
        <v>14834</v>
      </c>
      <c r="D2600" t="s">
        <v>14835</v>
      </c>
      <c r="E2600" t="s">
        <v>14836</v>
      </c>
      <c r="G2600" t="s">
        <v>14834</v>
      </c>
      <c r="H2600" t="s">
        <v>707</v>
      </c>
      <c r="J2600" t="s">
        <v>14837</v>
      </c>
      <c r="L2600" t="s">
        <v>142</v>
      </c>
      <c r="M2600" t="s">
        <v>113</v>
      </c>
      <c r="R2600" t="s">
        <v>14838</v>
      </c>
      <c r="W2600" t="s">
        <v>14836</v>
      </c>
      <c r="X2600" t="s">
        <v>709</v>
      </c>
      <c r="Y2600" t="s">
        <v>116</v>
      </c>
      <c r="Z2600" t="s">
        <v>117</v>
      </c>
      <c r="AA2600" t="str">
        <f>"14263-0001"</f>
        <v>14263-0001</v>
      </c>
      <c r="AB2600" t="s">
        <v>118</v>
      </c>
      <c r="AC2600" t="s">
        <v>119</v>
      </c>
      <c r="AD2600" t="s">
        <v>113</v>
      </c>
      <c r="AE2600" t="s">
        <v>120</v>
      </c>
      <c r="AG2600" t="s">
        <v>121</v>
      </c>
    </row>
    <row r="2601" spans="1:33" x14ac:dyDescent="0.25">
      <c r="A2601" t="str">
        <f>"1669421970"</f>
        <v>1669421970</v>
      </c>
      <c r="B2601" t="str">
        <f>"01479309"</f>
        <v>01479309</v>
      </c>
      <c r="C2601" t="s">
        <v>14839</v>
      </c>
      <c r="D2601" t="s">
        <v>14840</v>
      </c>
      <c r="E2601" t="s">
        <v>14841</v>
      </c>
      <c r="G2601" t="s">
        <v>14839</v>
      </c>
      <c r="H2601" t="s">
        <v>205</v>
      </c>
      <c r="J2601" t="s">
        <v>14842</v>
      </c>
      <c r="L2601" t="s">
        <v>142</v>
      </c>
      <c r="M2601" t="s">
        <v>113</v>
      </c>
      <c r="R2601" t="s">
        <v>14843</v>
      </c>
      <c r="W2601" t="s">
        <v>14841</v>
      </c>
      <c r="X2601" t="s">
        <v>2607</v>
      </c>
      <c r="Y2601" t="s">
        <v>116</v>
      </c>
      <c r="Z2601" t="s">
        <v>117</v>
      </c>
      <c r="AA2601" t="str">
        <f>"14203-1149"</f>
        <v>14203-1149</v>
      </c>
      <c r="AB2601" t="s">
        <v>118</v>
      </c>
      <c r="AC2601" t="s">
        <v>119</v>
      </c>
      <c r="AD2601" t="s">
        <v>113</v>
      </c>
      <c r="AE2601" t="s">
        <v>120</v>
      </c>
      <c r="AG2601" t="s">
        <v>121</v>
      </c>
    </row>
    <row r="2602" spans="1:33" x14ac:dyDescent="0.25">
      <c r="A2602" t="str">
        <f>"1669422697"</f>
        <v>1669422697</v>
      </c>
      <c r="B2602" t="str">
        <f>"02996798"</f>
        <v>02996798</v>
      </c>
      <c r="C2602" t="s">
        <v>14844</v>
      </c>
      <c r="D2602" t="s">
        <v>14845</v>
      </c>
      <c r="E2602" t="s">
        <v>14846</v>
      </c>
      <c r="L2602" t="s">
        <v>69</v>
      </c>
      <c r="M2602" t="s">
        <v>113</v>
      </c>
      <c r="R2602" t="s">
        <v>14847</v>
      </c>
      <c r="W2602" t="s">
        <v>14844</v>
      </c>
      <c r="X2602" t="s">
        <v>14848</v>
      </c>
      <c r="Y2602" t="s">
        <v>663</v>
      </c>
      <c r="Z2602" t="s">
        <v>117</v>
      </c>
      <c r="AA2602" t="str">
        <f>"14094-3775"</f>
        <v>14094-3775</v>
      </c>
      <c r="AB2602" t="s">
        <v>1460</v>
      </c>
      <c r="AC2602" t="s">
        <v>119</v>
      </c>
      <c r="AD2602" t="s">
        <v>113</v>
      </c>
      <c r="AE2602" t="s">
        <v>120</v>
      </c>
      <c r="AG2602" t="s">
        <v>121</v>
      </c>
    </row>
    <row r="2603" spans="1:33" x14ac:dyDescent="0.25">
      <c r="A2603" t="str">
        <f>"1669424081"</f>
        <v>1669424081</v>
      </c>
      <c r="B2603" t="str">
        <f>"00628657"</f>
        <v>00628657</v>
      </c>
      <c r="C2603" t="s">
        <v>14849</v>
      </c>
      <c r="D2603" t="s">
        <v>14850</v>
      </c>
      <c r="E2603" t="s">
        <v>14851</v>
      </c>
      <c r="G2603" t="s">
        <v>14849</v>
      </c>
      <c r="H2603" t="s">
        <v>14852</v>
      </c>
      <c r="J2603" t="s">
        <v>14853</v>
      </c>
      <c r="L2603" t="s">
        <v>728</v>
      </c>
      <c r="M2603" t="s">
        <v>113</v>
      </c>
      <c r="R2603" t="s">
        <v>14854</v>
      </c>
      <c r="W2603" t="s">
        <v>14851</v>
      </c>
      <c r="X2603" t="s">
        <v>14855</v>
      </c>
      <c r="Y2603" t="s">
        <v>958</v>
      </c>
      <c r="Z2603" t="s">
        <v>117</v>
      </c>
      <c r="AA2603" t="str">
        <f>"14226-1039"</f>
        <v>14226-1039</v>
      </c>
      <c r="AB2603" t="s">
        <v>118</v>
      </c>
      <c r="AC2603" t="s">
        <v>119</v>
      </c>
      <c r="AD2603" t="s">
        <v>113</v>
      </c>
      <c r="AE2603" t="s">
        <v>120</v>
      </c>
      <c r="AG2603" t="s">
        <v>121</v>
      </c>
    </row>
    <row r="2604" spans="1:33" x14ac:dyDescent="0.25">
      <c r="A2604" t="str">
        <f>"1669427589"</f>
        <v>1669427589</v>
      </c>
      <c r="B2604" t="str">
        <f>"01515282"</f>
        <v>01515282</v>
      </c>
      <c r="C2604" t="s">
        <v>14856</v>
      </c>
      <c r="D2604" t="s">
        <v>14857</v>
      </c>
      <c r="E2604" t="s">
        <v>14858</v>
      </c>
      <c r="H2604" t="s">
        <v>14859</v>
      </c>
      <c r="L2604" t="s">
        <v>150</v>
      </c>
      <c r="M2604" t="s">
        <v>113</v>
      </c>
      <c r="R2604" t="s">
        <v>14860</v>
      </c>
      <c r="W2604" t="s">
        <v>14858</v>
      </c>
      <c r="X2604" t="s">
        <v>14861</v>
      </c>
      <c r="Y2604" t="s">
        <v>663</v>
      </c>
      <c r="Z2604" t="s">
        <v>117</v>
      </c>
      <c r="AA2604" t="str">
        <f>"14094-3814"</f>
        <v>14094-3814</v>
      </c>
      <c r="AB2604" t="s">
        <v>118</v>
      </c>
      <c r="AC2604" t="s">
        <v>119</v>
      </c>
      <c r="AD2604" t="s">
        <v>113</v>
      </c>
      <c r="AE2604" t="s">
        <v>120</v>
      </c>
      <c r="AG2604" t="s">
        <v>121</v>
      </c>
    </row>
    <row r="2605" spans="1:33" x14ac:dyDescent="0.25">
      <c r="A2605" t="str">
        <f>"1669435103"</f>
        <v>1669435103</v>
      </c>
      <c r="B2605" t="str">
        <f>"02078715"</f>
        <v>02078715</v>
      </c>
      <c r="C2605" t="s">
        <v>14862</v>
      </c>
      <c r="D2605" t="s">
        <v>14863</v>
      </c>
      <c r="E2605" t="s">
        <v>14864</v>
      </c>
      <c r="G2605" t="s">
        <v>14862</v>
      </c>
      <c r="H2605" t="s">
        <v>2186</v>
      </c>
      <c r="J2605" t="s">
        <v>14865</v>
      </c>
      <c r="L2605" t="s">
        <v>150</v>
      </c>
      <c r="M2605" t="s">
        <v>199</v>
      </c>
      <c r="R2605" t="s">
        <v>14866</v>
      </c>
      <c r="W2605" t="s">
        <v>14864</v>
      </c>
      <c r="X2605" t="s">
        <v>176</v>
      </c>
      <c r="Y2605" t="s">
        <v>116</v>
      </c>
      <c r="Z2605" t="s">
        <v>117</v>
      </c>
      <c r="AA2605" t="str">
        <f>"14203-1126"</f>
        <v>14203-1126</v>
      </c>
      <c r="AB2605" t="s">
        <v>118</v>
      </c>
      <c r="AC2605" t="s">
        <v>119</v>
      </c>
      <c r="AD2605" t="s">
        <v>113</v>
      </c>
      <c r="AE2605" t="s">
        <v>120</v>
      </c>
      <c r="AG2605" t="s">
        <v>121</v>
      </c>
    </row>
    <row r="2606" spans="1:33" x14ac:dyDescent="0.25">
      <c r="A2606" t="str">
        <f>"1669437141"</f>
        <v>1669437141</v>
      </c>
      <c r="B2606" t="str">
        <f>"01240073"</f>
        <v>01240073</v>
      </c>
      <c r="C2606" t="s">
        <v>14867</v>
      </c>
      <c r="D2606" t="s">
        <v>14868</v>
      </c>
      <c r="E2606" t="s">
        <v>14869</v>
      </c>
      <c r="G2606" t="s">
        <v>14867</v>
      </c>
      <c r="H2606" t="s">
        <v>630</v>
      </c>
      <c r="J2606" t="s">
        <v>14870</v>
      </c>
      <c r="L2606" t="s">
        <v>142</v>
      </c>
      <c r="M2606" t="s">
        <v>113</v>
      </c>
      <c r="R2606" t="s">
        <v>14871</v>
      </c>
      <c r="W2606" t="s">
        <v>14869</v>
      </c>
      <c r="X2606" t="s">
        <v>253</v>
      </c>
      <c r="Y2606" t="s">
        <v>116</v>
      </c>
      <c r="Z2606" t="s">
        <v>117</v>
      </c>
      <c r="AA2606" t="str">
        <f>"14215-3021"</f>
        <v>14215-3021</v>
      </c>
      <c r="AB2606" t="s">
        <v>118</v>
      </c>
      <c r="AC2606" t="s">
        <v>119</v>
      </c>
      <c r="AD2606" t="s">
        <v>113</v>
      </c>
      <c r="AE2606" t="s">
        <v>120</v>
      </c>
      <c r="AG2606" t="s">
        <v>121</v>
      </c>
    </row>
    <row r="2607" spans="1:33" x14ac:dyDescent="0.25">
      <c r="A2607" t="str">
        <f>"1669437596"</f>
        <v>1669437596</v>
      </c>
      <c r="B2607" t="str">
        <f>"02345531"</f>
        <v>02345531</v>
      </c>
      <c r="C2607" t="s">
        <v>14872</v>
      </c>
      <c r="D2607" t="s">
        <v>14873</v>
      </c>
      <c r="E2607" t="s">
        <v>14874</v>
      </c>
      <c r="G2607" t="s">
        <v>14875</v>
      </c>
      <c r="H2607" t="s">
        <v>14876</v>
      </c>
      <c r="J2607" t="s">
        <v>14877</v>
      </c>
      <c r="L2607" t="s">
        <v>112</v>
      </c>
      <c r="M2607" t="s">
        <v>113</v>
      </c>
      <c r="R2607" t="s">
        <v>14878</v>
      </c>
      <c r="W2607" t="s">
        <v>14874</v>
      </c>
      <c r="X2607" t="s">
        <v>176</v>
      </c>
      <c r="Y2607" t="s">
        <v>116</v>
      </c>
      <c r="Z2607" t="s">
        <v>117</v>
      </c>
      <c r="AA2607" t="str">
        <f>"14203-1126"</f>
        <v>14203-1126</v>
      </c>
      <c r="AB2607" t="s">
        <v>118</v>
      </c>
      <c r="AC2607" t="s">
        <v>119</v>
      </c>
      <c r="AD2607" t="s">
        <v>113</v>
      </c>
      <c r="AE2607" t="s">
        <v>120</v>
      </c>
      <c r="AG2607" t="s">
        <v>121</v>
      </c>
    </row>
    <row r="2608" spans="1:33" x14ac:dyDescent="0.25">
      <c r="A2608" t="str">
        <f>"1669437646"</f>
        <v>1669437646</v>
      </c>
      <c r="B2608" t="str">
        <f>"01353593"</f>
        <v>01353593</v>
      </c>
      <c r="C2608" t="s">
        <v>14879</v>
      </c>
      <c r="D2608" t="s">
        <v>14880</v>
      </c>
      <c r="E2608" t="s">
        <v>14881</v>
      </c>
      <c r="G2608" t="s">
        <v>14879</v>
      </c>
      <c r="H2608" t="s">
        <v>630</v>
      </c>
      <c r="J2608" t="s">
        <v>14882</v>
      </c>
      <c r="L2608" t="s">
        <v>1033</v>
      </c>
      <c r="M2608" t="s">
        <v>113</v>
      </c>
      <c r="R2608" t="s">
        <v>14883</v>
      </c>
      <c r="W2608" t="s">
        <v>14884</v>
      </c>
      <c r="X2608" t="s">
        <v>176</v>
      </c>
      <c r="Y2608" t="s">
        <v>116</v>
      </c>
      <c r="Z2608" t="s">
        <v>117</v>
      </c>
      <c r="AA2608" t="str">
        <f>"14203-1126"</f>
        <v>14203-1126</v>
      </c>
      <c r="AB2608" t="s">
        <v>2359</v>
      </c>
      <c r="AC2608" t="s">
        <v>119</v>
      </c>
      <c r="AD2608" t="s">
        <v>113</v>
      </c>
      <c r="AE2608" t="s">
        <v>120</v>
      </c>
      <c r="AG2608" t="s">
        <v>121</v>
      </c>
    </row>
    <row r="2609" spans="1:33" x14ac:dyDescent="0.25">
      <c r="A2609" t="str">
        <f>"1669437935"</f>
        <v>1669437935</v>
      </c>
      <c r="B2609" t="str">
        <f>"02343942"</f>
        <v>02343942</v>
      </c>
      <c r="C2609" t="s">
        <v>14885</v>
      </c>
      <c r="D2609" t="s">
        <v>14886</v>
      </c>
      <c r="E2609" t="s">
        <v>14887</v>
      </c>
      <c r="G2609" t="s">
        <v>14888</v>
      </c>
      <c r="H2609" t="s">
        <v>437</v>
      </c>
      <c r="J2609" t="s">
        <v>438</v>
      </c>
      <c r="L2609" t="s">
        <v>1033</v>
      </c>
      <c r="M2609" t="s">
        <v>113</v>
      </c>
      <c r="R2609" t="s">
        <v>14889</v>
      </c>
      <c r="W2609" t="s">
        <v>14890</v>
      </c>
      <c r="X2609" t="s">
        <v>216</v>
      </c>
      <c r="Y2609" t="s">
        <v>116</v>
      </c>
      <c r="Z2609" t="s">
        <v>117</v>
      </c>
      <c r="AA2609" t="str">
        <f>"14222-2006"</f>
        <v>14222-2006</v>
      </c>
      <c r="AB2609" t="s">
        <v>118</v>
      </c>
      <c r="AC2609" t="s">
        <v>119</v>
      </c>
      <c r="AD2609" t="s">
        <v>113</v>
      </c>
      <c r="AE2609" t="s">
        <v>120</v>
      </c>
      <c r="AG2609" t="s">
        <v>121</v>
      </c>
    </row>
    <row r="2610" spans="1:33" x14ac:dyDescent="0.25">
      <c r="A2610" t="str">
        <f>"1669438446"</f>
        <v>1669438446</v>
      </c>
      <c r="B2610" t="str">
        <f>"02185977"</f>
        <v>02185977</v>
      </c>
      <c r="C2610" t="s">
        <v>14891</v>
      </c>
      <c r="D2610" t="s">
        <v>14892</v>
      </c>
      <c r="E2610" t="s">
        <v>14893</v>
      </c>
      <c r="G2610" t="s">
        <v>14894</v>
      </c>
      <c r="H2610" t="s">
        <v>14895</v>
      </c>
      <c r="J2610" t="s">
        <v>14896</v>
      </c>
      <c r="L2610" t="s">
        <v>142</v>
      </c>
      <c r="M2610" t="s">
        <v>113</v>
      </c>
      <c r="R2610" t="s">
        <v>14897</v>
      </c>
      <c r="W2610" t="s">
        <v>14893</v>
      </c>
      <c r="X2610" t="s">
        <v>216</v>
      </c>
      <c r="Y2610" t="s">
        <v>116</v>
      </c>
      <c r="Z2610" t="s">
        <v>117</v>
      </c>
      <c r="AA2610" t="str">
        <f>"14222-2006"</f>
        <v>14222-2006</v>
      </c>
      <c r="AB2610" t="s">
        <v>118</v>
      </c>
      <c r="AC2610" t="s">
        <v>119</v>
      </c>
      <c r="AD2610" t="s">
        <v>113</v>
      </c>
      <c r="AE2610" t="s">
        <v>120</v>
      </c>
      <c r="AG2610" t="s">
        <v>121</v>
      </c>
    </row>
    <row r="2611" spans="1:33" x14ac:dyDescent="0.25">
      <c r="A2611" t="str">
        <f>"1669439881"</f>
        <v>1669439881</v>
      </c>
      <c r="B2611" t="str">
        <f>"00481214"</f>
        <v>00481214</v>
      </c>
      <c r="C2611" t="s">
        <v>14898</v>
      </c>
      <c r="D2611" t="s">
        <v>14899</v>
      </c>
      <c r="E2611" t="s">
        <v>14900</v>
      </c>
      <c r="G2611" t="s">
        <v>14898</v>
      </c>
      <c r="H2611" t="s">
        <v>205</v>
      </c>
      <c r="J2611" t="s">
        <v>14901</v>
      </c>
      <c r="L2611" t="s">
        <v>142</v>
      </c>
      <c r="M2611" t="s">
        <v>113</v>
      </c>
      <c r="R2611" t="s">
        <v>14902</v>
      </c>
      <c r="W2611" t="s">
        <v>14900</v>
      </c>
      <c r="X2611" t="s">
        <v>5403</v>
      </c>
      <c r="Y2611" t="s">
        <v>116</v>
      </c>
      <c r="Z2611" t="s">
        <v>117</v>
      </c>
      <c r="AA2611" t="str">
        <f>"14203-1149"</f>
        <v>14203-1149</v>
      </c>
      <c r="AB2611" t="s">
        <v>118</v>
      </c>
      <c r="AC2611" t="s">
        <v>119</v>
      </c>
      <c r="AD2611" t="s">
        <v>113</v>
      </c>
      <c r="AE2611" t="s">
        <v>120</v>
      </c>
      <c r="AG2611" t="s">
        <v>121</v>
      </c>
    </row>
    <row r="2612" spans="1:33" x14ac:dyDescent="0.25">
      <c r="A2612" t="str">
        <f>"1669441259"</f>
        <v>1669441259</v>
      </c>
      <c r="B2612" t="str">
        <f>"02040586"</f>
        <v>02040586</v>
      </c>
      <c r="C2612" t="s">
        <v>14903</v>
      </c>
      <c r="D2612" t="s">
        <v>14904</v>
      </c>
      <c r="E2612" t="s">
        <v>14905</v>
      </c>
      <c r="G2612" t="s">
        <v>14906</v>
      </c>
      <c r="H2612" t="s">
        <v>579</v>
      </c>
      <c r="J2612" t="s">
        <v>14907</v>
      </c>
      <c r="L2612" t="s">
        <v>142</v>
      </c>
      <c r="M2612" t="s">
        <v>113</v>
      </c>
      <c r="R2612" t="s">
        <v>14908</v>
      </c>
      <c r="W2612" t="s">
        <v>14905</v>
      </c>
      <c r="X2612" t="s">
        <v>838</v>
      </c>
      <c r="Y2612" t="s">
        <v>240</v>
      </c>
      <c r="Z2612" t="s">
        <v>117</v>
      </c>
      <c r="AA2612" t="str">
        <f>"14221-3647"</f>
        <v>14221-3647</v>
      </c>
      <c r="AB2612" t="s">
        <v>118</v>
      </c>
      <c r="AC2612" t="s">
        <v>119</v>
      </c>
      <c r="AD2612" t="s">
        <v>113</v>
      </c>
      <c r="AE2612" t="s">
        <v>120</v>
      </c>
      <c r="AG2612" t="s">
        <v>121</v>
      </c>
    </row>
    <row r="2613" spans="1:33" x14ac:dyDescent="0.25">
      <c r="A2613" t="str">
        <f>"1669454005"</f>
        <v>1669454005</v>
      </c>
      <c r="B2613" t="str">
        <f>"01282397"</f>
        <v>01282397</v>
      </c>
      <c r="C2613" t="s">
        <v>14909</v>
      </c>
      <c r="D2613" t="s">
        <v>14910</v>
      </c>
      <c r="E2613" t="s">
        <v>14911</v>
      </c>
      <c r="H2613" t="s">
        <v>14912</v>
      </c>
      <c r="L2613" t="s">
        <v>142</v>
      </c>
      <c r="M2613" t="s">
        <v>113</v>
      </c>
      <c r="R2613" t="s">
        <v>14913</v>
      </c>
      <c r="W2613" t="s">
        <v>14911</v>
      </c>
      <c r="X2613" t="s">
        <v>2682</v>
      </c>
      <c r="Y2613" t="s">
        <v>2683</v>
      </c>
      <c r="Z2613" t="s">
        <v>117</v>
      </c>
      <c r="AA2613" t="str">
        <f>"14009-1626"</f>
        <v>14009-1626</v>
      </c>
      <c r="AB2613" t="s">
        <v>118</v>
      </c>
      <c r="AC2613" t="s">
        <v>119</v>
      </c>
      <c r="AD2613" t="s">
        <v>113</v>
      </c>
      <c r="AE2613" t="s">
        <v>120</v>
      </c>
      <c r="AG2613" t="s">
        <v>121</v>
      </c>
    </row>
    <row r="2614" spans="1:33" x14ac:dyDescent="0.25">
      <c r="A2614" t="str">
        <f>"1003884289"</f>
        <v>1003884289</v>
      </c>
      <c r="B2614" t="str">
        <f>"01387062"</f>
        <v>01387062</v>
      </c>
      <c r="C2614" t="s">
        <v>14914</v>
      </c>
      <c r="D2614" t="s">
        <v>14915</v>
      </c>
      <c r="E2614" t="s">
        <v>14916</v>
      </c>
      <c r="G2614" t="s">
        <v>14917</v>
      </c>
      <c r="H2614" t="s">
        <v>382</v>
      </c>
      <c r="J2614" t="s">
        <v>383</v>
      </c>
      <c r="L2614" t="s">
        <v>150</v>
      </c>
      <c r="M2614" t="s">
        <v>113</v>
      </c>
      <c r="R2614" t="s">
        <v>14918</v>
      </c>
      <c r="W2614" t="s">
        <v>14919</v>
      </c>
      <c r="X2614" t="s">
        <v>13647</v>
      </c>
      <c r="Y2614" t="s">
        <v>6985</v>
      </c>
      <c r="Z2614" t="s">
        <v>117</v>
      </c>
      <c r="AA2614" t="str">
        <f>"14781"</f>
        <v>14781</v>
      </c>
      <c r="AB2614" t="s">
        <v>118</v>
      </c>
      <c r="AC2614" t="s">
        <v>119</v>
      </c>
      <c r="AD2614" t="s">
        <v>113</v>
      </c>
      <c r="AE2614" t="s">
        <v>120</v>
      </c>
      <c r="AG2614" t="s">
        <v>121</v>
      </c>
    </row>
    <row r="2615" spans="1:33" x14ac:dyDescent="0.25">
      <c r="A2615" t="str">
        <f>"1003887654"</f>
        <v>1003887654</v>
      </c>
      <c r="B2615" t="str">
        <f>"01092979"</f>
        <v>01092979</v>
      </c>
      <c r="C2615" t="s">
        <v>14920</v>
      </c>
      <c r="D2615" t="s">
        <v>14921</v>
      </c>
      <c r="E2615" t="s">
        <v>14922</v>
      </c>
      <c r="G2615" t="s">
        <v>14920</v>
      </c>
      <c r="H2615" t="s">
        <v>3967</v>
      </c>
      <c r="J2615" t="s">
        <v>14923</v>
      </c>
      <c r="L2615" t="s">
        <v>142</v>
      </c>
      <c r="M2615" t="s">
        <v>113</v>
      </c>
      <c r="R2615" t="s">
        <v>14924</v>
      </c>
      <c r="W2615" t="s">
        <v>14922</v>
      </c>
      <c r="X2615" t="s">
        <v>216</v>
      </c>
      <c r="Y2615" t="s">
        <v>116</v>
      </c>
      <c r="Z2615" t="s">
        <v>117</v>
      </c>
      <c r="AA2615" t="str">
        <f>"14222-2006"</f>
        <v>14222-2006</v>
      </c>
      <c r="AB2615" t="s">
        <v>118</v>
      </c>
      <c r="AC2615" t="s">
        <v>119</v>
      </c>
      <c r="AD2615" t="s">
        <v>113</v>
      </c>
      <c r="AE2615" t="s">
        <v>120</v>
      </c>
      <c r="AG2615" t="s">
        <v>121</v>
      </c>
    </row>
    <row r="2616" spans="1:33" x14ac:dyDescent="0.25">
      <c r="A2616" t="str">
        <f>"1003887811"</f>
        <v>1003887811</v>
      </c>
      <c r="B2616" t="str">
        <f>"01981933"</f>
        <v>01981933</v>
      </c>
      <c r="C2616" t="s">
        <v>14925</v>
      </c>
      <c r="D2616" t="s">
        <v>14926</v>
      </c>
      <c r="E2616" t="s">
        <v>14927</v>
      </c>
      <c r="G2616" t="s">
        <v>14925</v>
      </c>
      <c r="H2616" t="s">
        <v>14928</v>
      </c>
      <c r="J2616" t="s">
        <v>14929</v>
      </c>
      <c r="L2616" t="s">
        <v>142</v>
      </c>
      <c r="M2616" t="s">
        <v>113</v>
      </c>
      <c r="R2616" t="s">
        <v>14930</v>
      </c>
      <c r="W2616" t="s">
        <v>14927</v>
      </c>
      <c r="X2616" t="s">
        <v>14379</v>
      </c>
      <c r="Y2616" t="s">
        <v>116</v>
      </c>
      <c r="Z2616" t="s">
        <v>117</v>
      </c>
      <c r="AA2616" t="str">
        <f>"14214-2693"</f>
        <v>14214-2693</v>
      </c>
      <c r="AB2616" t="s">
        <v>118</v>
      </c>
      <c r="AC2616" t="s">
        <v>119</v>
      </c>
      <c r="AD2616" t="s">
        <v>113</v>
      </c>
      <c r="AE2616" t="s">
        <v>120</v>
      </c>
      <c r="AG2616" t="s">
        <v>121</v>
      </c>
    </row>
    <row r="2617" spans="1:33" x14ac:dyDescent="0.25">
      <c r="A2617" t="str">
        <f>"1003888058"</f>
        <v>1003888058</v>
      </c>
      <c r="B2617" t="str">
        <f>"02498286"</f>
        <v>02498286</v>
      </c>
      <c r="C2617" t="s">
        <v>14931</v>
      </c>
      <c r="D2617" t="s">
        <v>14932</v>
      </c>
      <c r="E2617" t="s">
        <v>14933</v>
      </c>
      <c r="G2617" t="s">
        <v>14934</v>
      </c>
      <c r="H2617" t="s">
        <v>1909</v>
      </c>
      <c r="J2617" t="s">
        <v>14935</v>
      </c>
      <c r="L2617" t="s">
        <v>728</v>
      </c>
      <c r="M2617" t="s">
        <v>113</v>
      </c>
      <c r="R2617" t="s">
        <v>14936</v>
      </c>
      <c r="W2617" t="s">
        <v>14933</v>
      </c>
      <c r="X2617" t="s">
        <v>460</v>
      </c>
      <c r="Y2617" t="s">
        <v>116</v>
      </c>
      <c r="Z2617" t="s">
        <v>117</v>
      </c>
      <c r="AA2617" t="str">
        <f>"14216-2611"</f>
        <v>14216-2611</v>
      </c>
      <c r="AB2617" t="s">
        <v>118</v>
      </c>
      <c r="AC2617" t="s">
        <v>119</v>
      </c>
      <c r="AD2617" t="s">
        <v>113</v>
      </c>
      <c r="AE2617" t="s">
        <v>120</v>
      </c>
      <c r="AG2617" t="s">
        <v>121</v>
      </c>
    </row>
    <row r="2618" spans="1:33" x14ac:dyDescent="0.25">
      <c r="A2618" t="str">
        <f>"1003888314"</f>
        <v>1003888314</v>
      </c>
      <c r="B2618" t="str">
        <f>"00844679"</f>
        <v>00844679</v>
      </c>
      <c r="C2618" t="s">
        <v>14937</v>
      </c>
      <c r="D2618" t="s">
        <v>14938</v>
      </c>
      <c r="E2618" t="s">
        <v>14939</v>
      </c>
      <c r="G2618" t="s">
        <v>14937</v>
      </c>
      <c r="H2618" t="s">
        <v>4189</v>
      </c>
      <c r="J2618" t="s">
        <v>14940</v>
      </c>
      <c r="L2618" t="s">
        <v>150</v>
      </c>
      <c r="M2618" t="s">
        <v>113</v>
      </c>
      <c r="R2618" t="s">
        <v>14941</v>
      </c>
      <c r="W2618" t="s">
        <v>14939</v>
      </c>
      <c r="X2618" t="s">
        <v>14942</v>
      </c>
      <c r="Y2618" t="s">
        <v>326</v>
      </c>
      <c r="Z2618" t="s">
        <v>117</v>
      </c>
      <c r="AA2618" t="str">
        <f>"14127"</f>
        <v>14127</v>
      </c>
      <c r="AB2618" t="s">
        <v>118</v>
      </c>
      <c r="AC2618" t="s">
        <v>119</v>
      </c>
      <c r="AD2618" t="s">
        <v>113</v>
      </c>
      <c r="AE2618" t="s">
        <v>120</v>
      </c>
      <c r="AG2618" t="s">
        <v>121</v>
      </c>
    </row>
    <row r="2619" spans="1:33" x14ac:dyDescent="0.25">
      <c r="A2619" t="str">
        <f>"1003891896"</f>
        <v>1003891896</v>
      </c>
      <c r="B2619" t="str">
        <f>"01934587"</f>
        <v>01934587</v>
      </c>
      <c r="C2619" t="s">
        <v>14943</v>
      </c>
      <c r="D2619" t="s">
        <v>14944</v>
      </c>
      <c r="E2619" t="s">
        <v>14945</v>
      </c>
      <c r="G2619" t="s">
        <v>14943</v>
      </c>
      <c r="H2619" t="s">
        <v>449</v>
      </c>
      <c r="J2619" t="s">
        <v>14946</v>
      </c>
      <c r="L2619" t="s">
        <v>142</v>
      </c>
      <c r="M2619" t="s">
        <v>113</v>
      </c>
      <c r="R2619" t="s">
        <v>14947</v>
      </c>
      <c r="W2619" t="s">
        <v>14945</v>
      </c>
      <c r="X2619" t="s">
        <v>14948</v>
      </c>
      <c r="Y2619" t="s">
        <v>116</v>
      </c>
      <c r="Z2619" t="s">
        <v>117</v>
      </c>
      <c r="AA2619" t="str">
        <f>"14214-2648"</f>
        <v>14214-2648</v>
      </c>
      <c r="AB2619" t="s">
        <v>118</v>
      </c>
      <c r="AC2619" t="s">
        <v>119</v>
      </c>
      <c r="AD2619" t="s">
        <v>113</v>
      </c>
      <c r="AE2619" t="s">
        <v>120</v>
      </c>
      <c r="AG2619" t="s">
        <v>121</v>
      </c>
    </row>
    <row r="2620" spans="1:33" x14ac:dyDescent="0.25">
      <c r="A2620" t="str">
        <f>"1003892134"</f>
        <v>1003892134</v>
      </c>
      <c r="B2620" t="str">
        <f>"02087290"</f>
        <v>02087290</v>
      </c>
      <c r="C2620" t="s">
        <v>14949</v>
      </c>
      <c r="D2620" t="s">
        <v>14950</v>
      </c>
      <c r="E2620" t="s">
        <v>14951</v>
      </c>
      <c r="G2620" t="s">
        <v>14949</v>
      </c>
      <c r="H2620" t="s">
        <v>1013</v>
      </c>
      <c r="J2620" t="s">
        <v>14952</v>
      </c>
      <c r="L2620" t="s">
        <v>112</v>
      </c>
      <c r="M2620" t="s">
        <v>113</v>
      </c>
      <c r="R2620" t="s">
        <v>14953</v>
      </c>
      <c r="W2620" t="s">
        <v>14951</v>
      </c>
      <c r="X2620" t="s">
        <v>3037</v>
      </c>
      <c r="Y2620" t="s">
        <v>240</v>
      </c>
      <c r="Z2620" t="s">
        <v>117</v>
      </c>
      <c r="AA2620" t="str">
        <f>"14221-5329"</f>
        <v>14221-5329</v>
      </c>
      <c r="AB2620" t="s">
        <v>118</v>
      </c>
      <c r="AC2620" t="s">
        <v>119</v>
      </c>
      <c r="AD2620" t="s">
        <v>113</v>
      </c>
      <c r="AE2620" t="s">
        <v>120</v>
      </c>
      <c r="AG2620" t="s">
        <v>121</v>
      </c>
    </row>
    <row r="2621" spans="1:33" x14ac:dyDescent="0.25">
      <c r="A2621" t="str">
        <f>"1003954140"</f>
        <v>1003954140</v>
      </c>
      <c r="B2621" t="str">
        <f>"02564125"</f>
        <v>02564125</v>
      </c>
      <c r="C2621" t="s">
        <v>14954</v>
      </c>
      <c r="D2621" t="s">
        <v>14955</v>
      </c>
      <c r="E2621" t="s">
        <v>14956</v>
      </c>
      <c r="G2621" t="s">
        <v>14954</v>
      </c>
      <c r="H2621" t="s">
        <v>14957</v>
      </c>
      <c r="J2621" t="s">
        <v>14958</v>
      </c>
      <c r="L2621" t="s">
        <v>112</v>
      </c>
      <c r="M2621" t="s">
        <v>113</v>
      </c>
      <c r="R2621" t="s">
        <v>14959</v>
      </c>
      <c r="W2621" t="s">
        <v>14956</v>
      </c>
      <c r="X2621" t="s">
        <v>1845</v>
      </c>
      <c r="Y2621" t="s">
        <v>816</v>
      </c>
      <c r="Z2621" t="s">
        <v>117</v>
      </c>
      <c r="AA2621" t="str">
        <f>"14120-6150"</f>
        <v>14120-6150</v>
      </c>
      <c r="AB2621" t="s">
        <v>118</v>
      </c>
      <c r="AC2621" t="s">
        <v>119</v>
      </c>
      <c r="AD2621" t="s">
        <v>113</v>
      </c>
      <c r="AE2621" t="s">
        <v>120</v>
      </c>
      <c r="AG2621" t="s">
        <v>121</v>
      </c>
    </row>
    <row r="2622" spans="1:33" x14ac:dyDescent="0.25">
      <c r="A2622" t="str">
        <f>"1003966995"</f>
        <v>1003966995</v>
      </c>
      <c r="C2622" t="s">
        <v>14960</v>
      </c>
      <c r="G2622" t="s">
        <v>14960</v>
      </c>
      <c r="H2622" t="s">
        <v>937</v>
      </c>
      <c r="J2622" t="s">
        <v>14961</v>
      </c>
      <c r="K2622" t="s">
        <v>303</v>
      </c>
      <c r="L2622" t="s">
        <v>112</v>
      </c>
      <c r="M2622" t="s">
        <v>113</v>
      </c>
      <c r="R2622" t="s">
        <v>14962</v>
      </c>
      <c r="S2622" t="s">
        <v>3739</v>
      </c>
      <c r="T2622" t="s">
        <v>240</v>
      </c>
      <c r="U2622" t="s">
        <v>117</v>
      </c>
      <c r="V2622" t="str">
        <f>"142216728"</f>
        <v>142216728</v>
      </c>
      <c r="AC2622" t="s">
        <v>119</v>
      </c>
      <c r="AD2622" t="s">
        <v>113</v>
      </c>
      <c r="AE2622" t="s">
        <v>306</v>
      </c>
      <c r="AG2622" t="s">
        <v>121</v>
      </c>
    </row>
    <row r="2623" spans="1:33" x14ac:dyDescent="0.25">
      <c r="A2623" t="str">
        <f>"1003968025"</f>
        <v>1003968025</v>
      </c>
      <c r="C2623" t="s">
        <v>14963</v>
      </c>
      <c r="G2623" t="s">
        <v>14963</v>
      </c>
      <c r="H2623" t="s">
        <v>1071</v>
      </c>
      <c r="J2623" t="s">
        <v>14964</v>
      </c>
      <c r="K2623" t="s">
        <v>303</v>
      </c>
      <c r="L2623" t="s">
        <v>112</v>
      </c>
      <c r="M2623" t="s">
        <v>113</v>
      </c>
      <c r="R2623" t="s">
        <v>14965</v>
      </c>
      <c r="S2623" t="s">
        <v>12066</v>
      </c>
      <c r="T2623" t="s">
        <v>116</v>
      </c>
      <c r="U2623" t="s">
        <v>117</v>
      </c>
      <c r="V2623" t="str">
        <f>"14214"</f>
        <v>14214</v>
      </c>
      <c r="AC2623" t="s">
        <v>119</v>
      </c>
      <c r="AD2623" t="s">
        <v>113</v>
      </c>
      <c r="AE2623" t="s">
        <v>306</v>
      </c>
      <c r="AG2623" t="s">
        <v>121</v>
      </c>
    </row>
    <row r="2624" spans="1:33" x14ac:dyDescent="0.25">
      <c r="A2624" t="str">
        <f>"1013002294"</f>
        <v>1013002294</v>
      </c>
      <c r="C2624" t="s">
        <v>14966</v>
      </c>
      <c r="G2624" t="s">
        <v>14967</v>
      </c>
      <c r="J2624" t="s">
        <v>352</v>
      </c>
      <c r="K2624" t="s">
        <v>303</v>
      </c>
      <c r="L2624" t="s">
        <v>229</v>
      </c>
      <c r="M2624" t="s">
        <v>113</v>
      </c>
      <c r="R2624" t="s">
        <v>14968</v>
      </c>
      <c r="S2624" t="s">
        <v>1922</v>
      </c>
      <c r="T2624" t="s">
        <v>268</v>
      </c>
      <c r="U2624" t="s">
        <v>117</v>
      </c>
      <c r="V2624" t="str">
        <f>"141508441"</f>
        <v>141508441</v>
      </c>
      <c r="AC2624" t="s">
        <v>119</v>
      </c>
      <c r="AD2624" t="s">
        <v>113</v>
      </c>
      <c r="AE2624" t="s">
        <v>306</v>
      </c>
      <c r="AG2624" t="s">
        <v>121</v>
      </c>
    </row>
    <row r="2625" spans="1:33" x14ac:dyDescent="0.25">
      <c r="A2625" t="str">
        <f>"1013017318"</f>
        <v>1013017318</v>
      </c>
      <c r="B2625" t="str">
        <f>"01205590"</f>
        <v>01205590</v>
      </c>
      <c r="C2625" t="s">
        <v>14969</v>
      </c>
      <c r="D2625" t="s">
        <v>14970</v>
      </c>
      <c r="E2625" t="s">
        <v>14971</v>
      </c>
      <c r="G2625" t="s">
        <v>14969</v>
      </c>
      <c r="H2625" t="s">
        <v>11075</v>
      </c>
      <c r="J2625" t="s">
        <v>14972</v>
      </c>
      <c r="L2625" t="s">
        <v>142</v>
      </c>
      <c r="M2625" t="s">
        <v>113</v>
      </c>
      <c r="R2625" t="s">
        <v>14973</v>
      </c>
      <c r="W2625" t="s">
        <v>14971</v>
      </c>
      <c r="X2625" t="s">
        <v>253</v>
      </c>
      <c r="Y2625" t="s">
        <v>116</v>
      </c>
      <c r="Z2625" t="s">
        <v>117</v>
      </c>
      <c r="AA2625" t="str">
        <f>"14215-3021"</f>
        <v>14215-3021</v>
      </c>
      <c r="AB2625" t="s">
        <v>118</v>
      </c>
      <c r="AC2625" t="s">
        <v>119</v>
      </c>
      <c r="AD2625" t="s">
        <v>113</v>
      </c>
      <c r="AE2625" t="s">
        <v>120</v>
      </c>
      <c r="AG2625" t="s">
        <v>121</v>
      </c>
    </row>
    <row r="2626" spans="1:33" x14ac:dyDescent="0.25">
      <c r="A2626" t="str">
        <f>"1013036706"</f>
        <v>1013036706</v>
      </c>
      <c r="B2626" t="str">
        <f>"02878348"</f>
        <v>02878348</v>
      </c>
      <c r="C2626" t="s">
        <v>14974</v>
      </c>
      <c r="D2626" t="s">
        <v>14975</v>
      </c>
      <c r="E2626" t="s">
        <v>14976</v>
      </c>
      <c r="G2626" t="s">
        <v>14977</v>
      </c>
      <c r="H2626" t="s">
        <v>14978</v>
      </c>
      <c r="J2626" t="s">
        <v>14979</v>
      </c>
      <c r="L2626" t="s">
        <v>150</v>
      </c>
      <c r="M2626" t="s">
        <v>199</v>
      </c>
      <c r="R2626" t="s">
        <v>14980</v>
      </c>
      <c r="W2626" t="s">
        <v>14981</v>
      </c>
      <c r="X2626" t="s">
        <v>14982</v>
      </c>
      <c r="Y2626" t="s">
        <v>116</v>
      </c>
      <c r="Z2626" t="s">
        <v>117</v>
      </c>
      <c r="AA2626" t="str">
        <f>"14214-2635"</f>
        <v>14214-2635</v>
      </c>
      <c r="AB2626" t="s">
        <v>118</v>
      </c>
      <c r="AC2626" t="s">
        <v>119</v>
      </c>
      <c r="AD2626" t="s">
        <v>113</v>
      </c>
      <c r="AE2626" t="s">
        <v>120</v>
      </c>
      <c r="AG2626" t="s">
        <v>121</v>
      </c>
    </row>
    <row r="2627" spans="1:33" x14ac:dyDescent="0.25">
      <c r="A2627" t="str">
        <f>"1033408976"</f>
        <v>1033408976</v>
      </c>
      <c r="C2627" t="s">
        <v>14983</v>
      </c>
      <c r="G2627" t="s">
        <v>14983</v>
      </c>
      <c r="H2627" t="s">
        <v>590</v>
      </c>
      <c r="J2627" t="s">
        <v>14984</v>
      </c>
      <c r="K2627" t="s">
        <v>303</v>
      </c>
      <c r="L2627" t="s">
        <v>112</v>
      </c>
      <c r="M2627" t="s">
        <v>113</v>
      </c>
      <c r="R2627" t="s">
        <v>14985</v>
      </c>
      <c r="S2627" t="s">
        <v>6904</v>
      </c>
      <c r="T2627" t="s">
        <v>268</v>
      </c>
      <c r="U2627" t="s">
        <v>117</v>
      </c>
      <c r="V2627" t="str">
        <f>"141509200"</f>
        <v>141509200</v>
      </c>
      <c r="AC2627" t="s">
        <v>119</v>
      </c>
      <c r="AD2627" t="s">
        <v>113</v>
      </c>
      <c r="AE2627" t="s">
        <v>306</v>
      </c>
      <c r="AG2627" t="s">
        <v>121</v>
      </c>
    </row>
    <row r="2628" spans="1:33" x14ac:dyDescent="0.25">
      <c r="A2628" t="str">
        <f>"1033409917"</f>
        <v>1033409917</v>
      </c>
      <c r="B2628" t="str">
        <f>"04045805"</f>
        <v>04045805</v>
      </c>
      <c r="C2628" t="s">
        <v>14986</v>
      </c>
      <c r="D2628" t="s">
        <v>14987</v>
      </c>
      <c r="E2628" t="s">
        <v>14988</v>
      </c>
      <c r="G2628" t="s">
        <v>14989</v>
      </c>
      <c r="H2628" t="s">
        <v>14990</v>
      </c>
      <c r="J2628" t="s">
        <v>14991</v>
      </c>
      <c r="L2628" t="s">
        <v>112</v>
      </c>
      <c r="M2628" t="s">
        <v>113</v>
      </c>
      <c r="R2628" t="s">
        <v>14992</v>
      </c>
      <c r="W2628" t="s">
        <v>14988</v>
      </c>
      <c r="X2628" t="s">
        <v>14993</v>
      </c>
      <c r="Y2628" t="s">
        <v>116</v>
      </c>
      <c r="Z2628" t="s">
        <v>117</v>
      </c>
      <c r="AA2628" t="str">
        <f>"14209-1912"</f>
        <v>14209-1912</v>
      </c>
      <c r="AB2628" t="s">
        <v>621</v>
      </c>
      <c r="AC2628" t="s">
        <v>119</v>
      </c>
      <c r="AD2628" t="s">
        <v>113</v>
      </c>
      <c r="AE2628" t="s">
        <v>120</v>
      </c>
      <c r="AG2628" t="s">
        <v>121</v>
      </c>
    </row>
    <row r="2629" spans="1:33" x14ac:dyDescent="0.25">
      <c r="A2629" t="str">
        <f>"1033415161"</f>
        <v>1033415161</v>
      </c>
      <c r="B2629" t="str">
        <f>"03628026"</f>
        <v>03628026</v>
      </c>
      <c r="C2629" t="s">
        <v>710</v>
      </c>
      <c r="D2629" t="s">
        <v>14994</v>
      </c>
      <c r="E2629" t="s">
        <v>14995</v>
      </c>
      <c r="F2629">
        <v>161291766</v>
      </c>
      <c r="G2629" t="s">
        <v>14995</v>
      </c>
      <c r="H2629" t="s">
        <v>713</v>
      </c>
      <c r="L2629" t="s">
        <v>13</v>
      </c>
      <c r="M2629" t="s">
        <v>199</v>
      </c>
      <c r="R2629" t="s">
        <v>710</v>
      </c>
      <c r="W2629" t="s">
        <v>14995</v>
      </c>
      <c r="X2629" t="s">
        <v>1459</v>
      </c>
      <c r="Y2629" t="s">
        <v>305</v>
      </c>
      <c r="Z2629" t="s">
        <v>117</v>
      </c>
      <c r="AA2629" t="str">
        <f>"14760-1100"</f>
        <v>14760-1100</v>
      </c>
      <c r="AB2629" t="s">
        <v>1460</v>
      </c>
      <c r="AC2629" t="s">
        <v>119</v>
      </c>
      <c r="AD2629" t="s">
        <v>113</v>
      </c>
      <c r="AE2629" t="s">
        <v>120</v>
      </c>
      <c r="AG2629" t="s">
        <v>121</v>
      </c>
    </row>
    <row r="2630" spans="1:33" x14ac:dyDescent="0.25">
      <c r="A2630" t="str">
        <f>"1033432893"</f>
        <v>1033432893</v>
      </c>
      <c r="B2630" t="str">
        <f>"03222979"</f>
        <v>03222979</v>
      </c>
      <c r="C2630" t="s">
        <v>14996</v>
      </c>
      <c r="D2630" t="s">
        <v>14997</v>
      </c>
      <c r="E2630" t="s">
        <v>14998</v>
      </c>
      <c r="G2630" t="s">
        <v>14999</v>
      </c>
      <c r="H2630" t="s">
        <v>15000</v>
      </c>
      <c r="J2630" t="s">
        <v>15001</v>
      </c>
      <c r="L2630" t="s">
        <v>728</v>
      </c>
      <c r="M2630" t="s">
        <v>113</v>
      </c>
      <c r="R2630" t="s">
        <v>15002</v>
      </c>
      <c r="W2630" t="s">
        <v>14998</v>
      </c>
      <c r="X2630" t="s">
        <v>176</v>
      </c>
      <c r="Y2630" t="s">
        <v>116</v>
      </c>
      <c r="Z2630" t="s">
        <v>117</v>
      </c>
      <c r="AA2630" t="str">
        <f>"14203-1126"</f>
        <v>14203-1126</v>
      </c>
      <c r="AB2630" t="s">
        <v>118</v>
      </c>
      <c r="AC2630" t="s">
        <v>119</v>
      </c>
      <c r="AD2630" t="s">
        <v>113</v>
      </c>
      <c r="AE2630" t="s">
        <v>120</v>
      </c>
      <c r="AG2630" t="s">
        <v>121</v>
      </c>
    </row>
    <row r="2631" spans="1:33" x14ac:dyDescent="0.25">
      <c r="A2631" t="str">
        <f>"1053391433"</f>
        <v>1053391433</v>
      </c>
      <c r="B2631" t="str">
        <f>"02993828"</f>
        <v>02993828</v>
      </c>
      <c r="C2631" t="s">
        <v>17508</v>
      </c>
      <c r="D2631" t="s">
        <v>17509</v>
      </c>
      <c r="E2631" t="s">
        <v>17510</v>
      </c>
      <c r="G2631" t="s">
        <v>17511</v>
      </c>
      <c r="H2631" t="s">
        <v>17512</v>
      </c>
      <c r="J2631" t="s">
        <v>17513</v>
      </c>
      <c r="L2631" t="s">
        <v>280</v>
      </c>
      <c r="M2631" t="s">
        <v>113</v>
      </c>
      <c r="R2631" t="s">
        <v>17508</v>
      </c>
      <c r="W2631" t="s">
        <v>17514</v>
      </c>
      <c r="X2631" t="s">
        <v>17515</v>
      </c>
      <c r="Y2631" t="s">
        <v>8192</v>
      </c>
      <c r="Z2631" t="s">
        <v>117</v>
      </c>
      <c r="AA2631" t="str">
        <f>"10701-5942"</f>
        <v>10701-5942</v>
      </c>
      <c r="AB2631" t="s">
        <v>282</v>
      </c>
      <c r="AC2631" t="s">
        <v>119</v>
      </c>
      <c r="AD2631" t="s">
        <v>113</v>
      </c>
      <c r="AE2631" t="s">
        <v>120</v>
      </c>
      <c r="AG2631" t="s">
        <v>121</v>
      </c>
    </row>
    <row r="2632" spans="1:33" x14ac:dyDescent="0.25">
      <c r="A2632" t="str">
        <f>"1033499017"</f>
        <v>1033499017</v>
      </c>
      <c r="B2632" t="str">
        <f>"03406388"</f>
        <v>03406388</v>
      </c>
      <c r="C2632" t="s">
        <v>1516</v>
      </c>
      <c r="D2632" t="s">
        <v>15008</v>
      </c>
      <c r="E2632" t="s">
        <v>1516</v>
      </c>
      <c r="G2632" t="s">
        <v>1516</v>
      </c>
      <c r="H2632" t="s">
        <v>579</v>
      </c>
      <c r="L2632" t="s">
        <v>69</v>
      </c>
      <c r="M2632" t="s">
        <v>113</v>
      </c>
      <c r="R2632" t="s">
        <v>1516</v>
      </c>
      <c r="W2632" t="s">
        <v>1516</v>
      </c>
      <c r="X2632" t="s">
        <v>1098</v>
      </c>
      <c r="Y2632" t="s">
        <v>305</v>
      </c>
      <c r="Z2632" t="s">
        <v>117</v>
      </c>
      <c r="AA2632" t="str">
        <f>"14760-1513"</f>
        <v>14760-1513</v>
      </c>
      <c r="AB2632" t="s">
        <v>872</v>
      </c>
      <c r="AC2632" t="s">
        <v>119</v>
      </c>
      <c r="AD2632" t="s">
        <v>113</v>
      </c>
      <c r="AE2632" t="s">
        <v>120</v>
      </c>
      <c r="AG2632" t="s">
        <v>121</v>
      </c>
    </row>
    <row r="2633" spans="1:33" x14ac:dyDescent="0.25">
      <c r="A2633" t="str">
        <f>"1033531801"</f>
        <v>1033531801</v>
      </c>
      <c r="C2633" t="s">
        <v>15009</v>
      </c>
      <c r="G2633" t="s">
        <v>15010</v>
      </c>
      <c r="H2633" t="s">
        <v>351</v>
      </c>
      <c r="J2633" t="s">
        <v>352</v>
      </c>
      <c r="K2633" t="s">
        <v>303</v>
      </c>
      <c r="L2633" t="s">
        <v>112</v>
      </c>
      <c r="M2633" t="s">
        <v>113</v>
      </c>
      <c r="R2633" t="s">
        <v>15011</v>
      </c>
      <c r="S2633" t="s">
        <v>354</v>
      </c>
      <c r="T2633" t="s">
        <v>116</v>
      </c>
      <c r="U2633" t="s">
        <v>117</v>
      </c>
      <c r="V2633" t="str">
        <f>"142152814"</f>
        <v>142152814</v>
      </c>
      <c r="AC2633" t="s">
        <v>119</v>
      </c>
      <c r="AD2633" t="s">
        <v>113</v>
      </c>
      <c r="AE2633" t="s">
        <v>306</v>
      </c>
      <c r="AG2633" t="s">
        <v>121</v>
      </c>
    </row>
    <row r="2634" spans="1:33" x14ac:dyDescent="0.25">
      <c r="A2634" t="str">
        <f>"1033533559"</f>
        <v>1033533559</v>
      </c>
      <c r="C2634" t="s">
        <v>15012</v>
      </c>
      <c r="G2634" t="s">
        <v>15013</v>
      </c>
      <c r="H2634" t="s">
        <v>351</v>
      </c>
      <c r="K2634" t="s">
        <v>303</v>
      </c>
      <c r="L2634" t="s">
        <v>229</v>
      </c>
      <c r="M2634" t="s">
        <v>113</v>
      </c>
      <c r="R2634" t="s">
        <v>15014</v>
      </c>
      <c r="S2634" t="s">
        <v>354</v>
      </c>
      <c r="T2634" t="s">
        <v>116</v>
      </c>
      <c r="U2634" t="s">
        <v>117</v>
      </c>
      <c r="V2634" t="str">
        <f>"142152814"</f>
        <v>142152814</v>
      </c>
      <c r="AC2634" t="s">
        <v>119</v>
      </c>
      <c r="AD2634" t="s">
        <v>113</v>
      </c>
      <c r="AE2634" t="s">
        <v>306</v>
      </c>
      <c r="AG2634" t="s">
        <v>121</v>
      </c>
    </row>
    <row r="2635" spans="1:33" x14ac:dyDescent="0.25">
      <c r="A2635" t="str">
        <f>"1033549506"</f>
        <v>1033549506</v>
      </c>
      <c r="C2635" t="s">
        <v>15015</v>
      </c>
      <c r="G2635" t="s">
        <v>15016</v>
      </c>
      <c r="H2635" t="s">
        <v>437</v>
      </c>
      <c r="J2635" t="s">
        <v>438</v>
      </c>
      <c r="K2635" t="s">
        <v>303</v>
      </c>
      <c r="L2635" t="s">
        <v>112</v>
      </c>
      <c r="M2635" t="s">
        <v>113</v>
      </c>
      <c r="R2635" t="s">
        <v>15017</v>
      </c>
      <c r="S2635" t="s">
        <v>1117</v>
      </c>
      <c r="T2635" t="s">
        <v>318</v>
      </c>
      <c r="U2635" t="s">
        <v>117</v>
      </c>
      <c r="V2635" t="str">
        <f>"142254965"</f>
        <v>142254965</v>
      </c>
      <c r="AC2635" t="s">
        <v>119</v>
      </c>
      <c r="AD2635" t="s">
        <v>113</v>
      </c>
      <c r="AE2635" t="s">
        <v>306</v>
      </c>
      <c r="AG2635" t="s">
        <v>121</v>
      </c>
    </row>
    <row r="2636" spans="1:33" x14ac:dyDescent="0.25">
      <c r="A2636" t="str">
        <f>"1043201411"</f>
        <v>1043201411</v>
      </c>
      <c r="B2636" t="str">
        <f>"02315864"</f>
        <v>02315864</v>
      </c>
      <c r="C2636" t="s">
        <v>15018</v>
      </c>
      <c r="D2636" t="s">
        <v>15019</v>
      </c>
      <c r="E2636" t="s">
        <v>15020</v>
      </c>
      <c r="G2636" t="s">
        <v>15018</v>
      </c>
      <c r="H2636" t="s">
        <v>707</v>
      </c>
      <c r="J2636" t="s">
        <v>15021</v>
      </c>
      <c r="L2636" t="s">
        <v>142</v>
      </c>
      <c r="M2636" t="s">
        <v>113</v>
      </c>
      <c r="R2636" t="s">
        <v>15022</v>
      </c>
      <c r="W2636" t="s">
        <v>15023</v>
      </c>
      <c r="X2636" t="s">
        <v>709</v>
      </c>
      <c r="Y2636" t="s">
        <v>116</v>
      </c>
      <c r="Z2636" t="s">
        <v>117</v>
      </c>
      <c r="AA2636" t="str">
        <f>"14263-0001"</f>
        <v>14263-0001</v>
      </c>
      <c r="AB2636" t="s">
        <v>118</v>
      </c>
      <c r="AC2636" t="s">
        <v>119</v>
      </c>
      <c r="AD2636" t="s">
        <v>113</v>
      </c>
      <c r="AE2636" t="s">
        <v>120</v>
      </c>
      <c r="AG2636" t="s">
        <v>121</v>
      </c>
    </row>
    <row r="2637" spans="1:33" x14ac:dyDescent="0.25">
      <c r="A2637" t="str">
        <f>"1043205545"</f>
        <v>1043205545</v>
      </c>
      <c r="B2637" t="str">
        <f>"01892222"</f>
        <v>01892222</v>
      </c>
      <c r="C2637" t="s">
        <v>15024</v>
      </c>
      <c r="D2637" t="s">
        <v>15025</v>
      </c>
      <c r="E2637" t="s">
        <v>15026</v>
      </c>
      <c r="L2637" t="s">
        <v>112</v>
      </c>
      <c r="M2637" t="s">
        <v>113</v>
      </c>
      <c r="R2637" t="s">
        <v>15024</v>
      </c>
      <c r="W2637" t="s">
        <v>15026</v>
      </c>
      <c r="X2637" t="s">
        <v>15027</v>
      </c>
      <c r="Y2637" t="s">
        <v>2762</v>
      </c>
      <c r="Z2637" t="s">
        <v>117</v>
      </c>
      <c r="AA2637" t="str">
        <f>"14611-3201"</f>
        <v>14611-3201</v>
      </c>
      <c r="AB2637" t="s">
        <v>118</v>
      </c>
      <c r="AC2637" t="s">
        <v>119</v>
      </c>
      <c r="AD2637" t="s">
        <v>113</v>
      </c>
      <c r="AE2637" t="s">
        <v>120</v>
      </c>
      <c r="AG2637" t="s">
        <v>121</v>
      </c>
    </row>
    <row r="2638" spans="1:33" x14ac:dyDescent="0.25">
      <c r="A2638" t="str">
        <f>"1043205982"</f>
        <v>1043205982</v>
      </c>
      <c r="B2638" t="str">
        <f>"01127302"</f>
        <v>01127302</v>
      </c>
      <c r="C2638" t="s">
        <v>15028</v>
      </c>
      <c r="D2638" t="s">
        <v>15029</v>
      </c>
      <c r="E2638" t="s">
        <v>15030</v>
      </c>
      <c r="G2638" t="s">
        <v>15028</v>
      </c>
      <c r="H2638" t="s">
        <v>12879</v>
      </c>
      <c r="J2638" t="s">
        <v>15031</v>
      </c>
      <c r="L2638" t="s">
        <v>150</v>
      </c>
      <c r="M2638" t="s">
        <v>113</v>
      </c>
      <c r="R2638" t="s">
        <v>15032</v>
      </c>
      <c r="W2638" t="s">
        <v>15030</v>
      </c>
      <c r="Y2638" t="s">
        <v>116</v>
      </c>
      <c r="Z2638" t="s">
        <v>117</v>
      </c>
      <c r="AA2638" t="str">
        <f>"14222-2099"</f>
        <v>14222-2099</v>
      </c>
      <c r="AB2638" t="s">
        <v>118</v>
      </c>
      <c r="AC2638" t="s">
        <v>119</v>
      </c>
      <c r="AD2638" t="s">
        <v>113</v>
      </c>
      <c r="AE2638" t="s">
        <v>120</v>
      </c>
      <c r="AG2638" t="s">
        <v>121</v>
      </c>
    </row>
    <row r="2639" spans="1:33" x14ac:dyDescent="0.25">
      <c r="A2639" t="str">
        <f>"1043217193"</f>
        <v>1043217193</v>
      </c>
      <c r="B2639" t="str">
        <f>"01991271"</f>
        <v>01991271</v>
      </c>
      <c r="C2639" t="s">
        <v>15033</v>
      </c>
      <c r="D2639" t="s">
        <v>15034</v>
      </c>
      <c r="E2639" t="s">
        <v>15035</v>
      </c>
      <c r="G2639" t="s">
        <v>15036</v>
      </c>
      <c r="H2639" t="s">
        <v>707</v>
      </c>
      <c r="J2639" t="s">
        <v>15037</v>
      </c>
      <c r="L2639" t="s">
        <v>142</v>
      </c>
      <c r="M2639" t="s">
        <v>113</v>
      </c>
      <c r="R2639" t="s">
        <v>15035</v>
      </c>
      <c r="W2639" t="s">
        <v>15035</v>
      </c>
      <c r="X2639" t="s">
        <v>10628</v>
      </c>
      <c r="Y2639" t="s">
        <v>116</v>
      </c>
      <c r="Z2639" t="s">
        <v>117</v>
      </c>
      <c r="AA2639" t="str">
        <f>"14263-0001"</f>
        <v>14263-0001</v>
      </c>
      <c r="AB2639" t="s">
        <v>118</v>
      </c>
      <c r="AC2639" t="s">
        <v>119</v>
      </c>
      <c r="AD2639" t="s">
        <v>113</v>
      </c>
      <c r="AE2639" t="s">
        <v>120</v>
      </c>
      <c r="AG2639" t="s">
        <v>121</v>
      </c>
    </row>
    <row r="2640" spans="1:33" x14ac:dyDescent="0.25">
      <c r="A2640" t="str">
        <f>"1043253966"</f>
        <v>1043253966</v>
      </c>
      <c r="B2640" t="str">
        <f>"00743682"</f>
        <v>00743682</v>
      </c>
      <c r="C2640" t="s">
        <v>15038</v>
      </c>
      <c r="D2640" t="s">
        <v>15039</v>
      </c>
      <c r="E2640" t="s">
        <v>15040</v>
      </c>
      <c r="G2640" t="s">
        <v>859</v>
      </c>
      <c r="H2640" t="s">
        <v>1478</v>
      </c>
      <c r="J2640" t="s">
        <v>861</v>
      </c>
      <c r="L2640" t="s">
        <v>142</v>
      </c>
      <c r="M2640" t="s">
        <v>113</v>
      </c>
      <c r="R2640" t="s">
        <v>15041</v>
      </c>
      <c r="W2640" t="s">
        <v>15040</v>
      </c>
      <c r="X2640" t="s">
        <v>838</v>
      </c>
      <c r="Y2640" t="s">
        <v>240</v>
      </c>
      <c r="Z2640" t="s">
        <v>117</v>
      </c>
      <c r="AA2640" t="str">
        <f>"14221-3698"</f>
        <v>14221-3698</v>
      </c>
      <c r="AB2640" t="s">
        <v>118</v>
      </c>
      <c r="AC2640" t="s">
        <v>119</v>
      </c>
      <c r="AD2640" t="s">
        <v>113</v>
      </c>
      <c r="AE2640" t="s">
        <v>120</v>
      </c>
      <c r="AG2640" t="s">
        <v>121</v>
      </c>
    </row>
    <row r="2641" spans="1:33" x14ac:dyDescent="0.25">
      <c r="A2641" t="str">
        <f>"1023030251"</f>
        <v>1023030251</v>
      </c>
      <c r="B2641" t="str">
        <f>"01674244"</f>
        <v>01674244</v>
      </c>
      <c r="C2641" t="s">
        <v>15042</v>
      </c>
      <c r="D2641" t="s">
        <v>15043</v>
      </c>
      <c r="E2641" t="s">
        <v>15044</v>
      </c>
      <c r="L2641" t="s">
        <v>150</v>
      </c>
      <c r="M2641" t="s">
        <v>113</v>
      </c>
      <c r="R2641" t="s">
        <v>15042</v>
      </c>
      <c r="W2641" t="s">
        <v>15044</v>
      </c>
      <c r="X2641" t="s">
        <v>12629</v>
      </c>
      <c r="Y2641" t="s">
        <v>326</v>
      </c>
      <c r="Z2641" t="s">
        <v>117</v>
      </c>
      <c r="AA2641" t="str">
        <f>"14127-1209"</f>
        <v>14127-1209</v>
      </c>
      <c r="AB2641" t="s">
        <v>118</v>
      </c>
      <c r="AC2641" t="s">
        <v>119</v>
      </c>
      <c r="AD2641" t="s">
        <v>113</v>
      </c>
      <c r="AE2641" t="s">
        <v>120</v>
      </c>
      <c r="AG2641" t="s">
        <v>121</v>
      </c>
    </row>
    <row r="2642" spans="1:33" x14ac:dyDescent="0.25">
      <c r="A2642" t="str">
        <f>"1023031200"</f>
        <v>1023031200</v>
      </c>
      <c r="B2642" t="str">
        <f>"03388401"</f>
        <v>03388401</v>
      </c>
      <c r="C2642" t="s">
        <v>15045</v>
      </c>
      <c r="D2642" t="s">
        <v>15046</v>
      </c>
      <c r="E2642" t="s">
        <v>15047</v>
      </c>
      <c r="G2642" t="s">
        <v>15048</v>
      </c>
      <c r="H2642" t="s">
        <v>6733</v>
      </c>
      <c r="L2642" t="s">
        <v>150</v>
      </c>
      <c r="M2642" t="s">
        <v>199</v>
      </c>
      <c r="R2642" t="s">
        <v>15049</v>
      </c>
      <c r="W2642" t="s">
        <v>15047</v>
      </c>
      <c r="X2642" t="s">
        <v>855</v>
      </c>
      <c r="Y2642" t="s">
        <v>116</v>
      </c>
      <c r="Z2642" t="s">
        <v>117</v>
      </c>
      <c r="AA2642" t="str">
        <f>"14213-1573"</f>
        <v>14213-1573</v>
      </c>
      <c r="AB2642" t="s">
        <v>118</v>
      </c>
      <c r="AC2642" t="s">
        <v>119</v>
      </c>
      <c r="AD2642" t="s">
        <v>113</v>
      </c>
      <c r="AE2642" t="s">
        <v>120</v>
      </c>
      <c r="AG2642" t="s">
        <v>121</v>
      </c>
    </row>
    <row r="2643" spans="1:33" x14ac:dyDescent="0.25">
      <c r="A2643" t="str">
        <f>"1023039658"</f>
        <v>1023039658</v>
      </c>
      <c r="B2643" t="str">
        <f>"02563913"</f>
        <v>02563913</v>
      </c>
      <c r="C2643" t="s">
        <v>15050</v>
      </c>
      <c r="D2643" t="s">
        <v>15051</v>
      </c>
      <c r="E2643" t="s">
        <v>15052</v>
      </c>
      <c r="L2643" t="s">
        <v>142</v>
      </c>
      <c r="M2643" t="s">
        <v>113</v>
      </c>
      <c r="R2643" t="s">
        <v>15053</v>
      </c>
      <c r="W2643" t="s">
        <v>15052</v>
      </c>
      <c r="X2643" t="s">
        <v>253</v>
      </c>
      <c r="Y2643" t="s">
        <v>116</v>
      </c>
      <c r="Z2643" t="s">
        <v>117</v>
      </c>
      <c r="AA2643" t="str">
        <f>"14215-3021"</f>
        <v>14215-3021</v>
      </c>
      <c r="AB2643" t="s">
        <v>118</v>
      </c>
      <c r="AC2643" t="s">
        <v>119</v>
      </c>
      <c r="AD2643" t="s">
        <v>113</v>
      </c>
      <c r="AE2643" t="s">
        <v>120</v>
      </c>
      <c r="AG2643" t="s">
        <v>121</v>
      </c>
    </row>
    <row r="2644" spans="1:33" x14ac:dyDescent="0.25">
      <c r="A2644" t="str">
        <f>"1093955726"</f>
        <v>1093955726</v>
      </c>
      <c r="B2644" t="str">
        <f>"03080917"</f>
        <v>03080917</v>
      </c>
      <c r="C2644" t="s">
        <v>15054</v>
      </c>
      <c r="D2644" t="s">
        <v>15055</v>
      </c>
      <c r="E2644" t="s">
        <v>15056</v>
      </c>
      <c r="G2644" t="s">
        <v>15054</v>
      </c>
      <c r="H2644" t="s">
        <v>205</v>
      </c>
      <c r="J2644" t="s">
        <v>15057</v>
      </c>
      <c r="L2644" t="s">
        <v>112</v>
      </c>
      <c r="M2644" t="s">
        <v>113</v>
      </c>
      <c r="R2644" t="s">
        <v>15058</v>
      </c>
      <c r="W2644" t="s">
        <v>15056</v>
      </c>
      <c r="X2644" t="s">
        <v>2892</v>
      </c>
      <c r="Y2644" t="s">
        <v>240</v>
      </c>
      <c r="Z2644" t="s">
        <v>117</v>
      </c>
      <c r="AA2644" t="str">
        <f>"14221-5838"</f>
        <v>14221-5838</v>
      </c>
      <c r="AB2644" t="s">
        <v>118</v>
      </c>
      <c r="AC2644" t="s">
        <v>119</v>
      </c>
      <c r="AD2644" t="s">
        <v>113</v>
      </c>
      <c r="AE2644" t="s">
        <v>120</v>
      </c>
      <c r="AG2644" t="s">
        <v>121</v>
      </c>
    </row>
    <row r="2645" spans="1:33" x14ac:dyDescent="0.25">
      <c r="A2645" t="str">
        <f>"1134122682"</f>
        <v>1134122682</v>
      </c>
      <c r="B2645" t="str">
        <f>"01124749"</f>
        <v>01124749</v>
      </c>
      <c r="C2645" t="s">
        <v>15059</v>
      </c>
      <c r="D2645" t="s">
        <v>15060</v>
      </c>
      <c r="E2645" t="s">
        <v>15061</v>
      </c>
      <c r="G2645" t="s">
        <v>15059</v>
      </c>
      <c r="H2645" t="s">
        <v>15062</v>
      </c>
      <c r="J2645" t="s">
        <v>15063</v>
      </c>
      <c r="L2645" t="s">
        <v>112</v>
      </c>
      <c r="M2645" t="s">
        <v>113</v>
      </c>
      <c r="R2645" t="s">
        <v>15064</v>
      </c>
      <c r="W2645" t="s">
        <v>15061</v>
      </c>
      <c r="X2645" t="s">
        <v>15065</v>
      </c>
      <c r="Y2645" t="s">
        <v>958</v>
      </c>
      <c r="Z2645" t="s">
        <v>117</v>
      </c>
      <c r="AA2645" t="str">
        <f>"14226-4927"</f>
        <v>14226-4927</v>
      </c>
      <c r="AB2645" t="s">
        <v>118</v>
      </c>
      <c r="AC2645" t="s">
        <v>119</v>
      </c>
      <c r="AD2645" t="s">
        <v>113</v>
      </c>
      <c r="AE2645" t="s">
        <v>120</v>
      </c>
      <c r="AG2645" t="s">
        <v>121</v>
      </c>
    </row>
    <row r="2646" spans="1:33" x14ac:dyDescent="0.25">
      <c r="A2646" t="str">
        <f>"1134122773"</f>
        <v>1134122773</v>
      </c>
      <c r="B2646" t="str">
        <f>"01406808"</f>
        <v>01406808</v>
      </c>
      <c r="C2646" t="s">
        <v>15066</v>
      </c>
      <c r="D2646" t="s">
        <v>15067</v>
      </c>
      <c r="E2646" t="s">
        <v>15068</v>
      </c>
      <c r="G2646" t="s">
        <v>330</v>
      </c>
      <c r="H2646" t="s">
        <v>1211</v>
      </c>
      <c r="J2646" t="s">
        <v>332</v>
      </c>
      <c r="L2646" t="s">
        <v>142</v>
      </c>
      <c r="M2646" t="s">
        <v>113</v>
      </c>
      <c r="R2646" t="s">
        <v>15069</v>
      </c>
      <c r="W2646" t="s">
        <v>15070</v>
      </c>
      <c r="X2646" t="s">
        <v>11171</v>
      </c>
      <c r="Y2646" t="s">
        <v>9183</v>
      </c>
      <c r="Z2646" t="s">
        <v>117</v>
      </c>
      <c r="AA2646" t="str">
        <f>"14086-1262"</f>
        <v>14086-1262</v>
      </c>
      <c r="AB2646" t="s">
        <v>118</v>
      </c>
      <c r="AC2646" t="s">
        <v>119</v>
      </c>
      <c r="AD2646" t="s">
        <v>113</v>
      </c>
      <c r="AE2646" t="s">
        <v>120</v>
      </c>
      <c r="AG2646" t="s">
        <v>121</v>
      </c>
    </row>
    <row r="2647" spans="1:33" x14ac:dyDescent="0.25">
      <c r="A2647" t="str">
        <f>"1134148570"</f>
        <v>1134148570</v>
      </c>
      <c r="B2647" t="str">
        <f>"00474777"</f>
        <v>00474777</v>
      </c>
      <c r="C2647" t="s">
        <v>15071</v>
      </c>
      <c r="D2647" t="s">
        <v>12663</v>
      </c>
      <c r="E2647" t="s">
        <v>12664</v>
      </c>
      <c r="G2647" t="s">
        <v>15072</v>
      </c>
      <c r="H2647" t="s">
        <v>15073</v>
      </c>
      <c r="J2647" t="s">
        <v>15074</v>
      </c>
      <c r="L2647" t="s">
        <v>1143</v>
      </c>
      <c r="M2647" t="s">
        <v>199</v>
      </c>
      <c r="R2647" t="s">
        <v>9755</v>
      </c>
      <c r="W2647" t="s">
        <v>12664</v>
      </c>
      <c r="X2647" t="s">
        <v>1459</v>
      </c>
      <c r="Y2647" t="s">
        <v>305</v>
      </c>
      <c r="Z2647" t="s">
        <v>117</v>
      </c>
      <c r="AA2647" t="str">
        <f>"14760-1100"</f>
        <v>14760-1100</v>
      </c>
      <c r="AB2647" t="s">
        <v>1146</v>
      </c>
      <c r="AC2647" t="s">
        <v>119</v>
      </c>
      <c r="AD2647" t="s">
        <v>113</v>
      </c>
      <c r="AE2647" t="s">
        <v>120</v>
      </c>
      <c r="AG2647" t="s">
        <v>121</v>
      </c>
    </row>
    <row r="2648" spans="1:33" x14ac:dyDescent="0.25">
      <c r="A2648" t="str">
        <f>"1134151210"</f>
        <v>1134151210</v>
      </c>
      <c r="B2648" t="str">
        <f>"01074831"</f>
        <v>01074831</v>
      </c>
      <c r="C2648" t="s">
        <v>15075</v>
      </c>
      <c r="D2648" t="s">
        <v>15076</v>
      </c>
      <c r="E2648" t="s">
        <v>15077</v>
      </c>
      <c r="G2648" t="s">
        <v>15075</v>
      </c>
      <c r="H2648" t="s">
        <v>15078</v>
      </c>
      <c r="J2648" t="s">
        <v>15079</v>
      </c>
      <c r="L2648" t="s">
        <v>142</v>
      </c>
      <c r="M2648" t="s">
        <v>113</v>
      </c>
      <c r="R2648" t="s">
        <v>15080</v>
      </c>
      <c r="W2648" t="s">
        <v>15081</v>
      </c>
      <c r="X2648" t="s">
        <v>136</v>
      </c>
      <c r="Y2648" t="s">
        <v>116</v>
      </c>
      <c r="Z2648" t="s">
        <v>117</v>
      </c>
      <c r="AA2648" t="str">
        <f>"14209-1120"</f>
        <v>14209-1120</v>
      </c>
      <c r="AB2648" t="s">
        <v>118</v>
      </c>
      <c r="AC2648" t="s">
        <v>119</v>
      </c>
      <c r="AD2648" t="s">
        <v>113</v>
      </c>
      <c r="AE2648" t="s">
        <v>120</v>
      </c>
      <c r="AG2648" t="s">
        <v>121</v>
      </c>
    </row>
    <row r="2649" spans="1:33" x14ac:dyDescent="0.25">
      <c r="A2649" t="str">
        <f>"1134160872"</f>
        <v>1134160872</v>
      </c>
      <c r="B2649" t="str">
        <f>"01020002"</f>
        <v>01020002</v>
      </c>
      <c r="C2649" t="s">
        <v>15082</v>
      </c>
      <c r="D2649" t="s">
        <v>15083</v>
      </c>
      <c r="E2649" t="s">
        <v>15084</v>
      </c>
      <c r="G2649" t="s">
        <v>15082</v>
      </c>
      <c r="H2649" t="s">
        <v>10230</v>
      </c>
      <c r="J2649" t="s">
        <v>15085</v>
      </c>
      <c r="L2649" t="s">
        <v>142</v>
      </c>
      <c r="M2649" t="s">
        <v>113</v>
      </c>
      <c r="R2649" t="s">
        <v>15086</v>
      </c>
      <c r="W2649" t="s">
        <v>15084</v>
      </c>
      <c r="X2649" t="s">
        <v>15087</v>
      </c>
      <c r="Y2649" t="s">
        <v>377</v>
      </c>
      <c r="Z2649" t="s">
        <v>117</v>
      </c>
      <c r="AA2649" t="str">
        <f>"14217-2924"</f>
        <v>14217-2924</v>
      </c>
      <c r="AB2649" t="s">
        <v>118</v>
      </c>
      <c r="AC2649" t="s">
        <v>119</v>
      </c>
      <c r="AD2649" t="s">
        <v>113</v>
      </c>
      <c r="AE2649" t="s">
        <v>120</v>
      </c>
      <c r="AG2649" t="s">
        <v>121</v>
      </c>
    </row>
    <row r="2650" spans="1:33" x14ac:dyDescent="0.25">
      <c r="A2650" t="str">
        <f>"1134161193"</f>
        <v>1134161193</v>
      </c>
      <c r="B2650" t="str">
        <f>"02669661"</f>
        <v>02669661</v>
      </c>
      <c r="C2650" t="s">
        <v>15088</v>
      </c>
      <c r="D2650" t="s">
        <v>15089</v>
      </c>
      <c r="E2650" t="s">
        <v>15090</v>
      </c>
      <c r="G2650" t="s">
        <v>15088</v>
      </c>
      <c r="H2650" t="s">
        <v>15091</v>
      </c>
      <c r="J2650" t="s">
        <v>15092</v>
      </c>
      <c r="L2650" t="s">
        <v>142</v>
      </c>
      <c r="M2650" t="s">
        <v>113</v>
      </c>
      <c r="R2650" t="s">
        <v>15093</v>
      </c>
      <c r="W2650" t="s">
        <v>15090</v>
      </c>
      <c r="X2650" t="s">
        <v>253</v>
      </c>
      <c r="Y2650" t="s">
        <v>116</v>
      </c>
      <c r="Z2650" t="s">
        <v>117</v>
      </c>
      <c r="AA2650" t="str">
        <f>"14215-3021"</f>
        <v>14215-3021</v>
      </c>
      <c r="AB2650" t="s">
        <v>118</v>
      </c>
      <c r="AC2650" t="s">
        <v>119</v>
      </c>
      <c r="AD2650" t="s">
        <v>113</v>
      </c>
      <c r="AE2650" t="s">
        <v>120</v>
      </c>
      <c r="AG2650" t="s">
        <v>121</v>
      </c>
    </row>
    <row r="2651" spans="1:33" x14ac:dyDescent="0.25">
      <c r="A2651" t="str">
        <f>"1134165665"</f>
        <v>1134165665</v>
      </c>
      <c r="B2651" t="str">
        <f>"02822035"</f>
        <v>02822035</v>
      </c>
      <c r="C2651" t="s">
        <v>15094</v>
      </c>
      <c r="D2651" t="s">
        <v>15095</v>
      </c>
      <c r="E2651" t="s">
        <v>15096</v>
      </c>
      <c r="G2651" t="s">
        <v>15094</v>
      </c>
      <c r="H2651" t="s">
        <v>1724</v>
      </c>
      <c r="J2651" t="s">
        <v>15097</v>
      </c>
      <c r="L2651" t="s">
        <v>142</v>
      </c>
      <c r="M2651" t="s">
        <v>113</v>
      </c>
      <c r="R2651" t="s">
        <v>15098</v>
      </c>
      <c r="W2651" t="s">
        <v>15096</v>
      </c>
      <c r="X2651" t="s">
        <v>1845</v>
      </c>
      <c r="Y2651" t="s">
        <v>816</v>
      </c>
      <c r="Z2651" t="s">
        <v>117</v>
      </c>
      <c r="AA2651" t="str">
        <f>"14120-6150"</f>
        <v>14120-6150</v>
      </c>
      <c r="AB2651" t="s">
        <v>118</v>
      </c>
      <c r="AC2651" t="s">
        <v>119</v>
      </c>
      <c r="AD2651" t="s">
        <v>113</v>
      </c>
      <c r="AE2651" t="s">
        <v>120</v>
      </c>
      <c r="AG2651" t="s">
        <v>121</v>
      </c>
    </row>
    <row r="2652" spans="1:33" x14ac:dyDescent="0.25">
      <c r="A2652" t="str">
        <f>"1134171697"</f>
        <v>1134171697</v>
      </c>
      <c r="B2652" t="str">
        <f>"01316141"</f>
        <v>01316141</v>
      </c>
      <c r="C2652" t="s">
        <v>15099</v>
      </c>
      <c r="D2652" t="s">
        <v>15100</v>
      </c>
      <c r="E2652" t="s">
        <v>15101</v>
      </c>
      <c r="G2652" t="s">
        <v>15102</v>
      </c>
      <c r="H2652" t="s">
        <v>2812</v>
      </c>
      <c r="J2652" t="s">
        <v>15103</v>
      </c>
      <c r="L2652" t="s">
        <v>142</v>
      </c>
      <c r="M2652" t="s">
        <v>113</v>
      </c>
      <c r="R2652" t="s">
        <v>15104</v>
      </c>
      <c r="W2652" t="s">
        <v>15105</v>
      </c>
      <c r="X2652" t="s">
        <v>15106</v>
      </c>
      <c r="Y2652" t="s">
        <v>116</v>
      </c>
      <c r="Z2652" t="s">
        <v>117</v>
      </c>
      <c r="AA2652" t="str">
        <f>"14209-1194"</f>
        <v>14209-1194</v>
      </c>
      <c r="AB2652" t="s">
        <v>118</v>
      </c>
      <c r="AC2652" t="s">
        <v>119</v>
      </c>
      <c r="AD2652" t="s">
        <v>113</v>
      </c>
      <c r="AE2652" t="s">
        <v>120</v>
      </c>
      <c r="AG2652" t="s">
        <v>121</v>
      </c>
    </row>
    <row r="2653" spans="1:33" x14ac:dyDescent="0.25">
      <c r="A2653" t="str">
        <f>"1235464587"</f>
        <v>1235464587</v>
      </c>
      <c r="B2653" t="str">
        <f>"03317264"</f>
        <v>03317264</v>
      </c>
      <c r="C2653" t="s">
        <v>15107</v>
      </c>
      <c r="D2653" t="s">
        <v>15108</v>
      </c>
      <c r="E2653" t="s">
        <v>15109</v>
      </c>
      <c r="G2653" t="s">
        <v>15107</v>
      </c>
      <c r="H2653" t="s">
        <v>10057</v>
      </c>
      <c r="J2653" t="s">
        <v>15110</v>
      </c>
      <c r="L2653" t="s">
        <v>142</v>
      </c>
      <c r="M2653" t="s">
        <v>113</v>
      </c>
      <c r="R2653" t="s">
        <v>15111</v>
      </c>
      <c r="W2653" t="s">
        <v>15109</v>
      </c>
      <c r="X2653" t="s">
        <v>333</v>
      </c>
      <c r="Y2653" t="s">
        <v>116</v>
      </c>
      <c r="Z2653" t="s">
        <v>117</v>
      </c>
      <c r="AA2653" t="str">
        <f>"14203-1109"</f>
        <v>14203-1109</v>
      </c>
      <c r="AB2653" t="s">
        <v>118</v>
      </c>
      <c r="AC2653" t="s">
        <v>119</v>
      </c>
      <c r="AD2653" t="s">
        <v>113</v>
      </c>
      <c r="AE2653" t="s">
        <v>120</v>
      </c>
      <c r="AG2653" t="s">
        <v>121</v>
      </c>
    </row>
    <row r="2654" spans="1:33" x14ac:dyDescent="0.25">
      <c r="A2654" t="str">
        <f>"1235482639"</f>
        <v>1235482639</v>
      </c>
      <c r="C2654" t="s">
        <v>15112</v>
      </c>
      <c r="G2654" t="s">
        <v>15112</v>
      </c>
      <c r="H2654" t="s">
        <v>937</v>
      </c>
      <c r="J2654" t="s">
        <v>15113</v>
      </c>
      <c r="K2654" t="s">
        <v>303</v>
      </c>
      <c r="L2654" t="s">
        <v>229</v>
      </c>
      <c r="M2654" t="s">
        <v>113</v>
      </c>
      <c r="R2654" t="s">
        <v>15114</v>
      </c>
      <c r="S2654" t="s">
        <v>3739</v>
      </c>
      <c r="T2654" t="s">
        <v>240</v>
      </c>
      <c r="U2654" t="s">
        <v>117</v>
      </c>
      <c r="V2654" t="str">
        <f>"142216728"</f>
        <v>142216728</v>
      </c>
      <c r="AC2654" t="s">
        <v>119</v>
      </c>
      <c r="AD2654" t="s">
        <v>113</v>
      </c>
      <c r="AE2654" t="s">
        <v>306</v>
      </c>
      <c r="AG2654" t="s">
        <v>121</v>
      </c>
    </row>
    <row r="2655" spans="1:33" x14ac:dyDescent="0.25">
      <c r="A2655" t="str">
        <f>"1235492331"</f>
        <v>1235492331</v>
      </c>
      <c r="B2655" t="str">
        <f>"03638740"</f>
        <v>03638740</v>
      </c>
      <c r="C2655" t="s">
        <v>15115</v>
      </c>
      <c r="D2655" t="s">
        <v>15116</v>
      </c>
      <c r="E2655" t="s">
        <v>15117</v>
      </c>
      <c r="G2655" t="s">
        <v>15118</v>
      </c>
      <c r="H2655" t="s">
        <v>449</v>
      </c>
      <c r="J2655" t="s">
        <v>15119</v>
      </c>
      <c r="L2655" t="s">
        <v>112</v>
      </c>
      <c r="M2655" t="s">
        <v>113</v>
      </c>
      <c r="R2655" t="s">
        <v>15120</v>
      </c>
      <c r="W2655" t="s">
        <v>15117</v>
      </c>
      <c r="X2655" t="s">
        <v>452</v>
      </c>
      <c r="Y2655" t="s">
        <v>240</v>
      </c>
      <c r="Z2655" t="s">
        <v>117</v>
      </c>
      <c r="AA2655" t="str">
        <f>"14221-5258"</f>
        <v>14221-5258</v>
      </c>
      <c r="AB2655" t="s">
        <v>118</v>
      </c>
      <c r="AC2655" t="s">
        <v>119</v>
      </c>
      <c r="AD2655" t="s">
        <v>113</v>
      </c>
      <c r="AE2655" t="s">
        <v>120</v>
      </c>
      <c r="AG2655" t="s">
        <v>121</v>
      </c>
    </row>
    <row r="2656" spans="1:33" x14ac:dyDescent="0.25">
      <c r="A2656" t="str">
        <f>"1245206721"</f>
        <v>1245206721</v>
      </c>
      <c r="B2656" t="str">
        <f>"01052620"</f>
        <v>01052620</v>
      </c>
      <c r="C2656" t="s">
        <v>15121</v>
      </c>
      <c r="D2656" t="s">
        <v>15122</v>
      </c>
      <c r="E2656" t="s">
        <v>15123</v>
      </c>
      <c r="G2656" t="s">
        <v>15121</v>
      </c>
      <c r="H2656" t="s">
        <v>7233</v>
      </c>
      <c r="J2656" t="s">
        <v>15124</v>
      </c>
      <c r="L2656" t="s">
        <v>150</v>
      </c>
      <c r="M2656" t="s">
        <v>199</v>
      </c>
      <c r="R2656" t="s">
        <v>15125</v>
      </c>
      <c r="W2656" t="s">
        <v>15126</v>
      </c>
      <c r="X2656" t="s">
        <v>15127</v>
      </c>
      <c r="Y2656" t="s">
        <v>116</v>
      </c>
      <c r="Z2656" t="s">
        <v>117</v>
      </c>
      <c r="AA2656" t="str">
        <f>"14214-1706"</f>
        <v>14214-1706</v>
      </c>
      <c r="AB2656" t="s">
        <v>118</v>
      </c>
      <c r="AC2656" t="s">
        <v>119</v>
      </c>
      <c r="AD2656" t="s">
        <v>113</v>
      </c>
      <c r="AE2656" t="s">
        <v>120</v>
      </c>
      <c r="AG2656" t="s">
        <v>121</v>
      </c>
    </row>
    <row r="2657" spans="1:33" x14ac:dyDescent="0.25">
      <c r="A2657" t="str">
        <f>"1245209634"</f>
        <v>1245209634</v>
      </c>
      <c r="B2657" t="str">
        <f>"01074684"</f>
        <v>01074684</v>
      </c>
      <c r="C2657" t="s">
        <v>15128</v>
      </c>
      <c r="D2657" t="s">
        <v>15129</v>
      </c>
      <c r="E2657" t="s">
        <v>15130</v>
      </c>
      <c r="G2657" t="s">
        <v>330</v>
      </c>
      <c r="H2657" t="s">
        <v>9682</v>
      </c>
      <c r="J2657" t="s">
        <v>332</v>
      </c>
      <c r="L2657" t="s">
        <v>150</v>
      </c>
      <c r="M2657" t="s">
        <v>113</v>
      </c>
      <c r="R2657" t="s">
        <v>15131</v>
      </c>
      <c r="W2657" t="s">
        <v>15132</v>
      </c>
      <c r="X2657" t="s">
        <v>9685</v>
      </c>
      <c r="Y2657" t="s">
        <v>326</v>
      </c>
      <c r="Z2657" t="s">
        <v>117</v>
      </c>
      <c r="AA2657" t="str">
        <f>"14127-1538"</f>
        <v>14127-1538</v>
      </c>
      <c r="AB2657" t="s">
        <v>118</v>
      </c>
      <c r="AC2657" t="s">
        <v>119</v>
      </c>
      <c r="AD2657" t="s">
        <v>113</v>
      </c>
      <c r="AE2657" t="s">
        <v>120</v>
      </c>
      <c r="AG2657" t="s">
        <v>121</v>
      </c>
    </row>
    <row r="2658" spans="1:33" x14ac:dyDescent="0.25">
      <c r="A2658" t="str">
        <f>"1245212042"</f>
        <v>1245212042</v>
      </c>
      <c r="B2658" t="str">
        <f>"01046900"</f>
        <v>01046900</v>
      </c>
      <c r="C2658" t="s">
        <v>15133</v>
      </c>
      <c r="D2658" t="s">
        <v>15134</v>
      </c>
      <c r="E2658" t="s">
        <v>15135</v>
      </c>
      <c r="G2658" t="s">
        <v>15133</v>
      </c>
      <c r="H2658" t="s">
        <v>1308</v>
      </c>
      <c r="J2658" t="s">
        <v>15136</v>
      </c>
      <c r="L2658" t="s">
        <v>142</v>
      </c>
      <c r="M2658" t="s">
        <v>113</v>
      </c>
      <c r="R2658" t="s">
        <v>15137</v>
      </c>
      <c r="W2658" t="s">
        <v>15135</v>
      </c>
      <c r="X2658" t="s">
        <v>15138</v>
      </c>
      <c r="Y2658" t="s">
        <v>240</v>
      </c>
      <c r="Z2658" t="s">
        <v>117</v>
      </c>
      <c r="AA2658" t="str">
        <f>"14221-2644"</f>
        <v>14221-2644</v>
      </c>
      <c r="AB2658" t="s">
        <v>118</v>
      </c>
      <c r="AC2658" t="s">
        <v>119</v>
      </c>
      <c r="AD2658" t="s">
        <v>113</v>
      </c>
      <c r="AE2658" t="s">
        <v>120</v>
      </c>
      <c r="AG2658" t="s">
        <v>121</v>
      </c>
    </row>
    <row r="2659" spans="1:33" x14ac:dyDescent="0.25">
      <c r="A2659" t="str">
        <f>"1245219229"</f>
        <v>1245219229</v>
      </c>
      <c r="B2659" t="str">
        <f>"02493387"</f>
        <v>02493387</v>
      </c>
      <c r="C2659" t="s">
        <v>15139</v>
      </c>
      <c r="D2659" t="s">
        <v>15140</v>
      </c>
      <c r="E2659" t="s">
        <v>15141</v>
      </c>
      <c r="G2659" t="s">
        <v>15139</v>
      </c>
      <c r="H2659" t="s">
        <v>205</v>
      </c>
      <c r="J2659" t="s">
        <v>15142</v>
      </c>
      <c r="L2659" t="s">
        <v>150</v>
      </c>
      <c r="M2659" t="s">
        <v>113</v>
      </c>
      <c r="R2659" t="s">
        <v>15143</v>
      </c>
      <c r="W2659" t="s">
        <v>15141</v>
      </c>
      <c r="X2659" t="s">
        <v>15144</v>
      </c>
      <c r="Y2659" t="s">
        <v>116</v>
      </c>
      <c r="Z2659" t="s">
        <v>117</v>
      </c>
      <c r="AA2659" t="str">
        <f>"14220-2095"</f>
        <v>14220-2095</v>
      </c>
      <c r="AB2659" t="s">
        <v>118</v>
      </c>
      <c r="AC2659" t="s">
        <v>119</v>
      </c>
      <c r="AD2659" t="s">
        <v>113</v>
      </c>
      <c r="AE2659" t="s">
        <v>120</v>
      </c>
      <c r="AG2659" t="s">
        <v>121</v>
      </c>
    </row>
    <row r="2660" spans="1:33" x14ac:dyDescent="0.25">
      <c r="A2660" t="str">
        <f>"1245221274"</f>
        <v>1245221274</v>
      </c>
      <c r="B2660" t="str">
        <f>"00764392"</f>
        <v>00764392</v>
      </c>
      <c r="C2660" t="s">
        <v>15145</v>
      </c>
      <c r="D2660" t="s">
        <v>15146</v>
      </c>
      <c r="E2660" t="s">
        <v>15147</v>
      </c>
      <c r="G2660" t="s">
        <v>15145</v>
      </c>
      <c r="H2660" t="s">
        <v>6168</v>
      </c>
      <c r="J2660" t="s">
        <v>15148</v>
      </c>
      <c r="L2660" t="s">
        <v>150</v>
      </c>
      <c r="M2660" t="s">
        <v>199</v>
      </c>
      <c r="R2660" t="s">
        <v>15149</v>
      </c>
      <c r="W2660" t="s">
        <v>15150</v>
      </c>
      <c r="Y2660" t="s">
        <v>116</v>
      </c>
      <c r="Z2660" t="s">
        <v>117</v>
      </c>
      <c r="AA2660" t="str">
        <f>"14203-1126"</f>
        <v>14203-1126</v>
      </c>
      <c r="AB2660" t="s">
        <v>118</v>
      </c>
      <c r="AC2660" t="s">
        <v>119</v>
      </c>
      <c r="AD2660" t="s">
        <v>113</v>
      </c>
      <c r="AE2660" t="s">
        <v>120</v>
      </c>
      <c r="AG2660" t="s">
        <v>121</v>
      </c>
    </row>
    <row r="2661" spans="1:33" x14ac:dyDescent="0.25">
      <c r="A2661" t="str">
        <f>"1245223437"</f>
        <v>1245223437</v>
      </c>
      <c r="B2661" t="str">
        <f>"01188738"</f>
        <v>01188738</v>
      </c>
      <c r="C2661" t="s">
        <v>15151</v>
      </c>
      <c r="D2661" t="s">
        <v>15152</v>
      </c>
      <c r="E2661" t="s">
        <v>15153</v>
      </c>
      <c r="G2661" t="s">
        <v>15151</v>
      </c>
      <c r="H2661" t="s">
        <v>419</v>
      </c>
      <c r="J2661" t="s">
        <v>15154</v>
      </c>
      <c r="L2661" t="s">
        <v>142</v>
      </c>
      <c r="M2661" t="s">
        <v>113</v>
      </c>
      <c r="R2661" t="s">
        <v>15155</v>
      </c>
      <c r="W2661" t="s">
        <v>15153</v>
      </c>
      <c r="X2661" t="s">
        <v>3803</v>
      </c>
      <c r="Y2661" t="s">
        <v>129</v>
      </c>
      <c r="Z2661" t="s">
        <v>117</v>
      </c>
      <c r="AA2661" t="str">
        <f>"14224-2646"</f>
        <v>14224-2646</v>
      </c>
      <c r="AB2661" t="s">
        <v>118</v>
      </c>
      <c r="AC2661" t="s">
        <v>119</v>
      </c>
      <c r="AD2661" t="s">
        <v>113</v>
      </c>
      <c r="AE2661" t="s">
        <v>120</v>
      </c>
      <c r="AG2661" t="s">
        <v>121</v>
      </c>
    </row>
    <row r="2662" spans="1:33" x14ac:dyDescent="0.25">
      <c r="A2662" t="str">
        <f>"1245228642"</f>
        <v>1245228642</v>
      </c>
      <c r="B2662" t="str">
        <f>"01241950"</f>
        <v>01241950</v>
      </c>
      <c r="C2662" t="s">
        <v>15156</v>
      </c>
      <c r="D2662" t="s">
        <v>15157</v>
      </c>
      <c r="E2662" t="s">
        <v>15158</v>
      </c>
      <c r="G2662" t="s">
        <v>15156</v>
      </c>
      <c r="H2662" t="s">
        <v>15159</v>
      </c>
      <c r="J2662" t="s">
        <v>15160</v>
      </c>
      <c r="L2662" t="s">
        <v>142</v>
      </c>
      <c r="M2662" t="s">
        <v>113</v>
      </c>
      <c r="R2662" t="s">
        <v>15161</v>
      </c>
      <c r="W2662" t="s">
        <v>15158</v>
      </c>
      <c r="X2662" t="s">
        <v>15162</v>
      </c>
      <c r="Y2662" t="s">
        <v>377</v>
      </c>
      <c r="Z2662" t="s">
        <v>117</v>
      </c>
      <c r="AA2662" t="str">
        <f>"14217-1002"</f>
        <v>14217-1002</v>
      </c>
      <c r="AB2662" t="s">
        <v>118</v>
      </c>
      <c r="AC2662" t="s">
        <v>119</v>
      </c>
      <c r="AD2662" t="s">
        <v>113</v>
      </c>
      <c r="AE2662" t="s">
        <v>120</v>
      </c>
      <c r="AG2662" t="s">
        <v>121</v>
      </c>
    </row>
    <row r="2663" spans="1:33" x14ac:dyDescent="0.25">
      <c r="A2663" t="str">
        <f>"1245233006"</f>
        <v>1245233006</v>
      </c>
      <c r="B2663" t="str">
        <f>"01077201"</f>
        <v>01077201</v>
      </c>
      <c r="C2663" t="s">
        <v>15163</v>
      </c>
      <c r="D2663" t="s">
        <v>15164</v>
      </c>
      <c r="E2663" t="s">
        <v>15165</v>
      </c>
      <c r="G2663" t="s">
        <v>15163</v>
      </c>
      <c r="H2663" t="s">
        <v>3780</v>
      </c>
      <c r="J2663" t="s">
        <v>15166</v>
      </c>
      <c r="L2663" t="s">
        <v>1033</v>
      </c>
      <c r="M2663" t="s">
        <v>113</v>
      </c>
      <c r="R2663" t="s">
        <v>15167</v>
      </c>
      <c r="W2663" t="s">
        <v>15165</v>
      </c>
      <c r="X2663" t="s">
        <v>8346</v>
      </c>
      <c r="Y2663" t="s">
        <v>116</v>
      </c>
      <c r="Z2663" t="s">
        <v>117</v>
      </c>
      <c r="AA2663" t="str">
        <f>"14203-1154"</f>
        <v>14203-1154</v>
      </c>
      <c r="AB2663" t="s">
        <v>118</v>
      </c>
      <c r="AC2663" t="s">
        <v>119</v>
      </c>
      <c r="AD2663" t="s">
        <v>113</v>
      </c>
      <c r="AE2663" t="s">
        <v>120</v>
      </c>
      <c r="AG2663" t="s">
        <v>121</v>
      </c>
    </row>
    <row r="2664" spans="1:33" x14ac:dyDescent="0.25">
      <c r="A2664" t="str">
        <f>"1669881595"</f>
        <v>1669881595</v>
      </c>
      <c r="C2664" t="s">
        <v>15168</v>
      </c>
      <c r="G2664" t="s">
        <v>15169</v>
      </c>
      <c r="H2664" t="s">
        <v>443</v>
      </c>
      <c r="K2664" t="s">
        <v>303</v>
      </c>
      <c r="L2664" t="s">
        <v>229</v>
      </c>
      <c r="M2664" t="s">
        <v>113</v>
      </c>
      <c r="R2664" t="s">
        <v>15170</v>
      </c>
      <c r="S2664" t="s">
        <v>409</v>
      </c>
      <c r="T2664" t="s">
        <v>116</v>
      </c>
      <c r="U2664" t="s">
        <v>117</v>
      </c>
      <c r="V2664" t="str">
        <f>"142152814"</f>
        <v>142152814</v>
      </c>
      <c r="AC2664" t="s">
        <v>119</v>
      </c>
      <c r="AD2664" t="s">
        <v>113</v>
      </c>
      <c r="AE2664" t="s">
        <v>306</v>
      </c>
      <c r="AG2664" t="s">
        <v>121</v>
      </c>
    </row>
    <row r="2665" spans="1:33" x14ac:dyDescent="0.25">
      <c r="A2665" t="str">
        <f>"1669889762"</f>
        <v>1669889762</v>
      </c>
      <c r="B2665" t="str">
        <f>"03931197"</f>
        <v>03931197</v>
      </c>
      <c r="C2665" t="s">
        <v>15171</v>
      </c>
      <c r="D2665" t="s">
        <v>15172</v>
      </c>
      <c r="E2665" t="s">
        <v>15173</v>
      </c>
      <c r="G2665" t="s">
        <v>15174</v>
      </c>
      <c r="H2665" t="s">
        <v>351</v>
      </c>
      <c r="J2665" t="s">
        <v>352</v>
      </c>
      <c r="L2665" t="s">
        <v>112</v>
      </c>
      <c r="M2665" t="s">
        <v>113</v>
      </c>
      <c r="R2665" t="s">
        <v>15175</v>
      </c>
      <c r="W2665" t="s">
        <v>15173</v>
      </c>
      <c r="X2665" t="s">
        <v>1129</v>
      </c>
      <c r="Y2665" t="s">
        <v>116</v>
      </c>
      <c r="Z2665" t="s">
        <v>117</v>
      </c>
      <c r="AA2665" t="str">
        <f>"14207-2341"</f>
        <v>14207-2341</v>
      </c>
      <c r="AB2665" t="s">
        <v>118</v>
      </c>
      <c r="AC2665" t="s">
        <v>119</v>
      </c>
      <c r="AD2665" t="s">
        <v>113</v>
      </c>
      <c r="AE2665" t="s">
        <v>120</v>
      </c>
      <c r="AG2665" t="s">
        <v>121</v>
      </c>
    </row>
    <row r="2666" spans="1:33" x14ac:dyDescent="0.25">
      <c r="A2666" t="str">
        <f>"1679511356"</f>
        <v>1679511356</v>
      </c>
      <c r="B2666" t="str">
        <f>"03146756"</f>
        <v>03146756</v>
      </c>
      <c r="C2666" t="s">
        <v>15176</v>
      </c>
      <c r="D2666" t="s">
        <v>15177</v>
      </c>
      <c r="E2666" t="s">
        <v>15178</v>
      </c>
      <c r="G2666" t="s">
        <v>15176</v>
      </c>
      <c r="H2666" t="s">
        <v>227</v>
      </c>
      <c r="J2666" t="s">
        <v>15179</v>
      </c>
      <c r="L2666" t="s">
        <v>142</v>
      </c>
      <c r="M2666" t="s">
        <v>113</v>
      </c>
      <c r="R2666" t="s">
        <v>15180</v>
      </c>
      <c r="W2666" t="s">
        <v>15178</v>
      </c>
      <c r="X2666" t="s">
        <v>15181</v>
      </c>
      <c r="Y2666" t="s">
        <v>9857</v>
      </c>
      <c r="Z2666" t="s">
        <v>117</v>
      </c>
      <c r="AA2666" t="str">
        <f>"12742"</f>
        <v>12742</v>
      </c>
      <c r="AB2666" t="s">
        <v>118</v>
      </c>
      <c r="AC2666" t="s">
        <v>119</v>
      </c>
      <c r="AD2666" t="s">
        <v>113</v>
      </c>
      <c r="AE2666" t="s">
        <v>120</v>
      </c>
      <c r="AG2666" t="s">
        <v>121</v>
      </c>
    </row>
    <row r="2667" spans="1:33" x14ac:dyDescent="0.25">
      <c r="A2667" t="str">
        <f>"1750702585"</f>
        <v>1750702585</v>
      </c>
      <c r="C2667" t="s">
        <v>15182</v>
      </c>
      <c r="G2667" t="s">
        <v>15183</v>
      </c>
      <c r="H2667" t="s">
        <v>10422</v>
      </c>
      <c r="K2667" t="s">
        <v>303</v>
      </c>
      <c r="L2667" t="s">
        <v>229</v>
      </c>
      <c r="M2667" t="s">
        <v>113</v>
      </c>
      <c r="R2667" t="s">
        <v>15183</v>
      </c>
      <c r="S2667" t="s">
        <v>6742</v>
      </c>
      <c r="T2667" t="s">
        <v>153</v>
      </c>
      <c r="U2667" t="s">
        <v>117</v>
      </c>
      <c r="V2667" t="str">
        <f>"143011201"</f>
        <v>143011201</v>
      </c>
      <c r="AC2667" t="s">
        <v>119</v>
      </c>
      <c r="AD2667" t="s">
        <v>113</v>
      </c>
      <c r="AE2667" t="s">
        <v>306</v>
      </c>
      <c r="AG2667" t="s">
        <v>121</v>
      </c>
    </row>
    <row r="2668" spans="1:33" x14ac:dyDescent="0.25">
      <c r="A2668" t="str">
        <f>"1750716148"</f>
        <v>1750716148</v>
      </c>
      <c r="C2668" t="s">
        <v>15184</v>
      </c>
      <c r="G2668" t="s">
        <v>15185</v>
      </c>
      <c r="H2668" t="s">
        <v>15186</v>
      </c>
      <c r="J2668" t="s">
        <v>15187</v>
      </c>
      <c r="K2668" t="s">
        <v>303</v>
      </c>
      <c r="L2668" t="s">
        <v>229</v>
      </c>
      <c r="M2668" t="s">
        <v>113</v>
      </c>
      <c r="R2668" t="s">
        <v>15188</v>
      </c>
      <c r="S2668" t="s">
        <v>15189</v>
      </c>
      <c r="T2668" t="s">
        <v>305</v>
      </c>
      <c r="U2668" t="s">
        <v>117</v>
      </c>
      <c r="V2668" t="str">
        <f>"147601101"</f>
        <v>147601101</v>
      </c>
      <c r="AC2668" t="s">
        <v>119</v>
      </c>
      <c r="AD2668" t="s">
        <v>113</v>
      </c>
      <c r="AE2668" t="s">
        <v>306</v>
      </c>
      <c r="AG2668" t="s">
        <v>121</v>
      </c>
    </row>
    <row r="2669" spans="1:33" x14ac:dyDescent="0.25">
      <c r="A2669" t="str">
        <f>"1760430136"</f>
        <v>1760430136</v>
      </c>
      <c r="B2669" t="str">
        <f>"02318798"</f>
        <v>02318798</v>
      </c>
      <c r="C2669" t="s">
        <v>15190</v>
      </c>
      <c r="D2669" t="s">
        <v>15191</v>
      </c>
      <c r="E2669" t="s">
        <v>15192</v>
      </c>
      <c r="G2669" t="s">
        <v>15193</v>
      </c>
      <c r="H2669" t="s">
        <v>908</v>
      </c>
      <c r="J2669" t="s">
        <v>15194</v>
      </c>
      <c r="L2669" t="s">
        <v>112</v>
      </c>
      <c r="M2669" t="s">
        <v>113</v>
      </c>
      <c r="R2669" t="s">
        <v>15195</v>
      </c>
      <c r="W2669" t="s">
        <v>15192</v>
      </c>
      <c r="X2669" t="s">
        <v>176</v>
      </c>
      <c r="Y2669" t="s">
        <v>116</v>
      </c>
      <c r="Z2669" t="s">
        <v>117</v>
      </c>
      <c r="AA2669" t="str">
        <f>"14203-1126"</f>
        <v>14203-1126</v>
      </c>
      <c r="AB2669" t="s">
        <v>118</v>
      </c>
      <c r="AC2669" t="s">
        <v>119</v>
      </c>
      <c r="AD2669" t="s">
        <v>113</v>
      </c>
      <c r="AE2669" t="s">
        <v>120</v>
      </c>
      <c r="AG2669" t="s">
        <v>121</v>
      </c>
    </row>
    <row r="2670" spans="1:33" x14ac:dyDescent="0.25">
      <c r="A2670" t="str">
        <f>"1760446801"</f>
        <v>1760446801</v>
      </c>
      <c r="B2670" t="str">
        <f>"02344801"</f>
        <v>02344801</v>
      </c>
      <c r="C2670" t="s">
        <v>15196</v>
      </c>
      <c r="D2670" t="s">
        <v>15197</v>
      </c>
      <c r="E2670" t="s">
        <v>15198</v>
      </c>
      <c r="G2670" t="s">
        <v>15199</v>
      </c>
      <c r="H2670" t="s">
        <v>213</v>
      </c>
      <c r="J2670" t="s">
        <v>15200</v>
      </c>
      <c r="L2670" t="s">
        <v>142</v>
      </c>
      <c r="M2670" t="s">
        <v>113</v>
      </c>
      <c r="R2670" t="s">
        <v>15201</v>
      </c>
      <c r="W2670" t="s">
        <v>15198</v>
      </c>
      <c r="X2670" t="s">
        <v>216</v>
      </c>
      <c r="Y2670" t="s">
        <v>116</v>
      </c>
      <c r="Z2670" t="s">
        <v>117</v>
      </c>
      <c r="AA2670" t="str">
        <f>"14222-2006"</f>
        <v>14222-2006</v>
      </c>
      <c r="AB2670" t="s">
        <v>118</v>
      </c>
      <c r="AC2670" t="s">
        <v>119</v>
      </c>
      <c r="AD2670" t="s">
        <v>113</v>
      </c>
      <c r="AE2670" t="s">
        <v>120</v>
      </c>
      <c r="AG2670" t="s">
        <v>121</v>
      </c>
    </row>
    <row r="2671" spans="1:33" x14ac:dyDescent="0.25">
      <c r="A2671" t="str">
        <f>"1760446884"</f>
        <v>1760446884</v>
      </c>
      <c r="B2671" t="str">
        <f>"02273150"</f>
        <v>02273150</v>
      </c>
      <c r="C2671" t="s">
        <v>15202</v>
      </c>
      <c r="D2671" t="s">
        <v>15203</v>
      </c>
      <c r="E2671" t="s">
        <v>15204</v>
      </c>
      <c r="G2671" t="s">
        <v>330</v>
      </c>
      <c r="H2671" t="s">
        <v>172</v>
      </c>
      <c r="J2671" t="s">
        <v>332</v>
      </c>
      <c r="L2671" t="s">
        <v>142</v>
      </c>
      <c r="M2671" t="s">
        <v>113</v>
      </c>
      <c r="R2671" t="s">
        <v>15205</v>
      </c>
      <c r="W2671" t="s">
        <v>15204</v>
      </c>
      <c r="X2671" t="s">
        <v>1256</v>
      </c>
      <c r="Y2671" t="s">
        <v>1257</v>
      </c>
      <c r="Z2671" t="s">
        <v>117</v>
      </c>
      <c r="AA2671" t="str">
        <f>"14141-1443"</f>
        <v>14141-1443</v>
      </c>
      <c r="AB2671" t="s">
        <v>118</v>
      </c>
      <c r="AC2671" t="s">
        <v>119</v>
      </c>
      <c r="AD2671" t="s">
        <v>113</v>
      </c>
      <c r="AE2671" t="s">
        <v>120</v>
      </c>
      <c r="AG2671" t="s">
        <v>121</v>
      </c>
    </row>
    <row r="2672" spans="1:33" x14ac:dyDescent="0.25">
      <c r="A2672" t="str">
        <f>"1760447742"</f>
        <v>1760447742</v>
      </c>
      <c r="B2672" t="str">
        <f>"02057803"</f>
        <v>02057803</v>
      </c>
      <c r="C2672" t="s">
        <v>15206</v>
      </c>
      <c r="D2672" t="s">
        <v>15207</v>
      </c>
      <c r="E2672" t="s">
        <v>15208</v>
      </c>
      <c r="G2672" t="s">
        <v>15209</v>
      </c>
      <c r="H2672" t="s">
        <v>205</v>
      </c>
      <c r="J2672" t="s">
        <v>15210</v>
      </c>
      <c r="L2672" t="s">
        <v>142</v>
      </c>
      <c r="M2672" t="s">
        <v>113</v>
      </c>
      <c r="R2672" t="s">
        <v>15211</v>
      </c>
      <c r="W2672" t="s">
        <v>15208</v>
      </c>
      <c r="X2672" t="s">
        <v>7765</v>
      </c>
      <c r="Y2672" t="s">
        <v>116</v>
      </c>
      <c r="Z2672" t="s">
        <v>117</v>
      </c>
      <c r="AA2672" t="str">
        <f>"14203-1194"</f>
        <v>14203-1194</v>
      </c>
      <c r="AB2672" t="s">
        <v>118</v>
      </c>
      <c r="AC2672" t="s">
        <v>119</v>
      </c>
      <c r="AD2672" t="s">
        <v>113</v>
      </c>
      <c r="AE2672" t="s">
        <v>120</v>
      </c>
      <c r="AG2672" t="s">
        <v>121</v>
      </c>
    </row>
    <row r="2673" spans="1:33" x14ac:dyDescent="0.25">
      <c r="A2673" t="str">
        <f>"1760452411"</f>
        <v>1760452411</v>
      </c>
      <c r="B2673" t="str">
        <f>"02626084"</f>
        <v>02626084</v>
      </c>
      <c r="C2673" t="s">
        <v>15212</v>
      </c>
      <c r="D2673" t="s">
        <v>15213</v>
      </c>
      <c r="E2673" t="s">
        <v>15214</v>
      </c>
      <c r="G2673" t="s">
        <v>15215</v>
      </c>
      <c r="H2673" t="s">
        <v>15216</v>
      </c>
      <c r="J2673" t="s">
        <v>15217</v>
      </c>
      <c r="L2673" t="s">
        <v>142</v>
      </c>
      <c r="M2673" t="s">
        <v>113</v>
      </c>
      <c r="R2673" t="s">
        <v>15218</v>
      </c>
      <c r="W2673" t="s">
        <v>15214</v>
      </c>
      <c r="X2673" t="s">
        <v>253</v>
      </c>
      <c r="Y2673" t="s">
        <v>116</v>
      </c>
      <c r="Z2673" t="s">
        <v>117</v>
      </c>
      <c r="AA2673" t="str">
        <f>"14215-3021"</f>
        <v>14215-3021</v>
      </c>
      <c r="AB2673" t="s">
        <v>118</v>
      </c>
      <c r="AC2673" t="s">
        <v>119</v>
      </c>
      <c r="AD2673" t="s">
        <v>113</v>
      </c>
      <c r="AE2673" t="s">
        <v>120</v>
      </c>
      <c r="AG2673" t="s">
        <v>121</v>
      </c>
    </row>
    <row r="2674" spans="1:33" x14ac:dyDescent="0.25">
      <c r="A2674" t="str">
        <f>"1164612073"</f>
        <v>1164612073</v>
      </c>
      <c r="B2674" t="str">
        <f>"01945055"</f>
        <v>01945055</v>
      </c>
      <c r="C2674" t="s">
        <v>15219</v>
      </c>
      <c r="D2674" t="s">
        <v>15220</v>
      </c>
      <c r="E2674" t="s">
        <v>15221</v>
      </c>
      <c r="G2674" t="s">
        <v>15219</v>
      </c>
      <c r="H2674" t="s">
        <v>15222</v>
      </c>
      <c r="J2674" t="s">
        <v>15223</v>
      </c>
      <c r="L2674" t="s">
        <v>142</v>
      </c>
      <c r="M2674" t="s">
        <v>113</v>
      </c>
      <c r="R2674" t="s">
        <v>15224</v>
      </c>
      <c r="W2674" t="s">
        <v>15225</v>
      </c>
      <c r="X2674" t="s">
        <v>15226</v>
      </c>
      <c r="Y2674" t="s">
        <v>116</v>
      </c>
      <c r="Z2674" t="s">
        <v>117</v>
      </c>
      <c r="AA2674" t="str">
        <f>"14203-1126"</f>
        <v>14203-1126</v>
      </c>
      <c r="AB2674" t="s">
        <v>118</v>
      </c>
      <c r="AC2674" t="s">
        <v>119</v>
      </c>
      <c r="AD2674" t="s">
        <v>113</v>
      </c>
      <c r="AE2674" t="s">
        <v>120</v>
      </c>
      <c r="AG2674" t="s">
        <v>121</v>
      </c>
    </row>
    <row r="2675" spans="1:33" x14ac:dyDescent="0.25">
      <c r="A2675" t="str">
        <f>"1164628715"</f>
        <v>1164628715</v>
      </c>
      <c r="C2675" t="s">
        <v>15227</v>
      </c>
      <c r="G2675" t="s">
        <v>15228</v>
      </c>
      <c r="H2675" t="s">
        <v>590</v>
      </c>
      <c r="J2675" t="s">
        <v>15229</v>
      </c>
      <c r="K2675" t="s">
        <v>303</v>
      </c>
      <c r="L2675" t="s">
        <v>112</v>
      </c>
      <c r="M2675" t="s">
        <v>113</v>
      </c>
      <c r="R2675" t="s">
        <v>15230</v>
      </c>
      <c r="S2675" t="s">
        <v>846</v>
      </c>
      <c r="T2675" t="s">
        <v>847</v>
      </c>
      <c r="U2675" t="s">
        <v>117</v>
      </c>
      <c r="V2675" t="str">
        <f>"145691326"</f>
        <v>145691326</v>
      </c>
      <c r="AC2675" t="s">
        <v>119</v>
      </c>
      <c r="AD2675" t="s">
        <v>113</v>
      </c>
      <c r="AE2675" t="s">
        <v>306</v>
      </c>
      <c r="AG2675" t="s">
        <v>121</v>
      </c>
    </row>
    <row r="2676" spans="1:33" x14ac:dyDescent="0.25">
      <c r="A2676" t="str">
        <f>"1164638227"</f>
        <v>1164638227</v>
      </c>
      <c r="B2676" t="str">
        <f>"02747597"</f>
        <v>02747597</v>
      </c>
      <c r="C2676" t="s">
        <v>15231</v>
      </c>
      <c r="D2676" t="s">
        <v>15232</v>
      </c>
      <c r="E2676" t="s">
        <v>15233</v>
      </c>
      <c r="G2676" t="s">
        <v>15231</v>
      </c>
      <c r="H2676" t="s">
        <v>15234</v>
      </c>
      <c r="J2676" t="s">
        <v>15235</v>
      </c>
      <c r="L2676" t="s">
        <v>112</v>
      </c>
      <c r="M2676" t="s">
        <v>113</v>
      </c>
      <c r="R2676" t="s">
        <v>15236</v>
      </c>
      <c r="W2676" t="s">
        <v>15233</v>
      </c>
      <c r="X2676" t="s">
        <v>838</v>
      </c>
      <c r="Y2676" t="s">
        <v>240</v>
      </c>
      <c r="Z2676" t="s">
        <v>117</v>
      </c>
      <c r="AA2676" t="str">
        <f>"14221-3647"</f>
        <v>14221-3647</v>
      </c>
      <c r="AB2676" t="s">
        <v>118</v>
      </c>
      <c r="AC2676" t="s">
        <v>119</v>
      </c>
      <c r="AD2676" t="s">
        <v>113</v>
      </c>
      <c r="AE2676" t="s">
        <v>120</v>
      </c>
      <c r="AG2676" t="s">
        <v>121</v>
      </c>
    </row>
    <row r="2677" spans="1:33" x14ac:dyDescent="0.25">
      <c r="A2677" t="str">
        <f>"1164644183"</f>
        <v>1164644183</v>
      </c>
      <c r="B2677" t="str">
        <f>"03110469"</f>
        <v>03110469</v>
      </c>
      <c r="C2677" t="s">
        <v>15237</v>
      </c>
      <c r="D2677" t="s">
        <v>15238</v>
      </c>
      <c r="E2677" t="s">
        <v>15239</v>
      </c>
      <c r="G2677" t="s">
        <v>15237</v>
      </c>
      <c r="H2677" t="s">
        <v>2156</v>
      </c>
      <c r="J2677" t="s">
        <v>15240</v>
      </c>
      <c r="L2677" t="s">
        <v>142</v>
      </c>
      <c r="M2677" t="s">
        <v>113</v>
      </c>
      <c r="R2677" t="s">
        <v>15241</v>
      </c>
      <c r="W2677" t="s">
        <v>15242</v>
      </c>
      <c r="X2677" t="s">
        <v>15243</v>
      </c>
      <c r="Y2677" t="s">
        <v>326</v>
      </c>
      <c r="Z2677" t="s">
        <v>117</v>
      </c>
      <c r="AA2677" t="str">
        <f>"14127-1577"</f>
        <v>14127-1577</v>
      </c>
      <c r="AB2677" t="s">
        <v>118</v>
      </c>
      <c r="AC2677" t="s">
        <v>119</v>
      </c>
      <c r="AD2677" t="s">
        <v>113</v>
      </c>
      <c r="AE2677" t="s">
        <v>120</v>
      </c>
      <c r="AG2677" t="s">
        <v>121</v>
      </c>
    </row>
    <row r="2678" spans="1:33" x14ac:dyDescent="0.25">
      <c r="A2678" t="str">
        <f>"1164652467"</f>
        <v>1164652467</v>
      </c>
      <c r="B2678" t="str">
        <f>"03273778"</f>
        <v>03273778</v>
      </c>
      <c r="C2678" t="s">
        <v>15244</v>
      </c>
      <c r="D2678" t="s">
        <v>15245</v>
      </c>
      <c r="E2678" t="s">
        <v>15246</v>
      </c>
      <c r="G2678" t="s">
        <v>15247</v>
      </c>
      <c r="H2678" t="s">
        <v>205</v>
      </c>
      <c r="J2678" t="s">
        <v>15248</v>
      </c>
      <c r="L2678" t="s">
        <v>142</v>
      </c>
      <c r="M2678" t="s">
        <v>113</v>
      </c>
      <c r="R2678" t="s">
        <v>15249</v>
      </c>
      <c r="W2678" t="s">
        <v>15246</v>
      </c>
      <c r="X2678" t="s">
        <v>1282</v>
      </c>
      <c r="Y2678" t="s">
        <v>240</v>
      </c>
      <c r="Z2678" t="s">
        <v>117</v>
      </c>
      <c r="AA2678" t="str">
        <f>"14221-7051"</f>
        <v>14221-7051</v>
      </c>
      <c r="AB2678" t="s">
        <v>118</v>
      </c>
      <c r="AC2678" t="s">
        <v>119</v>
      </c>
      <c r="AD2678" t="s">
        <v>113</v>
      </c>
      <c r="AE2678" t="s">
        <v>120</v>
      </c>
      <c r="AG2678" t="s">
        <v>121</v>
      </c>
    </row>
    <row r="2679" spans="1:33" x14ac:dyDescent="0.25">
      <c r="A2679" t="str">
        <f>"1164686234"</f>
        <v>1164686234</v>
      </c>
      <c r="B2679" t="str">
        <f>"03111873"</f>
        <v>03111873</v>
      </c>
      <c r="C2679" t="s">
        <v>15250</v>
      </c>
      <c r="D2679" t="s">
        <v>15251</v>
      </c>
      <c r="E2679" t="s">
        <v>15252</v>
      </c>
      <c r="G2679" t="s">
        <v>15250</v>
      </c>
      <c r="H2679" t="s">
        <v>630</v>
      </c>
      <c r="J2679" t="s">
        <v>15253</v>
      </c>
      <c r="L2679" t="s">
        <v>142</v>
      </c>
      <c r="M2679" t="s">
        <v>113</v>
      </c>
      <c r="R2679" t="s">
        <v>15254</v>
      </c>
      <c r="W2679" t="s">
        <v>15255</v>
      </c>
      <c r="X2679" t="s">
        <v>253</v>
      </c>
      <c r="Y2679" t="s">
        <v>116</v>
      </c>
      <c r="Z2679" t="s">
        <v>117</v>
      </c>
      <c r="AA2679" t="str">
        <f>"14215-3021"</f>
        <v>14215-3021</v>
      </c>
      <c r="AB2679" t="s">
        <v>118</v>
      </c>
      <c r="AC2679" t="s">
        <v>119</v>
      </c>
      <c r="AD2679" t="s">
        <v>113</v>
      </c>
      <c r="AE2679" t="s">
        <v>120</v>
      </c>
      <c r="AG2679" t="s">
        <v>121</v>
      </c>
    </row>
    <row r="2680" spans="1:33" x14ac:dyDescent="0.25">
      <c r="A2680" t="str">
        <f>"1164715793"</f>
        <v>1164715793</v>
      </c>
      <c r="B2680" t="str">
        <f>"04032537"</f>
        <v>04032537</v>
      </c>
      <c r="C2680" t="s">
        <v>15256</v>
      </c>
      <c r="D2680" t="s">
        <v>15257</v>
      </c>
      <c r="E2680" t="s">
        <v>15258</v>
      </c>
      <c r="G2680" t="s">
        <v>15259</v>
      </c>
      <c r="J2680" t="s">
        <v>438</v>
      </c>
      <c r="L2680" t="s">
        <v>112</v>
      </c>
      <c r="M2680" t="s">
        <v>113</v>
      </c>
      <c r="R2680" t="s">
        <v>15260</v>
      </c>
      <c r="W2680" t="s">
        <v>15258</v>
      </c>
      <c r="X2680" t="s">
        <v>1218</v>
      </c>
      <c r="Y2680" t="s">
        <v>318</v>
      </c>
      <c r="Z2680" t="s">
        <v>117</v>
      </c>
      <c r="AA2680" t="str">
        <f>"14225-4985"</f>
        <v>14225-4985</v>
      </c>
      <c r="AB2680" t="s">
        <v>621</v>
      </c>
      <c r="AC2680" t="s">
        <v>119</v>
      </c>
      <c r="AD2680" t="s">
        <v>113</v>
      </c>
      <c r="AE2680" t="s">
        <v>120</v>
      </c>
      <c r="AG2680" t="s">
        <v>121</v>
      </c>
    </row>
    <row r="2681" spans="1:33" x14ac:dyDescent="0.25">
      <c r="A2681" t="str">
        <f>"1164726055"</f>
        <v>1164726055</v>
      </c>
      <c r="B2681" t="str">
        <f>"03325582"</f>
        <v>03325582</v>
      </c>
      <c r="C2681" t="s">
        <v>15261</v>
      </c>
      <c r="D2681" t="s">
        <v>15262</v>
      </c>
      <c r="E2681" t="s">
        <v>15263</v>
      </c>
      <c r="G2681" t="s">
        <v>15261</v>
      </c>
      <c r="J2681" t="s">
        <v>15264</v>
      </c>
      <c r="L2681" t="s">
        <v>112</v>
      </c>
      <c r="M2681" t="s">
        <v>113</v>
      </c>
      <c r="R2681" t="s">
        <v>15265</v>
      </c>
      <c r="W2681" t="s">
        <v>15263</v>
      </c>
      <c r="X2681" t="s">
        <v>15266</v>
      </c>
      <c r="Y2681" t="s">
        <v>15267</v>
      </c>
      <c r="Z2681" t="s">
        <v>117</v>
      </c>
      <c r="AA2681" t="str">
        <f>"12601-3947"</f>
        <v>12601-3947</v>
      </c>
      <c r="AB2681" t="s">
        <v>118</v>
      </c>
      <c r="AC2681" t="s">
        <v>119</v>
      </c>
      <c r="AD2681" t="s">
        <v>113</v>
      </c>
      <c r="AE2681" t="s">
        <v>120</v>
      </c>
      <c r="AG2681" t="s">
        <v>121</v>
      </c>
    </row>
    <row r="2682" spans="1:33" x14ac:dyDescent="0.25">
      <c r="A2682" t="str">
        <f>"1164730339"</f>
        <v>1164730339</v>
      </c>
      <c r="C2682" t="s">
        <v>15268</v>
      </c>
      <c r="G2682" t="s">
        <v>15268</v>
      </c>
      <c r="H2682" t="s">
        <v>1308</v>
      </c>
      <c r="J2682" t="s">
        <v>15269</v>
      </c>
      <c r="K2682" t="s">
        <v>303</v>
      </c>
      <c r="L2682" t="s">
        <v>229</v>
      </c>
      <c r="M2682" t="s">
        <v>113</v>
      </c>
      <c r="R2682" t="s">
        <v>15270</v>
      </c>
      <c r="S2682" t="s">
        <v>6958</v>
      </c>
      <c r="T2682" t="s">
        <v>145</v>
      </c>
      <c r="U2682" t="s">
        <v>117</v>
      </c>
      <c r="V2682" t="str">
        <f>"140512610"</f>
        <v>140512610</v>
      </c>
      <c r="AC2682" t="s">
        <v>119</v>
      </c>
      <c r="AD2682" t="s">
        <v>113</v>
      </c>
      <c r="AE2682" t="s">
        <v>306</v>
      </c>
      <c r="AG2682" t="s">
        <v>121</v>
      </c>
    </row>
    <row r="2683" spans="1:33" x14ac:dyDescent="0.25">
      <c r="A2683" t="str">
        <f>"1164758918"</f>
        <v>1164758918</v>
      </c>
      <c r="C2683" t="s">
        <v>15271</v>
      </c>
      <c r="G2683" t="s">
        <v>15272</v>
      </c>
      <c r="H2683" t="s">
        <v>1071</v>
      </c>
      <c r="J2683" t="s">
        <v>15273</v>
      </c>
      <c r="K2683" t="s">
        <v>303</v>
      </c>
      <c r="L2683" t="s">
        <v>112</v>
      </c>
      <c r="M2683" t="s">
        <v>113</v>
      </c>
      <c r="R2683" t="s">
        <v>15274</v>
      </c>
      <c r="S2683" t="s">
        <v>474</v>
      </c>
      <c r="T2683" t="s">
        <v>116</v>
      </c>
      <c r="U2683" t="s">
        <v>117</v>
      </c>
      <c r="V2683" t="str">
        <f>"142141316"</f>
        <v>142141316</v>
      </c>
      <c r="AC2683" t="s">
        <v>119</v>
      </c>
      <c r="AD2683" t="s">
        <v>113</v>
      </c>
      <c r="AE2683" t="s">
        <v>306</v>
      </c>
      <c r="AG2683" t="s">
        <v>121</v>
      </c>
    </row>
    <row r="2684" spans="1:33" x14ac:dyDescent="0.25">
      <c r="A2684" t="str">
        <f>"1164868352"</f>
        <v>1164868352</v>
      </c>
      <c r="C2684" t="s">
        <v>15275</v>
      </c>
      <c r="G2684" t="s">
        <v>15275</v>
      </c>
      <c r="H2684" t="s">
        <v>15276</v>
      </c>
      <c r="J2684" t="s">
        <v>15277</v>
      </c>
      <c r="K2684" t="s">
        <v>303</v>
      </c>
      <c r="L2684" t="s">
        <v>112</v>
      </c>
      <c r="M2684" t="s">
        <v>113</v>
      </c>
      <c r="R2684" t="s">
        <v>15278</v>
      </c>
      <c r="S2684" t="s">
        <v>15279</v>
      </c>
      <c r="T2684" t="s">
        <v>153</v>
      </c>
      <c r="U2684" t="s">
        <v>117</v>
      </c>
      <c r="V2684" t="str">
        <f>"143011201"</f>
        <v>143011201</v>
      </c>
      <c r="AC2684" t="s">
        <v>119</v>
      </c>
      <c r="AD2684" t="s">
        <v>113</v>
      </c>
      <c r="AE2684" t="s">
        <v>306</v>
      </c>
      <c r="AG2684" t="s">
        <v>121</v>
      </c>
    </row>
    <row r="2685" spans="1:33" x14ac:dyDescent="0.25">
      <c r="A2685" t="str">
        <f>"1174502504"</f>
        <v>1174502504</v>
      </c>
      <c r="B2685" t="str">
        <f>"02845765"</f>
        <v>02845765</v>
      </c>
      <c r="C2685" t="s">
        <v>15280</v>
      </c>
      <c r="D2685" t="s">
        <v>15281</v>
      </c>
      <c r="E2685" t="s">
        <v>15282</v>
      </c>
      <c r="G2685" t="s">
        <v>15280</v>
      </c>
      <c r="H2685" t="s">
        <v>205</v>
      </c>
      <c r="J2685" t="s">
        <v>15283</v>
      </c>
      <c r="L2685" t="s">
        <v>150</v>
      </c>
      <c r="M2685" t="s">
        <v>113</v>
      </c>
      <c r="R2685" t="s">
        <v>15284</v>
      </c>
      <c r="W2685" t="s">
        <v>15282</v>
      </c>
      <c r="X2685" t="s">
        <v>2607</v>
      </c>
      <c r="Y2685" t="s">
        <v>116</v>
      </c>
      <c r="Z2685" t="s">
        <v>117</v>
      </c>
      <c r="AA2685" t="str">
        <f>"14203-1149"</f>
        <v>14203-1149</v>
      </c>
      <c r="AB2685" t="s">
        <v>118</v>
      </c>
      <c r="AC2685" t="s">
        <v>119</v>
      </c>
      <c r="AD2685" t="s">
        <v>113</v>
      </c>
      <c r="AE2685" t="s">
        <v>120</v>
      </c>
      <c r="AG2685" t="s">
        <v>121</v>
      </c>
    </row>
    <row r="2686" spans="1:33" x14ac:dyDescent="0.25">
      <c r="A2686" t="str">
        <f>"1174504377"</f>
        <v>1174504377</v>
      </c>
      <c r="B2686" t="str">
        <f>"01203901"</f>
        <v>01203901</v>
      </c>
      <c r="C2686" t="s">
        <v>15285</v>
      </c>
      <c r="D2686" t="s">
        <v>15286</v>
      </c>
      <c r="E2686" t="s">
        <v>15287</v>
      </c>
      <c r="G2686" t="s">
        <v>15285</v>
      </c>
      <c r="H2686" t="s">
        <v>15288</v>
      </c>
      <c r="J2686" t="s">
        <v>15289</v>
      </c>
      <c r="L2686" t="s">
        <v>142</v>
      </c>
      <c r="M2686" t="s">
        <v>113</v>
      </c>
      <c r="R2686" t="s">
        <v>15290</v>
      </c>
      <c r="W2686" t="s">
        <v>15287</v>
      </c>
      <c r="X2686" t="s">
        <v>10324</v>
      </c>
      <c r="Y2686" t="s">
        <v>116</v>
      </c>
      <c r="Z2686" t="s">
        <v>117</v>
      </c>
      <c r="AA2686" t="str">
        <f>"14222-2099"</f>
        <v>14222-2099</v>
      </c>
      <c r="AB2686" t="s">
        <v>118</v>
      </c>
      <c r="AC2686" t="s">
        <v>119</v>
      </c>
      <c r="AD2686" t="s">
        <v>113</v>
      </c>
      <c r="AE2686" t="s">
        <v>120</v>
      </c>
      <c r="AG2686" t="s">
        <v>121</v>
      </c>
    </row>
    <row r="2687" spans="1:33" x14ac:dyDescent="0.25">
      <c r="A2687" t="str">
        <f>"1316356983"</f>
        <v>1316356983</v>
      </c>
      <c r="B2687" t="str">
        <f>"03922089"</f>
        <v>03922089</v>
      </c>
      <c r="C2687" t="s">
        <v>15291</v>
      </c>
      <c r="D2687" t="s">
        <v>15292</v>
      </c>
      <c r="E2687" t="s">
        <v>15293</v>
      </c>
      <c r="G2687" t="s">
        <v>15294</v>
      </c>
      <c r="H2687" t="s">
        <v>15295</v>
      </c>
      <c r="J2687" t="s">
        <v>15296</v>
      </c>
      <c r="L2687" t="s">
        <v>112</v>
      </c>
      <c r="M2687" t="s">
        <v>113</v>
      </c>
      <c r="R2687" t="s">
        <v>15293</v>
      </c>
      <c r="W2687" t="s">
        <v>15297</v>
      </c>
      <c r="X2687" t="s">
        <v>176</v>
      </c>
      <c r="Y2687" t="s">
        <v>116</v>
      </c>
      <c r="Z2687" t="s">
        <v>117</v>
      </c>
      <c r="AA2687" t="str">
        <f>"14203-1126"</f>
        <v>14203-1126</v>
      </c>
      <c r="AB2687" t="s">
        <v>118</v>
      </c>
      <c r="AC2687" t="s">
        <v>119</v>
      </c>
      <c r="AD2687" t="s">
        <v>113</v>
      </c>
      <c r="AE2687" t="s">
        <v>120</v>
      </c>
      <c r="AG2687" t="s">
        <v>121</v>
      </c>
    </row>
    <row r="2688" spans="1:33" x14ac:dyDescent="0.25">
      <c r="A2688" t="str">
        <f>"1316362007"</f>
        <v>1316362007</v>
      </c>
      <c r="C2688" t="s">
        <v>15298</v>
      </c>
      <c r="G2688" t="s">
        <v>15299</v>
      </c>
      <c r="H2688" t="s">
        <v>351</v>
      </c>
      <c r="J2688" t="s">
        <v>352</v>
      </c>
      <c r="K2688" t="s">
        <v>303</v>
      </c>
      <c r="L2688" t="s">
        <v>229</v>
      </c>
      <c r="M2688" t="s">
        <v>113</v>
      </c>
      <c r="R2688" t="s">
        <v>15300</v>
      </c>
      <c r="S2688" t="s">
        <v>354</v>
      </c>
      <c r="T2688" t="s">
        <v>116</v>
      </c>
      <c r="U2688" t="s">
        <v>117</v>
      </c>
      <c r="V2688" t="str">
        <f>"142152814"</f>
        <v>142152814</v>
      </c>
      <c r="AC2688" t="s">
        <v>119</v>
      </c>
      <c r="AD2688" t="s">
        <v>113</v>
      </c>
      <c r="AE2688" t="s">
        <v>306</v>
      </c>
      <c r="AG2688" t="s">
        <v>121</v>
      </c>
    </row>
    <row r="2689" spans="1:33" x14ac:dyDescent="0.25">
      <c r="A2689" t="str">
        <f>"1144217621"</f>
        <v>1144217621</v>
      </c>
      <c r="B2689" t="str">
        <f>"01634317"</f>
        <v>01634317</v>
      </c>
      <c r="C2689" t="s">
        <v>15301</v>
      </c>
      <c r="D2689" t="s">
        <v>15302</v>
      </c>
      <c r="E2689" t="s">
        <v>15303</v>
      </c>
      <c r="G2689" t="s">
        <v>15304</v>
      </c>
      <c r="H2689" t="s">
        <v>10657</v>
      </c>
      <c r="J2689" t="s">
        <v>15305</v>
      </c>
      <c r="L2689" t="s">
        <v>142</v>
      </c>
      <c r="M2689" t="s">
        <v>113</v>
      </c>
      <c r="R2689" t="s">
        <v>15306</v>
      </c>
      <c r="W2689" t="s">
        <v>15303</v>
      </c>
      <c r="X2689" t="s">
        <v>136</v>
      </c>
      <c r="Y2689" t="s">
        <v>116</v>
      </c>
      <c r="Z2689" t="s">
        <v>117</v>
      </c>
      <c r="AA2689" t="str">
        <f>"14209-1120"</f>
        <v>14209-1120</v>
      </c>
      <c r="AB2689" t="s">
        <v>118</v>
      </c>
      <c r="AC2689" t="s">
        <v>119</v>
      </c>
      <c r="AD2689" t="s">
        <v>113</v>
      </c>
      <c r="AE2689" t="s">
        <v>120</v>
      </c>
      <c r="AG2689" t="s">
        <v>121</v>
      </c>
    </row>
    <row r="2690" spans="1:33" x14ac:dyDescent="0.25">
      <c r="A2690" t="str">
        <f>"1144224072"</f>
        <v>1144224072</v>
      </c>
      <c r="B2690" t="str">
        <f>"02595426"</f>
        <v>02595426</v>
      </c>
      <c r="C2690" t="s">
        <v>15307</v>
      </c>
      <c r="D2690" t="s">
        <v>15308</v>
      </c>
      <c r="E2690" t="s">
        <v>15309</v>
      </c>
      <c r="G2690" t="s">
        <v>15307</v>
      </c>
      <c r="H2690" t="s">
        <v>1050</v>
      </c>
      <c r="J2690" t="s">
        <v>15310</v>
      </c>
      <c r="L2690" t="s">
        <v>150</v>
      </c>
      <c r="M2690" t="s">
        <v>113</v>
      </c>
      <c r="R2690" t="s">
        <v>15311</v>
      </c>
      <c r="W2690" t="s">
        <v>15309</v>
      </c>
      <c r="X2690" t="s">
        <v>9032</v>
      </c>
      <c r="Y2690" t="s">
        <v>816</v>
      </c>
      <c r="Z2690" t="s">
        <v>117</v>
      </c>
      <c r="AA2690" t="str">
        <f>"14120-1114"</f>
        <v>14120-1114</v>
      </c>
      <c r="AB2690" t="s">
        <v>118</v>
      </c>
      <c r="AC2690" t="s">
        <v>119</v>
      </c>
      <c r="AD2690" t="s">
        <v>113</v>
      </c>
      <c r="AE2690" t="s">
        <v>120</v>
      </c>
      <c r="AG2690" t="s">
        <v>121</v>
      </c>
    </row>
    <row r="2691" spans="1:33" x14ac:dyDescent="0.25">
      <c r="A2691" t="str">
        <f>"1144234436"</f>
        <v>1144234436</v>
      </c>
      <c r="B2691" t="str">
        <f>"03392972"</f>
        <v>03392972</v>
      </c>
      <c r="C2691" t="s">
        <v>15312</v>
      </c>
      <c r="D2691" t="s">
        <v>15313</v>
      </c>
      <c r="E2691" t="s">
        <v>15314</v>
      </c>
      <c r="G2691" t="s">
        <v>15312</v>
      </c>
      <c r="H2691" t="s">
        <v>227</v>
      </c>
      <c r="J2691" t="s">
        <v>15315</v>
      </c>
      <c r="L2691" t="s">
        <v>142</v>
      </c>
      <c r="M2691" t="s">
        <v>113</v>
      </c>
      <c r="R2691" t="s">
        <v>15316</v>
      </c>
      <c r="W2691" t="s">
        <v>15314</v>
      </c>
      <c r="X2691" t="s">
        <v>2689</v>
      </c>
      <c r="Y2691" t="s">
        <v>2690</v>
      </c>
      <c r="Z2691" t="s">
        <v>117</v>
      </c>
      <c r="AA2691" t="str">
        <f>"10451"</f>
        <v>10451</v>
      </c>
      <c r="AB2691" t="s">
        <v>118</v>
      </c>
      <c r="AC2691" t="s">
        <v>119</v>
      </c>
      <c r="AD2691" t="s">
        <v>113</v>
      </c>
      <c r="AE2691" t="s">
        <v>120</v>
      </c>
      <c r="AG2691" t="s">
        <v>121</v>
      </c>
    </row>
    <row r="2692" spans="1:33" x14ac:dyDescent="0.25">
      <c r="A2692" t="str">
        <f>"1144237710"</f>
        <v>1144237710</v>
      </c>
      <c r="B2692" t="str">
        <f>"02937837"</f>
        <v>02937837</v>
      </c>
      <c r="C2692" t="s">
        <v>15317</v>
      </c>
      <c r="D2692" t="s">
        <v>15318</v>
      </c>
      <c r="E2692" t="s">
        <v>15319</v>
      </c>
      <c r="G2692" t="s">
        <v>15320</v>
      </c>
      <c r="H2692" t="s">
        <v>15321</v>
      </c>
      <c r="J2692" t="s">
        <v>15322</v>
      </c>
      <c r="L2692" t="s">
        <v>1033</v>
      </c>
      <c r="M2692" t="s">
        <v>113</v>
      </c>
      <c r="R2692" t="s">
        <v>15319</v>
      </c>
      <c r="W2692" t="s">
        <v>15323</v>
      </c>
      <c r="X2692" t="s">
        <v>216</v>
      </c>
      <c r="Y2692" t="s">
        <v>116</v>
      </c>
      <c r="Z2692" t="s">
        <v>117</v>
      </c>
      <c r="AA2692" t="str">
        <f>"14222-2006"</f>
        <v>14222-2006</v>
      </c>
      <c r="AB2692" t="s">
        <v>118</v>
      </c>
      <c r="AC2692" t="s">
        <v>119</v>
      </c>
      <c r="AD2692" t="s">
        <v>113</v>
      </c>
      <c r="AE2692" t="s">
        <v>120</v>
      </c>
      <c r="AG2692" t="s">
        <v>121</v>
      </c>
    </row>
    <row r="2693" spans="1:33" x14ac:dyDescent="0.25">
      <c r="A2693" t="str">
        <f>"1144237785"</f>
        <v>1144237785</v>
      </c>
      <c r="B2693" t="str">
        <f>"02345751"</f>
        <v>02345751</v>
      </c>
      <c r="C2693" t="s">
        <v>15324</v>
      </c>
      <c r="D2693" t="s">
        <v>15325</v>
      </c>
      <c r="E2693" t="s">
        <v>15326</v>
      </c>
      <c r="G2693" t="s">
        <v>15324</v>
      </c>
      <c r="H2693" t="s">
        <v>3311</v>
      </c>
      <c r="J2693" t="s">
        <v>15327</v>
      </c>
      <c r="L2693" t="s">
        <v>142</v>
      </c>
      <c r="M2693" t="s">
        <v>113</v>
      </c>
      <c r="R2693" t="s">
        <v>15328</v>
      </c>
      <c r="W2693" t="s">
        <v>15326</v>
      </c>
      <c r="X2693" t="s">
        <v>15329</v>
      </c>
      <c r="Y2693" t="s">
        <v>116</v>
      </c>
      <c r="Z2693" t="s">
        <v>117</v>
      </c>
      <c r="AA2693" t="str">
        <f>"14220-2039"</f>
        <v>14220-2039</v>
      </c>
      <c r="AB2693" t="s">
        <v>118</v>
      </c>
      <c r="AC2693" t="s">
        <v>119</v>
      </c>
      <c r="AD2693" t="s">
        <v>113</v>
      </c>
      <c r="AE2693" t="s">
        <v>120</v>
      </c>
      <c r="AG2693" t="s">
        <v>121</v>
      </c>
    </row>
    <row r="2694" spans="1:33" x14ac:dyDescent="0.25">
      <c r="A2694" t="str">
        <f>"1144241019"</f>
        <v>1144241019</v>
      </c>
      <c r="B2694" t="str">
        <f>"00592365"</f>
        <v>00592365</v>
      </c>
      <c r="C2694" t="s">
        <v>15330</v>
      </c>
      <c r="D2694" t="s">
        <v>15331</v>
      </c>
      <c r="E2694" t="s">
        <v>15332</v>
      </c>
      <c r="G2694" t="s">
        <v>15330</v>
      </c>
      <c r="J2694" t="s">
        <v>15333</v>
      </c>
      <c r="L2694" t="s">
        <v>142</v>
      </c>
      <c r="M2694" t="s">
        <v>113</v>
      </c>
      <c r="R2694" t="s">
        <v>15334</v>
      </c>
      <c r="W2694" t="s">
        <v>15332</v>
      </c>
      <c r="X2694" t="s">
        <v>15335</v>
      </c>
      <c r="Y2694" t="s">
        <v>15336</v>
      </c>
      <c r="Z2694" t="s">
        <v>117</v>
      </c>
      <c r="AA2694" t="str">
        <f>"13502-5431"</f>
        <v>13502-5431</v>
      </c>
      <c r="AB2694" t="s">
        <v>1755</v>
      </c>
      <c r="AC2694" t="s">
        <v>119</v>
      </c>
      <c r="AD2694" t="s">
        <v>113</v>
      </c>
      <c r="AE2694" t="s">
        <v>120</v>
      </c>
      <c r="AG2694" t="s">
        <v>121</v>
      </c>
    </row>
    <row r="2695" spans="1:33" x14ac:dyDescent="0.25">
      <c r="A2695" t="str">
        <f>"1144249368"</f>
        <v>1144249368</v>
      </c>
      <c r="B2695" t="str">
        <f>"02994287"</f>
        <v>02994287</v>
      </c>
      <c r="C2695" t="s">
        <v>15337</v>
      </c>
      <c r="D2695" t="s">
        <v>15338</v>
      </c>
      <c r="E2695" t="s">
        <v>15339</v>
      </c>
      <c r="G2695" t="s">
        <v>15340</v>
      </c>
      <c r="H2695" t="s">
        <v>15341</v>
      </c>
      <c r="J2695" t="s">
        <v>15342</v>
      </c>
      <c r="L2695" t="s">
        <v>8364</v>
      </c>
      <c r="M2695" t="s">
        <v>113</v>
      </c>
      <c r="R2695" t="s">
        <v>15343</v>
      </c>
      <c r="W2695" t="s">
        <v>15344</v>
      </c>
      <c r="X2695" t="s">
        <v>15345</v>
      </c>
      <c r="Y2695" t="s">
        <v>240</v>
      </c>
      <c r="Z2695" t="s">
        <v>117</v>
      </c>
      <c r="AA2695" t="str">
        <f>"14221-5853"</f>
        <v>14221-5853</v>
      </c>
      <c r="AB2695" t="s">
        <v>1460</v>
      </c>
      <c r="AC2695" t="s">
        <v>119</v>
      </c>
      <c r="AD2695" t="s">
        <v>113</v>
      </c>
      <c r="AE2695" t="s">
        <v>120</v>
      </c>
      <c r="AG2695" t="s">
        <v>121</v>
      </c>
    </row>
    <row r="2696" spans="1:33" x14ac:dyDescent="0.25">
      <c r="A2696" t="str">
        <f>"1144258641"</f>
        <v>1144258641</v>
      </c>
      <c r="B2696" t="str">
        <f>"01149595"</f>
        <v>01149595</v>
      </c>
      <c r="C2696" t="s">
        <v>15346</v>
      </c>
      <c r="D2696" t="s">
        <v>15347</v>
      </c>
      <c r="E2696" t="s">
        <v>15348</v>
      </c>
      <c r="G2696" t="s">
        <v>15346</v>
      </c>
      <c r="H2696" t="s">
        <v>7245</v>
      </c>
      <c r="J2696" t="s">
        <v>15349</v>
      </c>
      <c r="L2696" t="s">
        <v>142</v>
      </c>
      <c r="M2696" t="s">
        <v>113</v>
      </c>
      <c r="R2696" t="s">
        <v>15350</v>
      </c>
      <c r="W2696" t="s">
        <v>15348</v>
      </c>
      <c r="X2696" t="s">
        <v>554</v>
      </c>
      <c r="Y2696" t="s">
        <v>116</v>
      </c>
      <c r="Z2696" t="s">
        <v>117</v>
      </c>
      <c r="AA2696" t="str">
        <f>"14209-1635"</f>
        <v>14209-1635</v>
      </c>
      <c r="AB2696" t="s">
        <v>118</v>
      </c>
      <c r="AC2696" t="s">
        <v>119</v>
      </c>
      <c r="AD2696" t="s">
        <v>113</v>
      </c>
      <c r="AE2696" t="s">
        <v>120</v>
      </c>
      <c r="AG2696" t="s">
        <v>121</v>
      </c>
    </row>
    <row r="2697" spans="1:33" x14ac:dyDescent="0.25">
      <c r="A2697" t="str">
        <f>"1144265455"</f>
        <v>1144265455</v>
      </c>
      <c r="B2697" t="str">
        <f>"03321762"</f>
        <v>03321762</v>
      </c>
      <c r="C2697" t="s">
        <v>15351</v>
      </c>
      <c r="D2697" t="s">
        <v>15352</v>
      </c>
      <c r="E2697" t="s">
        <v>15353</v>
      </c>
      <c r="G2697" t="s">
        <v>15351</v>
      </c>
      <c r="H2697" t="s">
        <v>227</v>
      </c>
      <c r="J2697" t="s">
        <v>15354</v>
      </c>
      <c r="L2697" t="s">
        <v>142</v>
      </c>
      <c r="M2697" t="s">
        <v>113</v>
      </c>
      <c r="R2697" t="s">
        <v>15355</v>
      </c>
      <c r="W2697" t="s">
        <v>15353</v>
      </c>
      <c r="X2697" t="s">
        <v>9404</v>
      </c>
      <c r="Y2697" t="s">
        <v>9405</v>
      </c>
      <c r="Z2697" t="s">
        <v>117</v>
      </c>
      <c r="AA2697" t="str">
        <f>"12771-2253"</f>
        <v>12771-2253</v>
      </c>
      <c r="AB2697" t="s">
        <v>118</v>
      </c>
      <c r="AC2697" t="s">
        <v>119</v>
      </c>
      <c r="AD2697" t="s">
        <v>113</v>
      </c>
      <c r="AE2697" t="s">
        <v>120</v>
      </c>
      <c r="AG2697" t="s">
        <v>121</v>
      </c>
    </row>
    <row r="2698" spans="1:33" x14ac:dyDescent="0.25">
      <c r="A2698" t="str">
        <f>"1144268293"</f>
        <v>1144268293</v>
      </c>
      <c r="C2698" t="s">
        <v>15356</v>
      </c>
      <c r="G2698" t="s">
        <v>15357</v>
      </c>
      <c r="H2698" t="s">
        <v>15358</v>
      </c>
      <c r="J2698" t="s">
        <v>15359</v>
      </c>
      <c r="K2698" t="s">
        <v>303</v>
      </c>
      <c r="L2698" t="s">
        <v>229</v>
      </c>
      <c r="M2698" t="s">
        <v>113</v>
      </c>
      <c r="R2698" t="s">
        <v>15360</v>
      </c>
      <c r="S2698" t="s">
        <v>136</v>
      </c>
      <c r="T2698" t="s">
        <v>116</v>
      </c>
      <c r="U2698" t="s">
        <v>117</v>
      </c>
      <c r="V2698" t="str">
        <f>"142091120"</f>
        <v>142091120</v>
      </c>
      <c r="AC2698" t="s">
        <v>119</v>
      </c>
      <c r="AD2698" t="s">
        <v>113</v>
      </c>
      <c r="AE2698" t="s">
        <v>306</v>
      </c>
      <c r="AG2698" t="s">
        <v>121</v>
      </c>
    </row>
    <row r="2699" spans="1:33" x14ac:dyDescent="0.25">
      <c r="A2699" t="str">
        <f>"1144272030"</f>
        <v>1144272030</v>
      </c>
      <c r="B2699" t="str">
        <f>"01371719"</f>
        <v>01371719</v>
      </c>
      <c r="C2699" t="s">
        <v>15361</v>
      </c>
      <c r="D2699" t="s">
        <v>15362</v>
      </c>
      <c r="E2699" t="s">
        <v>15363</v>
      </c>
      <c r="G2699" t="s">
        <v>15361</v>
      </c>
      <c r="H2699" t="s">
        <v>205</v>
      </c>
      <c r="J2699" t="s">
        <v>15364</v>
      </c>
      <c r="L2699" t="s">
        <v>142</v>
      </c>
      <c r="M2699" t="s">
        <v>113</v>
      </c>
      <c r="R2699" t="s">
        <v>15365</v>
      </c>
      <c r="W2699" t="s">
        <v>15363</v>
      </c>
      <c r="X2699" t="s">
        <v>2607</v>
      </c>
      <c r="Y2699" t="s">
        <v>116</v>
      </c>
      <c r="Z2699" t="s">
        <v>117</v>
      </c>
      <c r="AA2699" t="str">
        <f>"14203-1149"</f>
        <v>14203-1149</v>
      </c>
      <c r="AB2699" t="s">
        <v>118</v>
      </c>
      <c r="AC2699" t="s">
        <v>119</v>
      </c>
      <c r="AD2699" t="s">
        <v>113</v>
      </c>
      <c r="AE2699" t="s">
        <v>120</v>
      </c>
      <c r="AG2699" t="s">
        <v>121</v>
      </c>
    </row>
    <row r="2700" spans="1:33" x14ac:dyDescent="0.25">
      <c r="A2700" t="str">
        <f>"1144279191"</f>
        <v>1144279191</v>
      </c>
      <c r="B2700" t="str">
        <f>"02207514"</f>
        <v>02207514</v>
      </c>
      <c r="C2700" t="s">
        <v>15366</v>
      </c>
      <c r="D2700" t="s">
        <v>15367</v>
      </c>
      <c r="E2700" t="s">
        <v>15368</v>
      </c>
      <c r="G2700" t="s">
        <v>15369</v>
      </c>
      <c r="H2700" t="s">
        <v>15370</v>
      </c>
      <c r="J2700" t="s">
        <v>15371</v>
      </c>
      <c r="L2700" t="s">
        <v>112</v>
      </c>
      <c r="M2700" t="s">
        <v>113</v>
      </c>
      <c r="R2700" t="s">
        <v>15372</v>
      </c>
      <c r="W2700" t="s">
        <v>15373</v>
      </c>
      <c r="X2700" t="s">
        <v>15374</v>
      </c>
      <c r="Y2700" t="s">
        <v>240</v>
      </c>
      <c r="Z2700" t="s">
        <v>117</v>
      </c>
      <c r="AA2700" t="str">
        <f>"14221-2900"</f>
        <v>14221-2900</v>
      </c>
      <c r="AB2700" t="s">
        <v>634</v>
      </c>
      <c r="AC2700" t="s">
        <v>119</v>
      </c>
      <c r="AD2700" t="s">
        <v>113</v>
      </c>
      <c r="AE2700" t="s">
        <v>120</v>
      </c>
      <c r="AG2700" t="s">
        <v>121</v>
      </c>
    </row>
    <row r="2701" spans="1:33" x14ac:dyDescent="0.25">
      <c r="A2701" t="str">
        <f>"1144283425"</f>
        <v>1144283425</v>
      </c>
      <c r="B2701" t="str">
        <f>"00594770"</f>
        <v>00594770</v>
      </c>
      <c r="C2701" t="s">
        <v>15375</v>
      </c>
      <c r="D2701" t="s">
        <v>15376</v>
      </c>
      <c r="E2701" t="s">
        <v>15377</v>
      </c>
      <c r="G2701" t="s">
        <v>15375</v>
      </c>
      <c r="H2701" t="s">
        <v>15378</v>
      </c>
      <c r="J2701" t="s">
        <v>15379</v>
      </c>
      <c r="L2701" t="s">
        <v>112</v>
      </c>
      <c r="M2701" t="s">
        <v>113</v>
      </c>
      <c r="R2701" t="s">
        <v>15380</v>
      </c>
      <c r="W2701" t="s">
        <v>15377</v>
      </c>
      <c r="X2701" t="s">
        <v>5418</v>
      </c>
      <c r="Y2701" t="s">
        <v>958</v>
      </c>
      <c r="Z2701" t="s">
        <v>117</v>
      </c>
      <c r="AA2701" t="str">
        <f>"14226-1206"</f>
        <v>14226-1206</v>
      </c>
      <c r="AB2701" t="s">
        <v>118</v>
      </c>
      <c r="AC2701" t="s">
        <v>119</v>
      </c>
      <c r="AD2701" t="s">
        <v>113</v>
      </c>
      <c r="AE2701" t="s">
        <v>120</v>
      </c>
      <c r="AG2701" t="s">
        <v>121</v>
      </c>
    </row>
    <row r="2702" spans="1:33" x14ac:dyDescent="0.25">
      <c r="A2702" t="str">
        <f>"1144287160"</f>
        <v>1144287160</v>
      </c>
      <c r="B2702" t="str">
        <f>"01112830"</f>
        <v>01112830</v>
      </c>
      <c r="C2702" t="s">
        <v>15381</v>
      </c>
      <c r="D2702" t="s">
        <v>15382</v>
      </c>
      <c r="E2702" t="s">
        <v>15383</v>
      </c>
      <c r="G2702" t="s">
        <v>15384</v>
      </c>
      <c r="H2702" t="s">
        <v>15385</v>
      </c>
      <c r="J2702" t="s">
        <v>15386</v>
      </c>
      <c r="L2702" t="s">
        <v>142</v>
      </c>
      <c r="M2702" t="s">
        <v>113</v>
      </c>
      <c r="R2702" t="s">
        <v>15387</v>
      </c>
      <c r="W2702" t="s">
        <v>15383</v>
      </c>
      <c r="X2702" t="s">
        <v>253</v>
      </c>
      <c r="Y2702" t="s">
        <v>116</v>
      </c>
      <c r="Z2702" t="s">
        <v>117</v>
      </c>
      <c r="AA2702" t="str">
        <f>"14215-3021"</f>
        <v>14215-3021</v>
      </c>
      <c r="AB2702" t="s">
        <v>118</v>
      </c>
      <c r="AC2702" t="s">
        <v>119</v>
      </c>
      <c r="AD2702" t="s">
        <v>113</v>
      </c>
      <c r="AE2702" t="s">
        <v>120</v>
      </c>
      <c r="AG2702" t="s">
        <v>121</v>
      </c>
    </row>
    <row r="2703" spans="1:33" x14ac:dyDescent="0.25">
      <c r="A2703" t="str">
        <f>"1144303579"</f>
        <v>1144303579</v>
      </c>
      <c r="B2703" t="str">
        <f>"01752170"</f>
        <v>01752170</v>
      </c>
      <c r="C2703" t="s">
        <v>15388</v>
      </c>
      <c r="D2703" t="s">
        <v>15389</v>
      </c>
      <c r="E2703" t="s">
        <v>15390</v>
      </c>
      <c r="G2703" t="s">
        <v>15391</v>
      </c>
      <c r="H2703" t="s">
        <v>213</v>
      </c>
      <c r="J2703" t="s">
        <v>15392</v>
      </c>
      <c r="L2703" t="s">
        <v>142</v>
      </c>
      <c r="M2703" t="s">
        <v>199</v>
      </c>
      <c r="R2703" t="s">
        <v>15393</v>
      </c>
      <c r="W2703" t="s">
        <v>15390</v>
      </c>
      <c r="X2703" t="s">
        <v>216</v>
      </c>
      <c r="Y2703" t="s">
        <v>116</v>
      </c>
      <c r="Z2703" t="s">
        <v>117</v>
      </c>
      <c r="AA2703" t="str">
        <f>"14222-2006"</f>
        <v>14222-2006</v>
      </c>
      <c r="AB2703" t="s">
        <v>118</v>
      </c>
      <c r="AC2703" t="s">
        <v>119</v>
      </c>
      <c r="AD2703" t="s">
        <v>113</v>
      </c>
      <c r="AE2703" t="s">
        <v>120</v>
      </c>
      <c r="AG2703" t="s">
        <v>121</v>
      </c>
    </row>
    <row r="2704" spans="1:33" x14ac:dyDescent="0.25">
      <c r="A2704" t="str">
        <f>"1669459368"</f>
        <v>1669459368</v>
      </c>
      <c r="B2704" t="str">
        <f>"00892159"</f>
        <v>00892159</v>
      </c>
      <c r="C2704" t="s">
        <v>15394</v>
      </c>
      <c r="D2704" t="s">
        <v>15395</v>
      </c>
      <c r="E2704" t="s">
        <v>15396</v>
      </c>
      <c r="G2704" t="s">
        <v>15394</v>
      </c>
      <c r="H2704" t="s">
        <v>15397</v>
      </c>
      <c r="J2704" t="s">
        <v>15398</v>
      </c>
      <c r="L2704" t="s">
        <v>112</v>
      </c>
      <c r="M2704" t="s">
        <v>113</v>
      </c>
      <c r="R2704" t="s">
        <v>15399</v>
      </c>
      <c r="W2704" t="s">
        <v>15396</v>
      </c>
      <c r="X2704" t="s">
        <v>15400</v>
      </c>
      <c r="Y2704" t="s">
        <v>116</v>
      </c>
      <c r="Z2704" t="s">
        <v>117</v>
      </c>
      <c r="AA2704" t="str">
        <f>"14214-1305"</f>
        <v>14214-1305</v>
      </c>
      <c r="AB2704" t="s">
        <v>118</v>
      </c>
      <c r="AC2704" t="s">
        <v>119</v>
      </c>
      <c r="AD2704" t="s">
        <v>113</v>
      </c>
      <c r="AE2704" t="s">
        <v>120</v>
      </c>
      <c r="AG2704" t="s">
        <v>121</v>
      </c>
    </row>
    <row r="2705" spans="1:33" x14ac:dyDescent="0.25">
      <c r="A2705" t="str">
        <f>"1821095118"</f>
        <v>1821095118</v>
      </c>
      <c r="B2705" t="str">
        <f>"01200857"</f>
        <v>01200857</v>
      </c>
      <c r="C2705" t="s">
        <v>15401</v>
      </c>
      <c r="D2705" t="s">
        <v>15402</v>
      </c>
      <c r="E2705" t="s">
        <v>15403</v>
      </c>
      <c r="G2705" t="s">
        <v>196</v>
      </c>
      <c r="H2705" t="s">
        <v>197</v>
      </c>
      <c r="I2705">
        <v>214</v>
      </c>
      <c r="J2705" t="s">
        <v>198</v>
      </c>
      <c r="L2705" t="s">
        <v>150</v>
      </c>
      <c r="M2705" t="s">
        <v>199</v>
      </c>
      <c r="R2705" t="s">
        <v>15404</v>
      </c>
      <c r="W2705" t="s">
        <v>15403</v>
      </c>
      <c r="X2705" t="s">
        <v>2241</v>
      </c>
      <c r="Y2705" t="s">
        <v>153</v>
      </c>
      <c r="Z2705" t="s">
        <v>117</v>
      </c>
      <c r="AA2705" t="str">
        <f>"14301-1807"</f>
        <v>14301-1807</v>
      </c>
      <c r="AB2705" t="s">
        <v>118</v>
      </c>
      <c r="AC2705" t="s">
        <v>119</v>
      </c>
      <c r="AD2705" t="s">
        <v>113</v>
      </c>
      <c r="AE2705" t="s">
        <v>120</v>
      </c>
      <c r="AG2705" t="s">
        <v>121</v>
      </c>
    </row>
    <row r="2706" spans="1:33" x14ac:dyDescent="0.25">
      <c r="A2706" t="str">
        <f>"1821102377"</f>
        <v>1821102377</v>
      </c>
      <c r="B2706" t="str">
        <f>"02792230"</f>
        <v>02792230</v>
      </c>
      <c r="C2706" t="s">
        <v>15405</v>
      </c>
      <c r="D2706" t="s">
        <v>15406</v>
      </c>
      <c r="E2706" t="s">
        <v>15407</v>
      </c>
      <c r="G2706" t="s">
        <v>15405</v>
      </c>
      <c r="H2706" t="s">
        <v>1724</v>
      </c>
      <c r="J2706" t="s">
        <v>15408</v>
      </c>
      <c r="L2706" t="s">
        <v>142</v>
      </c>
      <c r="M2706" t="s">
        <v>113</v>
      </c>
      <c r="R2706" t="s">
        <v>15409</v>
      </c>
      <c r="W2706" t="s">
        <v>15407</v>
      </c>
      <c r="X2706" t="s">
        <v>15410</v>
      </c>
      <c r="Y2706" t="s">
        <v>192</v>
      </c>
      <c r="Z2706" t="s">
        <v>117</v>
      </c>
      <c r="AA2706" t="str">
        <f>"14020"</f>
        <v>14020</v>
      </c>
      <c r="AB2706" t="s">
        <v>118</v>
      </c>
      <c r="AC2706" t="s">
        <v>119</v>
      </c>
      <c r="AD2706" t="s">
        <v>113</v>
      </c>
      <c r="AE2706" t="s">
        <v>120</v>
      </c>
      <c r="AG2706" t="s">
        <v>121</v>
      </c>
    </row>
    <row r="2707" spans="1:33" x14ac:dyDescent="0.25">
      <c r="A2707" t="str">
        <f>"1821104498"</f>
        <v>1821104498</v>
      </c>
      <c r="B2707" t="str">
        <f>"02997515"</f>
        <v>02997515</v>
      </c>
      <c r="C2707" t="s">
        <v>15411</v>
      </c>
      <c r="D2707" t="s">
        <v>15412</v>
      </c>
      <c r="E2707" t="s">
        <v>15413</v>
      </c>
      <c r="G2707" t="s">
        <v>15414</v>
      </c>
      <c r="H2707" t="s">
        <v>15415</v>
      </c>
      <c r="J2707" t="s">
        <v>15416</v>
      </c>
      <c r="L2707" t="s">
        <v>142</v>
      </c>
      <c r="M2707" t="s">
        <v>199</v>
      </c>
      <c r="R2707" t="s">
        <v>15417</v>
      </c>
      <c r="W2707" t="s">
        <v>15413</v>
      </c>
      <c r="X2707" t="s">
        <v>15418</v>
      </c>
      <c r="Y2707" t="s">
        <v>9511</v>
      </c>
      <c r="Z2707" t="s">
        <v>117</v>
      </c>
      <c r="AA2707" t="str">
        <f>"14420-1118"</f>
        <v>14420-1118</v>
      </c>
      <c r="AB2707" t="s">
        <v>118</v>
      </c>
      <c r="AC2707" t="s">
        <v>119</v>
      </c>
      <c r="AD2707" t="s">
        <v>113</v>
      </c>
      <c r="AE2707" t="s">
        <v>120</v>
      </c>
      <c r="AG2707" t="s">
        <v>121</v>
      </c>
    </row>
    <row r="2708" spans="1:33" x14ac:dyDescent="0.25">
      <c r="A2708" t="str">
        <f>"1821110263"</f>
        <v>1821110263</v>
      </c>
      <c r="B2708" t="str">
        <f>"03124307"</f>
        <v>03124307</v>
      </c>
      <c r="C2708" t="s">
        <v>15419</v>
      </c>
      <c r="D2708" t="s">
        <v>15420</v>
      </c>
      <c r="E2708" t="s">
        <v>15421</v>
      </c>
      <c r="G2708" t="s">
        <v>15419</v>
      </c>
      <c r="H2708" t="s">
        <v>3464</v>
      </c>
      <c r="J2708" t="s">
        <v>15422</v>
      </c>
      <c r="L2708" t="s">
        <v>142</v>
      </c>
      <c r="M2708" t="s">
        <v>199</v>
      </c>
      <c r="R2708" t="s">
        <v>15423</v>
      </c>
      <c r="W2708" t="s">
        <v>15421</v>
      </c>
      <c r="X2708" t="s">
        <v>216</v>
      </c>
      <c r="Y2708" t="s">
        <v>116</v>
      </c>
      <c r="Z2708" t="s">
        <v>117</v>
      </c>
      <c r="AA2708" t="str">
        <f>"14222-2006"</f>
        <v>14222-2006</v>
      </c>
      <c r="AB2708" t="s">
        <v>118</v>
      </c>
      <c r="AC2708" t="s">
        <v>119</v>
      </c>
      <c r="AD2708" t="s">
        <v>113</v>
      </c>
      <c r="AE2708" t="s">
        <v>120</v>
      </c>
      <c r="AG2708" t="s">
        <v>121</v>
      </c>
    </row>
    <row r="2709" spans="1:33" x14ac:dyDescent="0.25">
      <c r="A2709" t="str">
        <f>"1821136342"</f>
        <v>1821136342</v>
      </c>
      <c r="B2709" t="str">
        <f>"02862568"</f>
        <v>02862568</v>
      </c>
      <c r="C2709" t="s">
        <v>15424</v>
      </c>
      <c r="D2709" t="s">
        <v>15425</v>
      </c>
      <c r="E2709" t="s">
        <v>15426</v>
      </c>
      <c r="G2709" t="s">
        <v>15427</v>
      </c>
      <c r="H2709" t="s">
        <v>8070</v>
      </c>
      <c r="L2709" t="s">
        <v>112</v>
      </c>
      <c r="M2709" t="s">
        <v>113</v>
      </c>
      <c r="R2709" t="s">
        <v>15427</v>
      </c>
      <c r="W2709" t="s">
        <v>15428</v>
      </c>
      <c r="X2709" t="s">
        <v>15429</v>
      </c>
      <c r="Y2709" t="s">
        <v>240</v>
      </c>
      <c r="Z2709" t="s">
        <v>117</v>
      </c>
      <c r="AA2709" t="str">
        <f>"14221-5258"</f>
        <v>14221-5258</v>
      </c>
      <c r="AB2709" t="s">
        <v>118</v>
      </c>
      <c r="AC2709" t="s">
        <v>119</v>
      </c>
      <c r="AD2709" t="s">
        <v>113</v>
      </c>
      <c r="AE2709" t="s">
        <v>120</v>
      </c>
      <c r="AG2709" t="s">
        <v>121</v>
      </c>
    </row>
    <row r="2710" spans="1:33" x14ac:dyDescent="0.25">
      <c r="A2710" t="str">
        <f>"1821158866"</f>
        <v>1821158866</v>
      </c>
      <c r="B2710" t="str">
        <f>"04464540"</f>
        <v>04464540</v>
      </c>
      <c r="C2710" t="s">
        <v>15430</v>
      </c>
      <c r="D2710" t="s">
        <v>15431</v>
      </c>
      <c r="E2710" t="s">
        <v>15432</v>
      </c>
      <c r="G2710" t="s">
        <v>15433</v>
      </c>
      <c r="I2710">
        <v>7165537743</v>
      </c>
      <c r="L2710" t="s">
        <v>229</v>
      </c>
      <c r="M2710" t="s">
        <v>113</v>
      </c>
      <c r="R2710" t="s">
        <v>15434</v>
      </c>
      <c r="W2710" t="s">
        <v>15432</v>
      </c>
      <c r="AB2710" t="s">
        <v>118</v>
      </c>
      <c r="AC2710" t="s">
        <v>119</v>
      </c>
      <c r="AD2710" t="s">
        <v>113</v>
      </c>
      <c r="AE2710" t="s">
        <v>120</v>
      </c>
      <c r="AG2710" t="s">
        <v>121</v>
      </c>
    </row>
    <row r="2711" spans="1:33" x14ac:dyDescent="0.25">
      <c r="A2711" t="str">
        <f>"1821171257"</f>
        <v>1821171257</v>
      </c>
      <c r="B2711" t="str">
        <f>"02291376"</f>
        <v>02291376</v>
      </c>
      <c r="C2711" t="s">
        <v>15435</v>
      </c>
      <c r="D2711" t="s">
        <v>15436</v>
      </c>
      <c r="E2711" t="s">
        <v>15437</v>
      </c>
      <c r="G2711" t="s">
        <v>15438</v>
      </c>
      <c r="H2711" t="s">
        <v>213</v>
      </c>
      <c r="J2711" t="s">
        <v>15439</v>
      </c>
      <c r="L2711" t="s">
        <v>142</v>
      </c>
      <c r="M2711" t="s">
        <v>113</v>
      </c>
      <c r="R2711" t="s">
        <v>15440</v>
      </c>
      <c r="W2711" t="s">
        <v>15437</v>
      </c>
      <c r="X2711" t="s">
        <v>2047</v>
      </c>
      <c r="Y2711" t="s">
        <v>116</v>
      </c>
      <c r="Z2711" t="s">
        <v>117</v>
      </c>
      <c r="AA2711" t="str">
        <f>"14222-2099"</f>
        <v>14222-2099</v>
      </c>
      <c r="AB2711" t="s">
        <v>118</v>
      </c>
      <c r="AC2711" t="s">
        <v>119</v>
      </c>
      <c r="AD2711" t="s">
        <v>113</v>
      </c>
      <c r="AE2711" t="s">
        <v>120</v>
      </c>
      <c r="AG2711" t="s">
        <v>121</v>
      </c>
    </row>
    <row r="2712" spans="1:33" x14ac:dyDescent="0.25">
      <c r="A2712" t="str">
        <f>"1043387152"</f>
        <v>1043387152</v>
      </c>
      <c r="B2712" t="str">
        <f>"02993786"</f>
        <v>02993786</v>
      </c>
      <c r="C2712" t="s">
        <v>24215</v>
      </c>
      <c r="D2712" t="s">
        <v>24216</v>
      </c>
      <c r="E2712" t="s">
        <v>24217</v>
      </c>
      <c r="G2712" t="s">
        <v>20732</v>
      </c>
      <c r="H2712" t="s">
        <v>443</v>
      </c>
      <c r="J2712" t="s">
        <v>24156</v>
      </c>
      <c r="L2712" t="s">
        <v>24218</v>
      </c>
      <c r="M2712" t="s">
        <v>199</v>
      </c>
      <c r="R2712" t="s">
        <v>24219</v>
      </c>
      <c r="W2712" t="s">
        <v>24220</v>
      </c>
      <c r="X2712" t="s">
        <v>24221</v>
      </c>
      <c r="Y2712" t="s">
        <v>153</v>
      </c>
      <c r="Z2712" t="s">
        <v>117</v>
      </c>
      <c r="AA2712" t="str">
        <f>"14301-2232"</f>
        <v>14301-2232</v>
      </c>
      <c r="AB2712" t="s">
        <v>1460</v>
      </c>
      <c r="AC2712" t="s">
        <v>119</v>
      </c>
      <c r="AD2712" t="s">
        <v>113</v>
      </c>
      <c r="AE2712" t="s">
        <v>120</v>
      </c>
      <c r="AG2712" t="s">
        <v>121</v>
      </c>
    </row>
    <row r="2713" spans="1:33" x14ac:dyDescent="0.25">
      <c r="A2713" t="str">
        <f>"1821186743"</f>
        <v>1821186743</v>
      </c>
      <c r="B2713" t="str">
        <f>"02343057"</f>
        <v>02343057</v>
      </c>
      <c r="C2713" t="s">
        <v>15446</v>
      </c>
      <c r="D2713" t="s">
        <v>15447</v>
      </c>
      <c r="E2713" t="s">
        <v>15448</v>
      </c>
      <c r="G2713" t="s">
        <v>15449</v>
      </c>
      <c r="H2713" t="s">
        <v>1308</v>
      </c>
      <c r="J2713" t="s">
        <v>15450</v>
      </c>
      <c r="L2713" t="s">
        <v>142</v>
      </c>
      <c r="M2713" t="s">
        <v>113</v>
      </c>
      <c r="R2713" t="s">
        <v>15451</v>
      </c>
      <c r="W2713" t="s">
        <v>15448</v>
      </c>
      <c r="X2713" t="s">
        <v>176</v>
      </c>
      <c r="Y2713" t="s">
        <v>116</v>
      </c>
      <c r="Z2713" t="s">
        <v>117</v>
      </c>
      <c r="AA2713" t="str">
        <f>"14203-1126"</f>
        <v>14203-1126</v>
      </c>
      <c r="AB2713" t="s">
        <v>118</v>
      </c>
      <c r="AC2713" t="s">
        <v>119</v>
      </c>
      <c r="AD2713" t="s">
        <v>113</v>
      </c>
      <c r="AE2713" t="s">
        <v>120</v>
      </c>
      <c r="AG2713" t="s">
        <v>121</v>
      </c>
    </row>
    <row r="2714" spans="1:33" x14ac:dyDescent="0.25">
      <c r="A2714" t="str">
        <f>"1821191933"</f>
        <v>1821191933</v>
      </c>
      <c r="B2714" t="str">
        <f>"02505640"</f>
        <v>02505640</v>
      </c>
      <c r="C2714" t="s">
        <v>15452</v>
      </c>
      <c r="D2714" t="s">
        <v>15453</v>
      </c>
      <c r="E2714" t="s">
        <v>15454</v>
      </c>
      <c r="G2714" t="s">
        <v>15455</v>
      </c>
      <c r="H2714" t="s">
        <v>9490</v>
      </c>
      <c r="J2714" t="s">
        <v>15456</v>
      </c>
      <c r="L2714" t="s">
        <v>142</v>
      </c>
      <c r="M2714" t="s">
        <v>199</v>
      </c>
      <c r="R2714" t="s">
        <v>15457</v>
      </c>
      <c r="W2714" t="s">
        <v>15454</v>
      </c>
      <c r="X2714" t="s">
        <v>1973</v>
      </c>
      <c r="Y2714" t="s">
        <v>116</v>
      </c>
      <c r="Z2714" t="s">
        <v>117</v>
      </c>
      <c r="AA2714" t="str">
        <f>"14214-1701"</f>
        <v>14214-1701</v>
      </c>
      <c r="AB2714" t="s">
        <v>118</v>
      </c>
      <c r="AC2714" t="s">
        <v>119</v>
      </c>
      <c r="AD2714" t="s">
        <v>113</v>
      </c>
      <c r="AE2714" t="s">
        <v>120</v>
      </c>
      <c r="AG2714" t="s">
        <v>121</v>
      </c>
    </row>
    <row r="2715" spans="1:33" x14ac:dyDescent="0.25">
      <c r="A2715" t="str">
        <f>"1821228511"</f>
        <v>1821228511</v>
      </c>
      <c r="B2715" t="str">
        <f>"03130976"</f>
        <v>03130976</v>
      </c>
      <c r="C2715" t="s">
        <v>15458</v>
      </c>
      <c r="D2715" t="s">
        <v>15459</v>
      </c>
      <c r="E2715" t="s">
        <v>15460</v>
      </c>
      <c r="G2715" t="s">
        <v>15458</v>
      </c>
      <c r="H2715" t="s">
        <v>1227</v>
      </c>
      <c r="J2715" t="s">
        <v>15461</v>
      </c>
      <c r="L2715" t="s">
        <v>142</v>
      </c>
      <c r="M2715" t="s">
        <v>113</v>
      </c>
      <c r="R2715" t="s">
        <v>15462</v>
      </c>
      <c r="W2715" t="s">
        <v>15460</v>
      </c>
      <c r="X2715" t="s">
        <v>6302</v>
      </c>
      <c r="Y2715" t="s">
        <v>958</v>
      </c>
      <c r="Z2715" t="s">
        <v>117</v>
      </c>
      <c r="AA2715" t="str">
        <f>"14226-1727"</f>
        <v>14226-1727</v>
      </c>
      <c r="AB2715" t="s">
        <v>118</v>
      </c>
      <c r="AC2715" t="s">
        <v>119</v>
      </c>
      <c r="AD2715" t="s">
        <v>113</v>
      </c>
      <c r="AE2715" t="s">
        <v>120</v>
      </c>
      <c r="AG2715" t="s">
        <v>121</v>
      </c>
    </row>
    <row r="2716" spans="1:33" x14ac:dyDescent="0.25">
      <c r="A2716" t="str">
        <f>"1821244468"</f>
        <v>1821244468</v>
      </c>
      <c r="B2716" t="str">
        <f>"03038777"</f>
        <v>03038777</v>
      </c>
      <c r="C2716" t="s">
        <v>15463</v>
      </c>
      <c r="D2716" t="s">
        <v>15464</v>
      </c>
      <c r="E2716" t="s">
        <v>15465</v>
      </c>
      <c r="G2716" t="s">
        <v>15463</v>
      </c>
      <c r="H2716" t="s">
        <v>15466</v>
      </c>
      <c r="J2716" t="s">
        <v>15467</v>
      </c>
      <c r="L2716" t="s">
        <v>112</v>
      </c>
      <c r="M2716" t="s">
        <v>113</v>
      </c>
      <c r="R2716" t="s">
        <v>15465</v>
      </c>
      <c r="W2716" t="s">
        <v>15468</v>
      </c>
      <c r="X2716" t="s">
        <v>176</v>
      </c>
      <c r="Y2716" t="s">
        <v>116</v>
      </c>
      <c r="Z2716" t="s">
        <v>117</v>
      </c>
      <c r="AA2716" t="str">
        <f>"14203-1126"</f>
        <v>14203-1126</v>
      </c>
      <c r="AB2716" t="s">
        <v>118</v>
      </c>
      <c r="AC2716" t="s">
        <v>119</v>
      </c>
      <c r="AD2716" t="s">
        <v>113</v>
      </c>
      <c r="AE2716" t="s">
        <v>120</v>
      </c>
      <c r="AG2716" t="s">
        <v>121</v>
      </c>
    </row>
    <row r="2717" spans="1:33" x14ac:dyDescent="0.25">
      <c r="A2717" t="str">
        <f>"1821251323"</f>
        <v>1821251323</v>
      </c>
      <c r="B2717" t="str">
        <f>"03362021"</f>
        <v>03362021</v>
      </c>
      <c r="C2717" t="s">
        <v>15469</v>
      </c>
      <c r="D2717" t="s">
        <v>15470</v>
      </c>
      <c r="E2717" t="s">
        <v>15471</v>
      </c>
      <c r="H2717" t="s">
        <v>10116</v>
      </c>
      <c r="L2717" t="s">
        <v>150</v>
      </c>
      <c r="M2717" t="s">
        <v>113</v>
      </c>
      <c r="R2717" t="s">
        <v>15471</v>
      </c>
      <c r="W2717" t="s">
        <v>15471</v>
      </c>
      <c r="X2717" t="s">
        <v>15472</v>
      </c>
      <c r="Y2717" t="s">
        <v>4695</v>
      </c>
      <c r="Z2717" t="s">
        <v>117</v>
      </c>
      <c r="AA2717" t="str">
        <f>"14105-1027"</f>
        <v>14105-1027</v>
      </c>
      <c r="AB2717" t="s">
        <v>118</v>
      </c>
      <c r="AC2717" t="s">
        <v>119</v>
      </c>
      <c r="AD2717" t="s">
        <v>113</v>
      </c>
      <c r="AE2717" t="s">
        <v>120</v>
      </c>
      <c r="AG2717" t="s">
        <v>121</v>
      </c>
    </row>
    <row r="2718" spans="1:33" x14ac:dyDescent="0.25">
      <c r="A2718" t="str">
        <f>"1821252115"</f>
        <v>1821252115</v>
      </c>
      <c r="C2718" t="s">
        <v>7433</v>
      </c>
      <c r="G2718" t="s">
        <v>1077</v>
      </c>
      <c r="H2718" t="s">
        <v>1078</v>
      </c>
      <c r="J2718" t="s">
        <v>1079</v>
      </c>
      <c r="K2718" t="s">
        <v>303</v>
      </c>
      <c r="L2718" t="s">
        <v>229</v>
      </c>
      <c r="M2718" t="s">
        <v>113</v>
      </c>
      <c r="R2718" t="s">
        <v>7433</v>
      </c>
      <c r="S2718" t="s">
        <v>15473</v>
      </c>
      <c r="T2718" t="s">
        <v>116</v>
      </c>
      <c r="U2718" t="s">
        <v>117</v>
      </c>
      <c r="V2718" t="str">
        <f>"142630001"</f>
        <v>142630001</v>
      </c>
      <c r="AC2718" t="s">
        <v>119</v>
      </c>
      <c r="AD2718" t="s">
        <v>113</v>
      </c>
      <c r="AE2718" t="s">
        <v>306</v>
      </c>
      <c r="AG2718" t="s">
        <v>121</v>
      </c>
    </row>
    <row r="2719" spans="1:33" x14ac:dyDescent="0.25">
      <c r="A2719" t="str">
        <f>"1942253968"</f>
        <v>1942253968</v>
      </c>
      <c r="B2719" t="str">
        <f>"02564198"</f>
        <v>02564198</v>
      </c>
      <c r="C2719" t="s">
        <v>15474</v>
      </c>
      <c r="D2719" t="s">
        <v>15475</v>
      </c>
      <c r="E2719" t="s">
        <v>15476</v>
      </c>
      <c r="G2719" t="s">
        <v>15477</v>
      </c>
      <c r="H2719" t="s">
        <v>478</v>
      </c>
      <c r="J2719" t="s">
        <v>15478</v>
      </c>
      <c r="L2719" t="s">
        <v>142</v>
      </c>
      <c r="M2719" t="s">
        <v>113</v>
      </c>
      <c r="R2719" t="s">
        <v>15479</v>
      </c>
      <c r="W2719" t="s">
        <v>15479</v>
      </c>
      <c r="X2719" t="s">
        <v>1304</v>
      </c>
      <c r="Y2719" t="s">
        <v>116</v>
      </c>
      <c r="Z2719" t="s">
        <v>117</v>
      </c>
      <c r="AA2719" t="str">
        <f>"14220-2039"</f>
        <v>14220-2039</v>
      </c>
      <c r="AB2719" t="s">
        <v>118</v>
      </c>
      <c r="AC2719" t="s">
        <v>119</v>
      </c>
      <c r="AD2719" t="s">
        <v>113</v>
      </c>
      <c r="AE2719" t="s">
        <v>120</v>
      </c>
      <c r="AG2719" t="s">
        <v>121</v>
      </c>
    </row>
    <row r="2720" spans="1:33" x14ac:dyDescent="0.25">
      <c r="A2720" t="str">
        <f>"1942265137"</f>
        <v>1942265137</v>
      </c>
      <c r="B2720" t="str">
        <f>"01303153"</f>
        <v>01303153</v>
      </c>
      <c r="C2720" t="s">
        <v>15480</v>
      </c>
      <c r="D2720" t="s">
        <v>15481</v>
      </c>
      <c r="E2720" t="s">
        <v>15482</v>
      </c>
      <c r="G2720" t="s">
        <v>15480</v>
      </c>
      <c r="H2720" t="s">
        <v>806</v>
      </c>
      <c r="J2720" t="s">
        <v>15483</v>
      </c>
      <c r="L2720" t="s">
        <v>142</v>
      </c>
      <c r="M2720" t="s">
        <v>113</v>
      </c>
      <c r="R2720" t="s">
        <v>15484</v>
      </c>
      <c r="W2720" t="s">
        <v>15482</v>
      </c>
      <c r="X2720" t="s">
        <v>15485</v>
      </c>
      <c r="Y2720" t="s">
        <v>240</v>
      </c>
      <c r="Z2720" t="s">
        <v>117</v>
      </c>
      <c r="AA2720" t="str">
        <f>"14221-8214"</f>
        <v>14221-8214</v>
      </c>
      <c r="AB2720" t="s">
        <v>118</v>
      </c>
      <c r="AC2720" t="s">
        <v>119</v>
      </c>
      <c r="AD2720" t="s">
        <v>113</v>
      </c>
      <c r="AE2720" t="s">
        <v>120</v>
      </c>
      <c r="AG2720" t="s">
        <v>121</v>
      </c>
    </row>
    <row r="2721" spans="1:33" x14ac:dyDescent="0.25">
      <c r="A2721" t="str">
        <f>"1942265988"</f>
        <v>1942265988</v>
      </c>
      <c r="B2721" t="str">
        <f>"00624162"</f>
        <v>00624162</v>
      </c>
      <c r="C2721" t="s">
        <v>15486</v>
      </c>
      <c r="D2721" t="s">
        <v>15487</v>
      </c>
      <c r="E2721" t="s">
        <v>15488</v>
      </c>
      <c r="H2721" t="s">
        <v>15489</v>
      </c>
      <c r="L2721" t="s">
        <v>142</v>
      </c>
      <c r="M2721" t="s">
        <v>113</v>
      </c>
      <c r="R2721" t="s">
        <v>15490</v>
      </c>
      <c r="W2721" t="s">
        <v>15491</v>
      </c>
      <c r="X2721" t="s">
        <v>15492</v>
      </c>
      <c r="Y2721" t="s">
        <v>240</v>
      </c>
      <c r="Z2721" t="s">
        <v>117</v>
      </c>
      <c r="AA2721" t="str">
        <f>"14221-3277"</f>
        <v>14221-3277</v>
      </c>
      <c r="AB2721" t="s">
        <v>118</v>
      </c>
      <c r="AC2721" t="s">
        <v>119</v>
      </c>
      <c r="AD2721" t="s">
        <v>113</v>
      </c>
      <c r="AE2721" t="s">
        <v>120</v>
      </c>
      <c r="AG2721" t="s">
        <v>121</v>
      </c>
    </row>
    <row r="2722" spans="1:33" x14ac:dyDescent="0.25">
      <c r="A2722" t="str">
        <f>"1942269964"</f>
        <v>1942269964</v>
      </c>
      <c r="B2722" t="str">
        <f>"02564083"</f>
        <v>02564083</v>
      </c>
      <c r="C2722" t="s">
        <v>15493</v>
      </c>
      <c r="D2722" t="s">
        <v>15494</v>
      </c>
      <c r="E2722" t="s">
        <v>15495</v>
      </c>
      <c r="G2722" t="s">
        <v>15493</v>
      </c>
      <c r="H2722" t="s">
        <v>3305</v>
      </c>
      <c r="J2722" t="s">
        <v>15496</v>
      </c>
      <c r="L2722" t="s">
        <v>142</v>
      </c>
      <c r="M2722" t="s">
        <v>113</v>
      </c>
      <c r="R2722" t="s">
        <v>15495</v>
      </c>
      <c r="W2722" t="s">
        <v>15497</v>
      </c>
      <c r="X2722" t="s">
        <v>4449</v>
      </c>
      <c r="Y2722" t="s">
        <v>958</v>
      </c>
      <c r="Z2722" t="s">
        <v>117</v>
      </c>
      <c r="AA2722" t="str">
        <f>"14226-1738"</f>
        <v>14226-1738</v>
      </c>
      <c r="AB2722" t="s">
        <v>118</v>
      </c>
      <c r="AC2722" t="s">
        <v>119</v>
      </c>
      <c r="AD2722" t="s">
        <v>113</v>
      </c>
      <c r="AE2722" t="s">
        <v>120</v>
      </c>
      <c r="AG2722" t="s">
        <v>121</v>
      </c>
    </row>
    <row r="2723" spans="1:33" x14ac:dyDescent="0.25">
      <c r="A2723" t="str">
        <f>"1942275441"</f>
        <v>1942275441</v>
      </c>
      <c r="B2723" t="str">
        <f>"01032475"</f>
        <v>01032475</v>
      </c>
      <c r="C2723" t="s">
        <v>15498</v>
      </c>
      <c r="D2723" t="s">
        <v>15499</v>
      </c>
      <c r="E2723" t="s">
        <v>15500</v>
      </c>
      <c r="G2723" t="s">
        <v>15501</v>
      </c>
      <c r="H2723" t="s">
        <v>382</v>
      </c>
      <c r="J2723" t="s">
        <v>383</v>
      </c>
      <c r="L2723" t="s">
        <v>150</v>
      </c>
      <c r="M2723" t="s">
        <v>113</v>
      </c>
      <c r="R2723" t="s">
        <v>15502</v>
      </c>
      <c r="W2723" t="s">
        <v>15503</v>
      </c>
      <c r="X2723" t="s">
        <v>15504</v>
      </c>
      <c r="Y2723" t="s">
        <v>13648</v>
      </c>
      <c r="Z2723" t="s">
        <v>117</v>
      </c>
      <c r="AA2723" t="str">
        <f>"14716"</f>
        <v>14716</v>
      </c>
      <c r="AB2723" t="s">
        <v>118</v>
      </c>
      <c r="AC2723" t="s">
        <v>119</v>
      </c>
      <c r="AD2723" t="s">
        <v>113</v>
      </c>
      <c r="AE2723" t="s">
        <v>120</v>
      </c>
      <c r="AG2723" t="s">
        <v>121</v>
      </c>
    </row>
    <row r="2724" spans="1:33" x14ac:dyDescent="0.25">
      <c r="B2724" t="str">
        <f>"02246546"</f>
        <v>02246546</v>
      </c>
      <c r="C2724" t="s">
        <v>15515</v>
      </c>
      <c r="D2724" t="s">
        <v>15516</v>
      </c>
      <c r="E2724" t="s">
        <v>15515</v>
      </c>
      <c r="F2724">
        <v>160769044</v>
      </c>
      <c r="H2724" t="s">
        <v>1596</v>
      </c>
      <c r="L2724" t="s">
        <v>69</v>
      </c>
      <c r="M2724" t="s">
        <v>199</v>
      </c>
      <c r="W2724" t="s">
        <v>15515</v>
      </c>
      <c r="X2724" t="s">
        <v>1566</v>
      </c>
      <c r="Y2724" t="s">
        <v>116</v>
      </c>
      <c r="Z2724" t="s">
        <v>117</v>
      </c>
      <c r="AA2724" t="str">
        <f>"14214-2015"</f>
        <v>14214-2015</v>
      </c>
      <c r="AB2724" t="s">
        <v>291</v>
      </c>
      <c r="AC2724" t="s">
        <v>119</v>
      </c>
      <c r="AD2724" t="s">
        <v>113</v>
      </c>
      <c r="AE2724" t="s">
        <v>120</v>
      </c>
      <c r="AG2724" t="s">
        <v>121</v>
      </c>
    </row>
    <row r="2725" spans="1:33" x14ac:dyDescent="0.25">
      <c r="B2725" t="str">
        <f>"02246555"</f>
        <v>02246555</v>
      </c>
      <c r="C2725" t="s">
        <v>15517</v>
      </c>
      <c r="D2725" t="s">
        <v>15518</v>
      </c>
      <c r="E2725" t="s">
        <v>15517</v>
      </c>
      <c r="F2725">
        <v>160769044</v>
      </c>
      <c r="H2725" t="s">
        <v>1596</v>
      </c>
      <c r="L2725" t="s">
        <v>69</v>
      </c>
      <c r="M2725" t="s">
        <v>199</v>
      </c>
      <c r="W2725" t="s">
        <v>15517</v>
      </c>
      <c r="X2725" t="s">
        <v>11658</v>
      </c>
      <c r="Y2725" t="s">
        <v>116</v>
      </c>
      <c r="Z2725" t="s">
        <v>117</v>
      </c>
      <c r="AA2725" t="str">
        <f>"14214-2015"</f>
        <v>14214-2015</v>
      </c>
      <c r="AB2725" t="s">
        <v>291</v>
      </c>
      <c r="AC2725" t="s">
        <v>119</v>
      </c>
      <c r="AD2725" t="s">
        <v>113</v>
      </c>
      <c r="AE2725" t="s">
        <v>120</v>
      </c>
      <c r="AG2725" t="s">
        <v>121</v>
      </c>
    </row>
    <row r="2726" spans="1:33" x14ac:dyDescent="0.25">
      <c r="A2726" t="str">
        <f>"1407163686"</f>
        <v>1407163686</v>
      </c>
      <c r="B2726" t="str">
        <f>"03298419"</f>
        <v>03298419</v>
      </c>
      <c r="C2726" t="s">
        <v>21772</v>
      </c>
      <c r="D2726" t="s">
        <v>21773</v>
      </c>
      <c r="E2726" t="s">
        <v>21761</v>
      </c>
      <c r="G2726" t="s">
        <v>1133</v>
      </c>
      <c r="H2726" t="s">
        <v>1134</v>
      </c>
      <c r="J2726" t="s">
        <v>21743</v>
      </c>
      <c r="L2726" t="s">
        <v>14</v>
      </c>
      <c r="M2726" t="s">
        <v>199</v>
      </c>
      <c r="R2726" t="s">
        <v>21761</v>
      </c>
      <c r="W2726" t="s">
        <v>21761</v>
      </c>
      <c r="X2726" t="s">
        <v>6059</v>
      </c>
      <c r="Y2726" t="s">
        <v>847</v>
      </c>
      <c r="Z2726" t="s">
        <v>117</v>
      </c>
      <c r="AA2726" t="str">
        <f>"14569-1209"</f>
        <v>14569-1209</v>
      </c>
      <c r="AB2726" t="s">
        <v>291</v>
      </c>
      <c r="AC2726" t="s">
        <v>119</v>
      </c>
      <c r="AD2726" t="s">
        <v>113</v>
      </c>
      <c r="AE2726" t="s">
        <v>120</v>
      </c>
      <c r="AG2726" t="s">
        <v>121</v>
      </c>
    </row>
    <row r="2727" spans="1:33" x14ac:dyDescent="0.25">
      <c r="A2727" t="str">
        <f>"1447398755"</f>
        <v>1447398755</v>
      </c>
      <c r="B2727" t="str">
        <f>"01164158"</f>
        <v>01164158</v>
      </c>
      <c r="C2727" t="s">
        <v>283</v>
      </c>
      <c r="D2727" t="s">
        <v>284</v>
      </c>
      <c r="E2727" t="s">
        <v>285</v>
      </c>
      <c r="G2727" t="s">
        <v>286</v>
      </c>
      <c r="H2727" t="s">
        <v>287</v>
      </c>
      <c r="J2727" t="s">
        <v>288</v>
      </c>
      <c r="L2727" t="s">
        <v>67</v>
      </c>
      <c r="M2727" t="s">
        <v>199</v>
      </c>
      <c r="R2727" t="s">
        <v>289</v>
      </c>
      <c r="W2727" t="s">
        <v>285</v>
      </c>
      <c r="X2727" t="s">
        <v>290</v>
      </c>
      <c r="Y2727" t="s">
        <v>153</v>
      </c>
      <c r="Z2727" t="s">
        <v>117</v>
      </c>
      <c r="AA2727" t="str">
        <f>"14305-2522"</f>
        <v>14305-2522</v>
      </c>
      <c r="AB2727" t="s">
        <v>291</v>
      </c>
      <c r="AC2727" t="s">
        <v>119</v>
      </c>
      <c r="AD2727" t="s">
        <v>113</v>
      </c>
      <c r="AE2727" t="s">
        <v>120</v>
      </c>
      <c r="AG2727" t="s">
        <v>121</v>
      </c>
    </row>
    <row r="2728" spans="1:33" x14ac:dyDescent="0.25">
      <c r="A2728" t="str">
        <f>"1033484894"</f>
        <v>1033484894</v>
      </c>
      <c r="B2728" t="str">
        <f>"03489287"</f>
        <v>03489287</v>
      </c>
      <c r="C2728" t="s">
        <v>15003</v>
      </c>
      <c r="D2728" t="s">
        <v>15004</v>
      </c>
      <c r="E2728" t="s">
        <v>15003</v>
      </c>
      <c r="G2728" t="s">
        <v>15005</v>
      </c>
      <c r="H2728" t="s">
        <v>14733</v>
      </c>
      <c r="J2728" t="s">
        <v>15006</v>
      </c>
      <c r="L2728" t="s">
        <v>67</v>
      </c>
      <c r="M2728" t="s">
        <v>199</v>
      </c>
      <c r="R2728" t="s">
        <v>15003</v>
      </c>
      <c r="W2728" t="s">
        <v>15003</v>
      </c>
      <c r="X2728" t="s">
        <v>15007</v>
      </c>
      <c r="Y2728" t="s">
        <v>116</v>
      </c>
      <c r="Z2728" t="s">
        <v>117</v>
      </c>
      <c r="AA2728" t="str">
        <f>"14201-1107"</f>
        <v>14201-1107</v>
      </c>
      <c r="AB2728" t="s">
        <v>291</v>
      </c>
      <c r="AC2728" t="s">
        <v>119</v>
      </c>
      <c r="AD2728" t="s">
        <v>113</v>
      </c>
      <c r="AE2728" t="s">
        <v>120</v>
      </c>
      <c r="AG2728" t="s">
        <v>121</v>
      </c>
    </row>
    <row r="2729" spans="1:33" x14ac:dyDescent="0.25">
      <c r="A2729" t="str">
        <f>"1760742548"</f>
        <v>1760742548</v>
      </c>
      <c r="B2729" t="str">
        <f>"03465001"</f>
        <v>03465001</v>
      </c>
      <c r="C2729" t="s">
        <v>1130</v>
      </c>
      <c r="D2729" t="s">
        <v>1131</v>
      </c>
      <c r="E2729" t="s">
        <v>1132</v>
      </c>
      <c r="G2729" t="s">
        <v>1133</v>
      </c>
      <c r="H2729" t="s">
        <v>1134</v>
      </c>
      <c r="J2729" t="s">
        <v>1135</v>
      </c>
      <c r="L2729" t="s">
        <v>67</v>
      </c>
      <c r="M2729" t="s">
        <v>199</v>
      </c>
      <c r="R2729" t="s">
        <v>1136</v>
      </c>
      <c r="W2729" t="s">
        <v>1132</v>
      </c>
      <c r="X2729" t="s">
        <v>605</v>
      </c>
      <c r="Y2729" t="s">
        <v>326</v>
      </c>
      <c r="Z2729" t="s">
        <v>117</v>
      </c>
      <c r="AA2729" t="str">
        <f>"14127-2600"</f>
        <v>14127-2600</v>
      </c>
      <c r="AB2729" t="s">
        <v>291</v>
      </c>
      <c r="AC2729" t="s">
        <v>119</v>
      </c>
      <c r="AD2729" t="s">
        <v>113</v>
      </c>
      <c r="AE2729" t="s">
        <v>120</v>
      </c>
      <c r="AG2729" t="s">
        <v>121</v>
      </c>
    </row>
    <row r="2730" spans="1:33" x14ac:dyDescent="0.25">
      <c r="B2730" t="str">
        <f>"03350630"</f>
        <v>03350630</v>
      </c>
      <c r="C2730" t="s">
        <v>18462</v>
      </c>
      <c r="D2730" t="s">
        <v>18463</v>
      </c>
      <c r="E2730" t="s">
        <v>18464</v>
      </c>
      <c r="L2730" t="s">
        <v>69</v>
      </c>
      <c r="M2730" t="s">
        <v>113</v>
      </c>
      <c r="W2730" t="s">
        <v>18464</v>
      </c>
      <c r="X2730" t="s">
        <v>4335</v>
      </c>
      <c r="Y2730" t="s">
        <v>240</v>
      </c>
      <c r="Z2730" t="s">
        <v>117</v>
      </c>
      <c r="AA2730" t="str">
        <f>"14221-2320"</f>
        <v>14221-2320</v>
      </c>
      <c r="AB2730" t="s">
        <v>291</v>
      </c>
      <c r="AC2730" t="s">
        <v>119</v>
      </c>
      <c r="AD2730" t="s">
        <v>113</v>
      </c>
      <c r="AE2730" t="s">
        <v>120</v>
      </c>
      <c r="AG2730" t="s">
        <v>121</v>
      </c>
    </row>
    <row r="2731" spans="1:33" x14ac:dyDescent="0.25">
      <c r="B2731" t="str">
        <f>"02169533"</f>
        <v>02169533</v>
      </c>
      <c r="C2731" t="s">
        <v>1617</v>
      </c>
      <c r="D2731" t="s">
        <v>1618</v>
      </c>
      <c r="E2731" t="s">
        <v>1617</v>
      </c>
      <c r="F2731">
        <v>160769044</v>
      </c>
      <c r="H2731" t="s">
        <v>1596</v>
      </c>
      <c r="L2731" t="s">
        <v>69</v>
      </c>
      <c r="M2731" t="s">
        <v>199</v>
      </c>
      <c r="W2731" t="s">
        <v>1619</v>
      </c>
      <c r="X2731" t="s">
        <v>1620</v>
      </c>
      <c r="Y2731" t="s">
        <v>116</v>
      </c>
      <c r="Z2731" t="s">
        <v>117</v>
      </c>
      <c r="AA2731" t="str">
        <f>"14203-2233"</f>
        <v>14203-2233</v>
      </c>
      <c r="AB2731" t="s">
        <v>291</v>
      </c>
      <c r="AC2731" t="s">
        <v>119</v>
      </c>
      <c r="AD2731" t="s">
        <v>113</v>
      </c>
      <c r="AE2731" t="s">
        <v>120</v>
      </c>
      <c r="AG2731" t="s">
        <v>121</v>
      </c>
    </row>
    <row r="2732" spans="1:33" x14ac:dyDescent="0.25">
      <c r="A2732" t="str">
        <f>"1124432489"</f>
        <v>1124432489</v>
      </c>
      <c r="B2732" t="str">
        <f>"04401598"</f>
        <v>04401598</v>
      </c>
      <c r="C2732" t="s">
        <v>25232</v>
      </c>
      <c r="D2732" t="s">
        <v>25233</v>
      </c>
      <c r="E2732" t="s">
        <v>25234</v>
      </c>
      <c r="G2732" t="s">
        <v>25235</v>
      </c>
      <c r="H2732" t="s">
        <v>20725</v>
      </c>
      <c r="I2732">
        <v>250</v>
      </c>
      <c r="J2732" t="s">
        <v>20726</v>
      </c>
      <c r="L2732" t="s">
        <v>229</v>
      </c>
      <c r="M2732" t="s">
        <v>113</v>
      </c>
      <c r="R2732" t="s">
        <v>25232</v>
      </c>
      <c r="W2732" t="s">
        <v>25236</v>
      </c>
      <c r="X2732" t="s">
        <v>20728</v>
      </c>
      <c r="Y2732" t="s">
        <v>116</v>
      </c>
      <c r="Z2732" t="s">
        <v>117</v>
      </c>
      <c r="AA2732" t="str">
        <f>"14201-1938"</f>
        <v>14201-1938</v>
      </c>
      <c r="AB2732" t="s">
        <v>291</v>
      </c>
      <c r="AC2732" t="s">
        <v>119</v>
      </c>
      <c r="AD2732" t="s">
        <v>113</v>
      </c>
      <c r="AE2732" t="s">
        <v>120</v>
      </c>
      <c r="AG2732" t="s">
        <v>121</v>
      </c>
    </row>
    <row r="2733" spans="1:33" x14ac:dyDescent="0.25">
      <c r="A2733" t="str">
        <f>"1447497821"</f>
        <v>1447497821</v>
      </c>
      <c r="B2733" t="str">
        <f>"02370363"</f>
        <v>02370363</v>
      </c>
      <c r="C2733" t="s">
        <v>11010</v>
      </c>
      <c r="D2733" t="s">
        <v>11011</v>
      </c>
      <c r="E2733" t="s">
        <v>5966</v>
      </c>
      <c r="G2733" t="s">
        <v>5968</v>
      </c>
      <c r="H2733" t="s">
        <v>5969</v>
      </c>
      <c r="I2733">
        <v>112</v>
      </c>
      <c r="J2733" t="s">
        <v>5970</v>
      </c>
      <c r="L2733" t="s">
        <v>14</v>
      </c>
      <c r="M2733" t="s">
        <v>199</v>
      </c>
      <c r="R2733" t="s">
        <v>11010</v>
      </c>
      <c r="W2733" t="s">
        <v>5966</v>
      </c>
      <c r="X2733" t="s">
        <v>11012</v>
      </c>
      <c r="Y2733" t="s">
        <v>116</v>
      </c>
      <c r="Z2733" t="s">
        <v>117</v>
      </c>
      <c r="AA2733" t="str">
        <f>"14201-1886"</f>
        <v>14201-1886</v>
      </c>
      <c r="AB2733" t="s">
        <v>291</v>
      </c>
      <c r="AC2733" t="s">
        <v>119</v>
      </c>
      <c r="AD2733" t="s">
        <v>113</v>
      </c>
      <c r="AE2733" t="s">
        <v>120</v>
      </c>
      <c r="AG2733" t="s">
        <v>121</v>
      </c>
    </row>
    <row r="2734" spans="1:33" x14ac:dyDescent="0.25">
      <c r="A2734" t="str">
        <f>"1023041613"</f>
        <v>1023041613</v>
      </c>
      <c r="B2734" t="str">
        <f>"00773799"</f>
        <v>00773799</v>
      </c>
      <c r="C2734" t="s">
        <v>15528</v>
      </c>
      <c r="D2734" t="s">
        <v>15529</v>
      </c>
      <c r="E2734" t="s">
        <v>15530</v>
      </c>
      <c r="G2734" t="s">
        <v>15528</v>
      </c>
      <c r="H2734" t="s">
        <v>1157</v>
      </c>
      <c r="J2734" t="s">
        <v>15531</v>
      </c>
      <c r="L2734" t="s">
        <v>142</v>
      </c>
      <c r="M2734" t="s">
        <v>113</v>
      </c>
      <c r="R2734" t="s">
        <v>15532</v>
      </c>
      <c r="W2734" t="s">
        <v>15530</v>
      </c>
      <c r="X2734" t="s">
        <v>15533</v>
      </c>
      <c r="Y2734" t="s">
        <v>116</v>
      </c>
      <c r="Z2734" t="s">
        <v>117</v>
      </c>
      <c r="AA2734" t="str">
        <f>"14203-1154"</f>
        <v>14203-1154</v>
      </c>
      <c r="AB2734" t="s">
        <v>118</v>
      </c>
      <c r="AC2734" t="s">
        <v>119</v>
      </c>
      <c r="AD2734" t="s">
        <v>113</v>
      </c>
      <c r="AE2734" t="s">
        <v>120</v>
      </c>
      <c r="AG2734" t="s">
        <v>121</v>
      </c>
    </row>
    <row r="2735" spans="1:33" x14ac:dyDescent="0.25">
      <c r="A2735" t="str">
        <f>"1023058864"</f>
        <v>1023058864</v>
      </c>
      <c r="C2735" t="s">
        <v>15534</v>
      </c>
      <c r="H2735" t="s">
        <v>15535</v>
      </c>
      <c r="J2735" t="s">
        <v>15536</v>
      </c>
      <c r="K2735" t="s">
        <v>303</v>
      </c>
      <c r="L2735" t="s">
        <v>112</v>
      </c>
      <c r="M2735" t="s">
        <v>113</v>
      </c>
      <c r="AC2735" t="s">
        <v>119</v>
      </c>
      <c r="AD2735" t="s">
        <v>113</v>
      </c>
      <c r="AE2735" t="s">
        <v>306</v>
      </c>
      <c r="AG2735" t="s">
        <v>121</v>
      </c>
    </row>
    <row r="2736" spans="1:33" x14ac:dyDescent="0.25">
      <c r="A2736" t="str">
        <f>"1023066065"</f>
        <v>1023066065</v>
      </c>
      <c r="B2736" t="str">
        <f>"01091923"</f>
        <v>01091923</v>
      </c>
      <c r="C2736" t="s">
        <v>15537</v>
      </c>
      <c r="D2736" t="s">
        <v>15538</v>
      </c>
      <c r="E2736" t="s">
        <v>15539</v>
      </c>
      <c r="G2736" t="s">
        <v>15540</v>
      </c>
      <c r="H2736" t="s">
        <v>13540</v>
      </c>
      <c r="J2736" t="s">
        <v>15541</v>
      </c>
      <c r="L2736" t="s">
        <v>142</v>
      </c>
      <c r="M2736" t="s">
        <v>113</v>
      </c>
      <c r="R2736" t="s">
        <v>15542</v>
      </c>
      <c r="W2736" t="s">
        <v>15539</v>
      </c>
      <c r="X2736" t="s">
        <v>838</v>
      </c>
      <c r="Y2736" t="s">
        <v>240</v>
      </c>
      <c r="Z2736" t="s">
        <v>117</v>
      </c>
      <c r="AA2736" t="str">
        <f>"14221-3647"</f>
        <v>14221-3647</v>
      </c>
      <c r="AB2736" t="s">
        <v>118</v>
      </c>
      <c r="AC2736" t="s">
        <v>119</v>
      </c>
      <c r="AD2736" t="s">
        <v>113</v>
      </c>
      <c r="AE2736" t="s">
        <v>120</v>
      </c>
      <c r="AG2736" t="s">
        <v>121</v>
      </c>
    </row>
    <row r="2737" spans="1:33" x14ac:dyDescent="0.25">
      <c r="A2737" t="str">
        <f>"1124180260"</f>
        <v>1124180260</v>
      </c>
      <c r="B2737" t="str">
        <f>"00979539"</f>
        <v>00979539</v>
      </c>
      <c r="C2737" t="s">
        <v>4751</v>
      </c>
      <c r="D2737" t="s">
        <v>15543</v>
      </c>
      <c r="E2737" t="s">
        <v>15544</v>
      </c>
      <c r="F2737">
        <v>160968914</v>
      </c>
      <c r="H2737" t="s">
        <v>7977</v>
      </c>
      <c r="L2737" t="s">
        <v>69</v>
      </c>
      <c r="M2737" t="s">
        <v>113</v>
      </c>
      <c r="R2737" t="s">
        <v>4757</v>
      </c>
      <c r="W2737" t="s">
        <v>15544</v>
      </c>
      <c r="X2737" t="s">
        <v>15545</v>
      </c>
      <c r="Y2737" t="s">
        <v>8303</v>
      </c>
      <c r="Z2737" t="s">
        <v>117</v>
      </c>
      <c r="AA2737" t="str">
        <f>"14720-0001"</f>
        <v>14720-0001</v>
      </c>
      <c r="AB2737" t="s">
        <v>282</v>
      </c>
      <c r="AC2737" t="s">
        <v>119</v>
      </c>
      <c r="AD2737" t="s">
        <v>113</v>
      </c>
      <c r="AE2737" t="s">
        <v>120</v>
      </c>
      <c r="AG2737" t="s">
        <v>121</v>
      </c>
    </row>
    <row r="2738" spans="1:33" x14ac:dyDescent="0.25">
      <c r="A2738" t="str">
        <f>"1124194097"</f>
        <v>1124194097</v>
      </c>
      <c r="C2738" t="s">
        <v>15546</v>
      </c>
      <c r="G2738" t="s">
        <v>15547</v>
      </c>
      <c r="H2738" t="s">
        <v>1538</v>
      </c>
      <c r="K2738" t="s">
        <v>303</v>
      </c>
      <c r="L2738" t="s">
        <v>229</v>
      </c>
      <c r="M2738" t="s">
        <v>113</v>
      </c>
      <c r="R2738" t="s">
        <v>15548</v>
      </c>
      <c r="S2738" t="s">
        <v>409</v>
      </c>
      <c r="T2738" t="s">
        <v>116</v>
      </c>
      <c r="U2738" t="s">
        <v>117</v>
      </c>
      <c r="V2738" t="str">
        <f>"142152814"</f>
        <v>142152814</v>
      </c>
      <c r="AC2738" t="s">
        <v>119</v>
      </c>
      <c r="AD2738" t="s">
        <v>113</v>
      </c>
      <c r="AE2738" t="s">
        <v>306</v>
      </c>
      <c r="AG2738" t="s">
        <v>121</v>
      </c>
    </row>
    <row r="2739" spans="1:33" x14ac:dyDescent="0.25">
      <c r="A2739" t="str">
        <f>"1124195649"</f>
        <v>1124195649</v>
      </c>
      <c r="B2739" t="str">
        <f>"01614204"</f>
        <v>01614204</v>
      </c>
      <c r="C2739" t="s">
        <v>15549</v>
      </c>
      <c r="D2739" t="s">
        <v>15550</v>
      </c>
      <c r="E2739" t="s">
        <v>15551</v>
      </c>
      <c r="G2739" t="s">
        <v>15552</v>
      </c>
      <c r="H2739" t="s">
        <v>2464</v>
      </c>
      <c r="J2739" t="s">
        <v>15553</v>
      </c>
      <c r="L2739" t="s">
        <v>112</v>
      </c>
      <c r="M2739" t="s">
        <v>113</v>
      </c>
      <c r="R2739" t="s">
        <v>15554</v>
      </c>
      <c r="W2739" t="s">
        <v>15551</v>
      </c>
      <c r="X2739" t="s">
        <v>3566</v>
      </c>
      <c r="Y2739" t="s">
        <v>377</v>
      </c>
      <c r="Z2739" t="s">
        <v>117</v>
      </c>
      <c r="AA2739" t="str">
        <f>"14217-1390"</f>
        <v>14217-1390</v>
      </c>
      <c r="AB2739" t="s">
        <v>118</v>
      </c>
      <c r="AC2739" t="s">
        <v>119</v>
      </c>
      <c r="AD2739" t="s">
        <v>113</v>
      </c>
      <c r="AE2739" t="s">
        <v>120</v>
      </c>
      <c r="AG2739" t="s">
        <v>121</v>
      </c>
    </row>
    <row r="2740" spans="1:33" x14ac:dyDescent="0.25">
      <c r="A2740" t="str">
        <f>"1124236005"</f>
        <v>1124236005</v>
      </c>
      <c r="B2740" t="str">
        <f>"00744876"</f>
        <v>00744876</v>
      </c>
      <c r="C2740" t="s">
        <v>15555</v>
      </c>
      <c r="D2740" t="s">
        <v>15556</v>
      </c>
      <c r="E2740" t="s">
        <v>15557</v>
      </c>
      <c r="F2740">
        <v>160818293</v>
      </c>
      <c r="H2740" t="s">
        <v>713</v>
      </c>
      <c r="L2740" t="s">
        <v>69</v>
      </c>
      <c r="M2740" t="s">
        <v>199</v>
      </c>
      <c r="R2740" t="s">
        <v>15555</v>
      </c>
      <c r="W2740" t="s">
        <v>15557</v>
      </c>
      <c r="X2740" t="s">
        <v>6270</v>
      </c>
      <c r="Y2740" t="s">
        <v>4866</v>
      </c>
      <c r="Z2740" t="s">
        <v>117</v>
      </c>
      <c r="AA2740" t="str">
        <f>"14706-9733"</f>
        <v>14706-9733</v>
      </c>
      <c r="AB2740" t="s">
        <v>1146</v>
      </c>
      <c r="AC2740" t="s">
        <v>119</v>
      </c>
      <c r="AD2740" t="s">
        <v>113</v>
      </c>
      <c r="AE2740" t="s">
        <v>120</v>
      </c>
      <c r="AG2740" t="s">
        <v>121</v>
      </c>
    </row>
    <row r="2741" spans="1:33" x14ac:dyDescent="0.25">
      <c r="A2741" t="str">
        <f>"1124248190"</f>
        <v>1124248190</v>
      </c>
      <c r="B2741" t="str">
        <f>"02880202"</f>
        <v>02880202</v>
      </c>
      <c r="C2741" t="s">
        <v>15558</v>
      </c>
      <c r="D2741" t="s">
        <v>15559</v>
      </c>
      <c r="E2741" t="s">
        <v>15560</v>
      </c>
      <c r="G2741" t="s">
        <v>15558</v>
      </c>
      <c r="H2741" t="s">
        <v>4748</v>
      </c>
      <c r="J2741" t="s">
        <v>15561</v>
      </c>
      <c r="L2741" t="s">
        <v>142</v>
      </c>
      <c r="M2741" t="s">
        <v>113</v>
      </c>
      <c r="R2741" t="s">
        <v>15562</v>
      </c>
      <c r="W2741" t="s">
        <v>15563</v>
      </c>
      <c r="X2741" t="s">
        <v>176</v>
      </c>
      <c r="Y2741" t="s">
        <v>116</v>
      </c>
      <c r="Z2741" t="s">
        <v>117</v>
      </c>
      <c r="AA2741" t="str">
        <f>"14203-1126"</f>
        <v>14203-1126</v>
      </c>
      <c r="AB2741" t="s">
        <v>118</v>
      </c>
      <c r="AC2741" t="s">
        <v>119</v>
      </c>
      <c r="AD2741" t="s">
        <v>113</v>
      </c>
      <c r="AE2741" t="s">
        <v>120</v>
      </c>
      <c r="AG2741" t="s">
        <v>121</v>
      </c>
    </row>
    <row r="2742" spans="1:33" x14ac:dyDescent="0.25">
      <c r="A2742" t="str">
        <f>"1124253273"</f>
        <v>1124253273</v>
      </c>
      <c r="B2742" t="str">
        <f>"03249483"</f>
        <v>03249483</v>
      </c>
      <c r="C2742" t="s">
        <v>15564</v>
      </c>
      <c r="D2742" t="s">
        <v>15565</v>
      </c>
      <c r="E2742" t="s">
        <v>15566</v>
      </c>
      <c r="G2742" t="s">
        <v>15564</v>
      </c>
      <c r="J2742" t="s">
        <v>15567</v>
      </c>
      <c r="L2742" t="s">
        <v>142</v>
      </c>
      <c r="M2742" t="s">
        <v>113</v>
      </c>
      <c r="R2742" t="s">
        <v>15568</v>
      </c>
      <c r="W2742" t="s">
        <v>15569</v>
      </c>
      <c r="X2742" t="s">
        <v>15570</v>
      </c>
      <c r="Y2742" t="s">
        <v>192</v>
      </c>
      <c r="Z2742" t="s">
        <v>117</v>
      </c>
      <c r="AA2742" t="str">
        <f>"14020-1649"</f>
        <v>14020-1649</v>
      </c>
      <c r="AB2742" t="s">
        <v>118</v>
      </c>
      <c r="AC2742" t="s">
        <v>119</v>
      </c>
      <c r="AD2742" t="s">
        <v>113</v>
      </c>
      <c r="AE2742" t="s">
        <v>120</v>
      </c>
      <c r="AG2742" t="s">
        <v>121</v>
      </c>
    </row>
    <row r="2743" spans="1:33" x14ac:dyDescent="0.25">
      <c r="A2743" t="str">
        <f>"1124289905"</f>
        <v>1124289905</v>
      </c>
      <c r="B2743" t="str">
        <f>"03623512"</f>
        <v>03623512</v>
      </c>
      <c r="C2743" t="s">
        <v>15571</v>
      </c>
      <c r="D2743" t="s">
        <v>15572</v>
      </c>
      <c r="E2743" t="s">
        <v>15573</v>
      </c>
      <c r="G2743" t="s">
        <v>15574</v>
      </c>
      <c r="H2743" t="s">
        <v>12956</v>
      </c>
      <c r="J2743" t="s">
        <v>15575</v>
      </c>
      <c r="L2743" t="s">
        <v>8364</v>
      </c>
      <c r="M2743" t="s">
        <v>113</v>
      </c>
      <c r="R2743" t="s">
        <v>15573</v>
      </c>
      <c r="W2743" t="s">
        <v>15576</v>
      </c>
      <c r="X2743" t="s">
        <v>15577</v>
      </c>
      <c r="Y2743" t="s">
        <v>116</v>
      </c>
      <c r="Z2743" t="s">
        <v>117</v>
      </c>
      <c r="AA2743" t="str">
        <f>"14214-3001"</f>
        <v>14214-3001</v>
      </c>
      <c r="AB2743" t="s">
        <v>1460</v>
      </c>
      <c r="AC2743" t="s">
        <v>119</v>
      </c>
      <c r="AD2743" t="s">
        <v>113</v>
      </c>
      <c r="AE2743" t="s">
        <v>120</v>
      </c>
      <c r="AG2743" t="s">
        <v>121</v>
      </c>
    </row>
    <row r="2744" spans="1:33" x14ac:dyDescent="0.25">
      <c r="A2744" t="str">
        <f>"1124337365"</f>
        <v>1124337365</v>
      </c>
      <c r="B2744" t="str">
        <f>"03738841"</f>
        <v>03738841</v>
      </c>
      <c r="C2744" t="s">
        <v>15578</v>
      </c>
      <c r="D2744" t="s">
        <v>15579</v>
      </c>
      <c r="E2744" t="s">
        <v>15580</v>
      </c>
      <c r="G2744" t="s">
        <v>15581</v>
      </c>
      <c r="H2744" t="s">
        <v>6294</v>
      </c>
      <c r="J2744" t="s">
        <v>1660</v>
      </c>
      <c r="L2744" t="s">
        <v>142</v>
      </c>
      <c r="M2744" t="s">
        <v>113</v>
      </c>
      <c r="R2744" t="s">
        <v>15582</v>
      </c>
      <c r="W2744" t="s">
        <v>15583</v>
      </c>
      <c r="X2744" t="s">
        <v>4765</v>
      </c>
      <c r="Y2744" t="s">
        <v>116</v>
      </c>
      <c r="Z2744" t="s">
        <v>117</v>
      </c>
      <c r="AA2744" t="str">
        <f>"14209-1802"</f>
        <v>14209-1802</v>
      </c>
      <c r="AB2744" t="s">
        <v>118</v>
      </c>
      <c r="AC2744" t="s">
        <v>119</v>
      </c>
      <c r="AD2744" t="s">
        <v>113</v>
      </c>
      <c r="AE2744" t="s">
        <v>120</v>
      </c>
      <c r="AG2744" t="s">
        <v>121</v>
      </c>
    </row>
    <row r="2745" spans="1:33" x14ac:dyDescent="0.25">
      <c r="A2745" t="str">
        <f>"1124337944"</f>
        <v>1124337944</v>
      </c>
      <c r="C2745" t="s">
        <v>15584</v>
      </c>
      <c r="G2745" t="s">
        <v>15584</v>
      </c>
      <c r="J2745" t="s">
        <v>15585</v>
      </c>
      <c r="K2745" t="s">
        <v>303</v>
      </c>
      <c r="L2745" t="s">
        <v>229</v>
      </c>
      <c r="M2745" t="s">
        <v>113</v>
      </c>
      <c r="R2745" t="s">
        <v>15586</v>
      </c>
      <c r="S2745" t="s">
        <v>253</v>
      </c>
      <c r="T2745" t="s">
        <v>116</v>
      </c>
      <c r="U2745" t="s">
        <v>117</v>
      </c>
      <c r="V2745" t="str">
        <f>"142153021"</f>
        <v>142153021</v>
      </c>
      <c r="AC2745" t="s">
        <v>119</v>
      </c>
      <c r="AD2745" t="s">
        <v>113</v>
      </c>
      <c r="AE2745" t="s">
        <v>306</v>
      </c>
      <c r="AG2745" t="s">
        <v>121</v>
      </c>
    </row>
    <row r="2746" spans="1:33" x14ac:dyDescent="0.25">
      <c r="A2746" t="str">
        <f>"1124452107"</f>
        <v>1124452107</v>
      </c>
      <c r="C2746" t="s">
        <v>15587</v>
      </c>
      <c r="G2746" t="s">
        <v>15588</v>
      </c>
      <c r="H2746" t="s">
        <v>471</v>
      </c>
      <c r="J2746" t="s">
        <v>15589</v>
      </c>
      <c r="K2746" t="s">
        <v>303</v>
      </c>
      <c r="L2746" t="s">
        <v>229</v>
      </c>
      <c r="M2746" t="s">
        <v>113</v>
      </c>
      <c r="R2746" t="s">
        <v>15590</v>
      </c>
      <c r="S2746" t="s">
        <v>15591</v>
      </c>
      <c r="T2746" t="s">
        <v>116</v>
      </c>
      <c r="U2746" t="s">
        <v>117</v>
      </c>
      <c r="V2746" t="str">
        <f>"142021932"</f>
        <v>142021932</v>
      </c>
      <c r="AC2746" t="s">
        <v>119</v>
      </c>
      <c r="AD2746" t="s">
        <v>113</v>
      </c>
      <c r="AE2746" t="s">
        <v>306</v>
      </c>
      <c r="AG2746" t="s">
        <v>121</v>
      </c>
    </row>
    <row r="2747" spans="1:33" x14ac:dyDescent="0.25">
      <c r="A2747" t="str">
        <f>"1134101736"</f>
        <v>1134101736</v>
      </c>
      <c r="B2747" t="str">
        <f>"01649825"</f>
        <v>01649825</v>
      </c>
      <c r="C2747" t="s">
        <v>15592</v>
      </c>
      <c r="D2747" t="s">
        <v>15593</v>
      </c>
      <c r="E2747" t="s">
        <v>15594</v>
      </c>
      <c r="G2747" t="s">
        <v>15592</v>
      </c>
      <c r="H2747" t="s">
        <v>1308</v>
      </c>
      <c r="J2747" t="s">
        <v>15595</v>
      </c>
      <c r="L2747" t="s">
        <v>142</v>
      </c>
      <c r="M2747" t="s">
        <v>113</v>
      </c>
      <c r="R2747" t="s">
        <v>15596</v>
      </c>
      <c r="W2747" t="s">
        <v>15594</v>
      </c>
      <c r="X2747" t="s">
        <v>1311</v>
      </c>
      <c r="Y2747" t="s">
        <v>1312</v>
      </c>
      <c r="Z2747" t="s">
        <v>117</v>
      </c>
      <c r="AA2747" t="str">
        <f>"14226-4567"</f>
        <v>14226-4567</v>
      </c>
      <c r="AB2747" t="s">
        <v>118</v>
      </c>
      <c r="AC2747" t="s">
        <v>119</v>
      </c>
      <c r="AD2747" t="s">
        <v>113</v>
      </c>
      <c r="AE2747" t="s">
        <v>120</v>
      </c>
      <c r="AG2747" t="s">
        <v>121</v>
      </c>
    </row>
    <row r="2748" spans="1:33" x14ac:dyDescent="0.25">
      <c r="A2748" t="str">
        <f>"1134103294"</f>
        <v>1134103294</v>
      </c>
      <c r="B2748" t="str">
        <f>"01643847"</f>
        <v>01643847</v>
      </c>
      <c r="C2748" t="s">
        <v>15597</v>
      </c>
      <c r="D2748" t="s">
        <v>15598</v>
      </c>
      <c r="E2748" t="s">
        <v>15599</v>
      </c>
      <c r="G2748" t="s">
        <v>15597</v>
      </c>
      <c r="H2748" t="s">
        <v>188</v>
      </c>
      <c r="J2748" t="s">
        <v>15600</v>
      </c>
      <c r="L2748" t="s">
        <v>142</v>
      </c>
      <c r="M2748" t="s">
        <v>113</v>
      </c>
      <c r="R2748" t="s">
        <v>15601</v>
      </c>
      <c r="W2748" t="s">
        <v>15599</v>
      </c>
      <c r="X2748" t="s">
        <v>11755</v>
      </c>
      <c r="Y2748" t="s">
        <v>1257</v>
      </c>
      <c r="Z2748" t="s">
        <v>117</v>
      </c>
      <c r="AA2748" t="str">
        <f>"14141-1497"</f>
        <v>14141-1497</v>
      </c>
      <c r="AB2748" t="s">
        <v>118</v>
      </c>
      <c r="AC2748" t="s">
        <v>119</v>
      </c>
      <c r="AD2748" t="s">
        <v>113</v>
      </c>
      <c r="AE2748" t="s">
        <v>120</v>
      </c>
      <c r="AG2748" t="s">
        <v>121</v>
      </c>
    </row>
    <row r="2749" spans="1:33" x14ac:dyDescent="0.25">
      <c r="A2749" t="str">
        <f>"1134112691"</f>
        <v>1134112691</v>
      </c>
      <c r="B2749" t="str">
        <f>"01991262"</f>
        <v>01991262</v>
      </c>
      <c r="C2749" t="s">
        <v>15602</v>
      </c>
      <c r="D2749" t="s">
        <v>15603</v>
      </c>
      <c r="E2749" t="s">
        <v>15604</v>
      </c>
      <c r="G2749" t="s">
        <v>15602</v>
      </c>
      <c r="H2749" t="s">
        <v>14424</v>
      </c>
      <c r="J2749" t="s">
        <v>15605</v>
      </c>
      <c r="L2749" t="s">
        <v>728</v>
      </c>
      <c r="M2749" t="s">
        <v>199</v>
      </c>
      <c r="R2749" t="s">
        <v>15606</v>
      </c>
      <c r="W2749" t="s">
        <v>15604</v>
      </c>
      <c r="X2749" t="s">
        <v>15607</v>
      </c>
      <c r="Y2749" t="s">
        <v>240</v>
      </c>
      <c r="Z2749" t="s">
        <v>117</v>
      </c>
      <c r="AA2749" t="str">
        <f>"14221-2320"</f>
        <v>14221-2320</v>
      </c>
      <c r="AB2749" t="s">
        <v>118</v>
      </c>
      <c r="AC2749" t="s">
        <v>119</v>
      </c>
      <c r="AD2749" t="s">
        <v>113</v>
      </c>
      <c r="AE2749" t="s">
        <v>120</v>
      </c>
      <c r="AG2749" t="s">
        <v>121</v>
      </c>
    </row>
    <row r="2750" spans="1:33" x14ac:dyDescent="0.25">
      <c r="A2750" t="str">
        <f>"1134114051"</f>
        <v>1134114051</v>
      </c>
      <c r="B2750" t="str">
        <f>"01732609"</f>
        <v>01732609</v>
      </c>
      <c r="C2750" t="s">
        <v>15608</v>
      </c>
      <c r="D2750" t="s">
        <v>15609</v>
      </c>
      <c r="E2750" t="s">
        <v>15610</v>
      </c>
      <c r="G2750" t="s">
        <v>15608</v>
      </c>
      <c r="H2750" t="s">
        <v>322</v>
      </c>
      <c r="J2750" t="s">
        <v>15611</v>
      </c>
      <c r="L2750" t="s">
        <v>142</v>
      </c>
      <c r="M2750" t="s">
        <v>113</v>
      </c>
      <c r="R2750" t="s">
        <v>15612</v>
      </c>
      <c r="W2750" t="s">
        <v>15610</v>
      </c>
      <c r="X2750" t="s">
        <v>9226</v>
      </c>
      <c r="Y2750" t="s">
        <v>129</v>
      </c>
      <c r="Z2750" t="s">
        <v>117</v>
      </c>
      <c r="AA2750" t="str">
        <f>"14224-2655"</f>
        <v>14224-2655</v>
      </c>
      <c r="AB2750" t="s">
        <v>118</v>
      </c>
      <c r="AC2750" t="s">
        <v>119</v>
      </c>
      <c r="AD2750" t="s">
        <v>113</v>
      </c>
      <c r="AE2750" t="s">
        <v>120</v>
      </c>
      <c r="AG2750" t="s">
        <v>121</v>
      </c>
    </row>
    <row r="2751" spans="1:33" x14ac:dyDescent="0.25">
      <c r="A2751" t="str">
        <f>"1134114234"</f>
        <v>1134114234</v>
      </c>
      <c r="B2751" t="str">
        <f>"00689258"</f>
        <v>00689258</v>
      </c>
      <c r="C2751" t="s">
        <v>15613</v>
      </c>
      <c r="D2751" t="s">
        <v>15614</v>
      </c>
      <c r="E2751" t="s">
        <v>15615</v>
      </c>
      <c r="G2751" t="s">
        <v>15613</v>
      </c>
      <c r="H2751" t="s">
        <v>8043</v>
      </c>
      <c r="J2751" t="s">
        <v>15616</v>
      </c>
      <c r="L2751" t="s">
        <v>142</v>
      </c>
      <c r="M2751" t="s">
        <v>113</v>
      </c>
      <c r="R2751" t="s">
        <v>15617</v>
      </c>
      <c r="W2751" t="s">
        <v>15615</v>
      </c>
      <c r="X2751" t="s">
        <v>3887</v>
      </c>
      <c r="Y2751" t="s">
        <v>129</v>
      </c>
      <c r="Z2751" t="s">
        <v>117</v>
      </c>
      <c r="AA2751" t="str">
        <f>"14224-3444"</f>
        <v>14224-3444</v>
      </c>
      <c r="AB2751" t="s">
        <v>118</v>
      </c>
      <c r="AC2751" t="s">
        <v>119</v>
      </c>
      <c r="AD2751" t="s">
        <v>113</v>
      </c>
      <c r="AE2751" t="s">
        <v>120</v>
      </c>
      <c r="AG2751" t="s">
        <v>121</v>
      </c>
    </row>
    <row r="2752" spans="1:33" x14ac:dyDescent="0.25">
      <c r="A2752" t="str">
        <f>"1134117203"</f>
        <v>1134117203</v>
      </c>
      <c r="B2752" t="str">
        <f>"02496202"</f>
        <v>02496202</v>
      </c>
      <c r="C2752" t="s">
        <v>15618</v>
      </c>
      <c r="D2752" t="s">
        <v>15619</v>
      </c>
      <c r="E2752" t="s">
        <v>15620</v>
      </c>
      <c r="G2752" t="s">
        <v>15618</v>
      </c>
      <c r="H2752" t="s">
        <v>15621</v>
      </c>
      <c r="J2752" t="s">
        <v>15622</v>
      </c>
      <c r="L2752" t="s">
        <v>142</v>
      </c>
      <c r="M2752" t="s">
        <v>113</v>
      </c>
      <c r="R2752" t="s">
        <v>15623</v>
      </c>
      <c r="W2752" t="s">
        <v>15620</v>
      </c>
      <c r="X2752" t="s">
        <v>15624</v>
      </c>
      <c r="Y2752" t="s">
        <v>9399</v>
      </c>
      <c r="Z2752" t="s">
        <v>1535</v>
      </c>
      <c r="AA2752" t="str">
        <f>"19140-5103"</f>
        <v>19140-5103</v>
      </c>
      <c r="AB2752" t="s">
        <v>118</v>
      </c>
      <c r="AC2752" t="s">
        <v>119</v>
      </c>
      <c r="AD2752" t="s">
        <v>113</v>
      </c>
      <c r="AE2752" t="s">
        <v>120</v>
      </c>
      <c r="AG2752" t="s">
        <v>121</v>
      </c>
    </row>
    <row r="2753" spans="1:33" x14ac:dyDescent="0.25">
      <c r="A2753" t="str">
        <f>"1053339515"</f>
        <v>1053339515</v>
      </c>
      <c r="B2753" t="str">
        <f>"01583155"</f>
        <v>01583155</v>
      </c>
      <c r="C2753" t="s">
        <v>15625</v>
      </c>
      <c r="D2753" t="s">
        <v>15626</v>
      </c>
      <c r="E2753" t="s">
        <v>15627</v>
      </c>
      <c r="G2753" t="s">
        <v>15625</v>
      </c>
      <c r="H2753" t="s">
        <v>532</v>
      </c>
      <c r="J2753" t="s">
        <v>15628</v>
      </c>
      <c r="L2753" t="s">
        <v>142</v>
      </c>
      <c r="M2753" t="s">
        <v>113</v>
      </c>
      <c r="R2753" t="s">
        <v>15629</v>
      </c>
      <c r="W2753" t="s">
        <v>15627</v>
      </c>
      <c r="X2753" t="s">
        <v>136</v>
      </c>
      <c r="Y2753" t="s">
        <v>116</v>
      </c>
      <c r="Z2753" t="s">
        <v>117</v>
      </c>
      <c r="AA2753" t="str">
        <f>"14209-1120"</f>
        <v>14209-1120</v>
      </c>
      <c r="AB2753" t="s">
        <v>118</v>
      </c>
      <c r="AC2753" t="s">
        <v>119</v>
      </c>
      <c r="AD2753" t="s">
        <v>113</v>
      </c>
      <c r="AE2753" t="s">
        <v>120</v>
      </c>
      <c r="AG2753" t="s">
        <v>121</v>
      </c>
    </row>
    <row r="2754" spans="1:33" x14ac:dyDescent="0.25">
      <c r="A2754" t="str">
        <f>"1053342535"</f>
        <v>1053342535</v>
      </c>
      <c r="B2754" t="str">
        <f>"02022168"</f>
        <v>02022168</v>
      </c>
      <c r="C2754" t="s">
        <v>15630</v>
      </c>
      <c r="D2754" t="s">
        <v>15631</v>
      </c>
      <c r="E2754" t="s">
        <v>15632</v>
      </c>
      <c r="H2754" t="s">
        <v>15633</v>
      </c>
      <c r="L2754" t="s">
        <v>728</v>
      </c>
      <c r="M2754" t="s">
        <v>113</v>
      </c>
      <c r="R2754" t="s">
        <v>15634</v>
      </c>
      <c r="W2754" t="s">
        <v>15632</v>
      </c>
      <c r="X2754" t="s">
        <v>6289</v>
      </c>
      <c r="Y2754" t="s">
        <v>240</v>
      </c>
      <c r="Z2754" t="s">
        <v>117</v>
      </c>
      <c r="AA2754" t="str">
        <f>"14221-8216"</f>
        <v>14221-8216</v>
      </c>
      <c r="AB2754" t="s">
        <v>118</v>
      </c>
      <c r="AC2754" t="s">
        <v>119</v>
      </c>
      <c r="AD2754" t="s">
        <v>113</v>
      </c>
      <c r="AE2754" t="s">
        <v>120</v>
      </c>
      <c r="AG2754" t="s">
        <v>121</v>
      </c>
    </row>
    <row r="2755" spans="1:33" x14ac:dyDescent="0.25">
      <c r="A2755" t="str">
        <f>"1053345926"</f>
        <v>1053345926</v>
      </c>
      <c r="B2755" t="str">
        <f>"02215007"</f>
        <v>02215007</v>
      </c>
      <c r="C2755" t="s">
        <v>15635</v>
      </c>
      <c r="D2755" t="s">
        <v>15636</v>
      </c>
      <c r="E2755" t="s">
        <v>15637</v>
      </c>
      <c r="G2755" t="s">
        <v>15635</v>
      </c>
      <c r="H2755" t="s">
        <v>15638</v>
      </c>
      <c r="J2755" t="s">
        <v>15639</v>
      </c>
      <c r="L2755" t="s">
        <v>142</v>
      </c>
      <c r="M2755" t="s">
        <v>113</v>
      </c>
      <c r="R2755" t="s">
        <v>15640</v>
      </c>
      <c r="W2755" t="s">
        <v>15637</v>
      </c>
      <c r="X2755" t="s">
        <v>2761</v>
      </c>
      <c r="Y2755" t="s">
        <v>2762</v>
      </c>
      <c r="Z2755" t="s">
        <v>117</v>
      </c>
      <c r="AA2755" t="str">
        <f>"14642-0001"</f>
        <v>14642-0001</v>
      </c>
      <c r="AB2755" t="s">
        <v>118</v>
      </c>
      <c r="AC2755" t="s">
        <v>119</v>
      </c>
      <c r="AD2755" t="s">
        <v>113</v>
      </c>
      <c r="AE2755" t="s">
        <v>120</v>
      </c>
      <c r="AG2755" t="s">
        <v>121</v>
      </c>
    </row>
    <row r="2756" spans="1:33" x14ac:dyDescent="0.25">
      <c r="A2756" t="str">
        <f>"1053348912"</f>
        <v>1053348912</v>
      </c>
      <c r="C2756" t="s">
        <v>15641</v>
      </c>
      <c r="G2756" t="s">
        <v>15642</v>
      </c>
      <c r="H2756" t="s">
        <v>15643</v>
      </c>
      <c r="J2756" t="s">
        <v>15644</v>
      </c>
      <c r="K2756" t="s">
        <v>303</v>
      </c>
      <c r="L2756" t="s">
        <v>112</v>
      </c>
      <c r="M2756" t="s">
        <v>113</v>
      </c>
      <c r="R2756" t="s">
        <v>15645</v>
      </c>
      <c r="S2756" t="s">
        <v>15646</v>
      </c>
      <c r="T2756" t="s">
        <v>116</v>
      </c>
      <c r="U2756" t="s">
        <v>117</v>
      </c>
      <c r="V2756" t="str">
        <f>"142263800"</f>
        <v>142263800</v>
      </c>
      <c r="AC2756" t="s">
        <v>119</v>
      </c>
      <c r="AD2756" t="s">
        <v>113</v>
      </c>
      <c r="AE2756" t="s">
        <v>306</v>
      </c>
      <c r="AG2756" t="s">
        <v>121</v>
      </c>
    </row>
    <row r="2757" spans="1:33" x14ac:dyDescent="0.25">
      <c r="A2757" t="str">
        <f>"1053349183"</f>
        <v>1053349183</v>
      </c>
      <c r="B2757" t="str">
        <f>"02845590"</f>
        <v>02845590</v>
      </c>
      <c r="C2757" t="s">
        <v>15647</v>
      </c>
      <c r="D2757" t="s">
        <v>15648</v>
      </c>
      <c r="E2757" t="s">
        <v>15649</v>
      </c>
      <c r="G2757" t="s">
        <v>15650</v>
      </c>
      <c r="H2757" t="s">
        <v>590</v>
      </c>
      <c r="L2757" t="s">
        <v>112</v>
      </c>
      <c r="M2757" t="s">
        <v>113</v>
      </c>
      <c r="W2757" t="s">
        <v>15649</v>
      </c>
      <c r="X2757" t="s">
        <v>651</v>
      </c>
      <c r="Y2757" t="s">
        <v>116</v>
      </c>
      <c r="Z2757" t="s">
        <v>117</v>
      </c>
      <c r="AA2757" t="str">
        <f>"14209-1912"</f>
        <v>14209-1912</v>
      </c>
      <c r="AB2757" t="s">
        <v>621</v>
      </c>
      <c r="AC2757" t="s">
        <v>119</v>
      </c>
      <c r="AD2757" t="s">
        <v>113</v>
      </c>
      <c r="AE2757" t="s">
        <v>120</v>
      </c>
      <c r="AG2757" t="s">
        <v>121</v>
      </c>
    </row>
    <row r="2758" spans="1:33" x14ac:dyDescent="0.25">
      <c r="A2758" t="str">
        <f>"1215993290"</f>
        <v>1215993290</v>
      </c>
      <c r="B2758" t="str">
        <f>"00735740"</f>
        <v>00735740</v>
      </c>
      <c r="C2758" t="s">
        <v>15651</v>
      </c>
      <c r="D2758" t="s">
        <v>15652</v>
      </c>
      <c r="E2758" t="s">
        <v>15653</v>
      </c>
      <c r="G2758" t="s">
        <v>15651</v>
      </c>
      <c r="H2758" t="s">
        <v>15654</v>
      </c>
      <c r="J2758" t="s">
        <v>15655</v>
      </c>
      <c r="L2758" t="s">
        <v>1033</v>
      </c>
      <c r="M2758" t="s">
        <v>199</v>
      </c>
      <c r="R2758" t="s">
        <v>15656</v>
      </c>
      <c r="W2758" t="s">
        <v>15657</v>
      </c>
      <c r="X2758" t="s">
        <v>15658</v>
      </c>
      <c r="Y2758" t="s">
        <v>240</v>
      </c>
      <c r="Z2758" t="s">
        <v>117</v>
      </c>
      <c r="AA2758" t="str">
        <f>"14221-5776"</f>
        <v>14221-5776</v>
      </c>
      <c r="AB2758" t="s">
        <v>118</v>
      </c>
      <c r="AC2758" t="s">
        <v>119</v>
      </c>
      <c r="AD2758" t="s">
        <v>113</v>
      </c>
      <c r="AE2758" t="s">
        <v>120</v>
      </c>
      <c r="AG2758" t="s">
        <v>121</v>
      </c>
    </row>
    <row r="2759" spans="1:33" x14ac:dyDescent="0.25">
      <c r="A2759" t="str">
        <f>"1215993837"</f>
        <v>1215993837</v>
      </c>
      <c r="B2759" t="str">
        <f>"00929557"</f>
        <v>00929557</v>
      </c>
      <c r="C2759" t="s">
        <v>15659</v>
      </c>
      <c r="D2759" t="s">
        <v>15660</v>
      </c>
      <c r="E2759" t="s">
        <v>15661</v>
      </c>
      <c r="G2759" t="s">
        <v>15659</v>
      </c>
      <c r="H2759" t="s">
        <v>15662</v>
      </c>
      <c r="J2759" t="s">
        <v>15663</v>
      </c>
      <c r="L2759" t="s">
        <v>142</v>
      </c>
      <c r="M2759" t="s">
        <v>113</v>
      </c>
      <c r="R2759" t="s">
        <v>15664</v>
      </c>
      <c r="W2759" t="s">
        <v>15661</v>
      </c>
      <c r="X2759" t="s">
        <v>15665</v>
      </c>
      <c r="Y2759" t="s">
        <v>663</v>
      </c>
      <c r="Z2759" t="s">
        <v>117</v>
      </c>
      <c r="AA2759" t="str">
        <f>"14094-3616"</f>
        <v>14094-3616</v>
      </c>
      <c r="AB2759" t="s">
        <v>118</v>
      </c>
      <c r="AC2759" t="s">
        <v>119</v>
      </c>
      <c r="AD2759" t="s">
        <v>113</v>
      </c>
      <c r="AE2759" t="s">
        <v>120</v>
      </c>
      <c r="AG2759" t="s">
        <v>121</v>
      </c>
    </row>
    <row r="2760" spans="1:33" x14ac:dyDescent="0.25">
      <c r="A2760" t="str">
        <f>"1215995535"</f>
        <v>1215995535</v>
      </c>
      <c r="B2760" t="str">
        <f>"03443583"</f>
        <v>03443583</v>
      </c>
      <c r="C2760" t="s">
        <v>15666</v>
      </c>
      <c r="D2760" t="s">
        <v>15667</v>
      </c>
      <c r="E2760" t="s">
        <v>15668</v>
      </c>
      <c r="G2760" t="s">
        <v>15666</v>
      </c>
      <c r="H2760" t="s">
        <v>15669</v>
      </c>
      <c r="J2760" t="s">
        <v>15670</v>
      </c>
      <c r="L2760" t="s">
        <v>112</v>
      </c>
      <c r="M2760" t="s">
        <v>113</v>
      </c>
      <c r="R2760" t="s">
        <v>15671</v>
      </c>
      <c r="W2760" t="s">
        <v>15668</v>
      </c>
      <c r="X2760" t="s">
        <v>176</v>
      </c>
      <c r="Y2760" t="s">
        <v>116</v>
      </c>
      <c r="Z2760" t="s">
        <v>117</v>
      </c>
      <c r="AA2760" t="str">
        <f>"14203-1126"</f>
        <v>14203-1126</v>
      </c>
      <c r="AB2760" t="s">
        <v>118</v>
      </c>
      <c r="AC2760" t="s">
        <v>119</v>
      </c>
      <c r="AD2760" t="s">
        <v>113</v>
      </c>
      <c r="AE2760" t="s">
        <v>120</v>
      </c>
      <c r="AG2760" t="s">
        <v>121</v>
      </c>
    </row>
    <row r="2761" spans="1:33" x14ac:dyDescent="0.25">
      <c r="A2761" t="str">
        <f>"1215995808"</f>
        <v>1215995808</v>
      </c>
      <c r="B2761" t="str">
        <f>"02345086"</f>
        <v>02345086</v>
      </c>
      <c r="C2761" t="s">
        <v>15672</v>
      </c>
      <c r="D2761" t="s">
        <v>15673</v>
      </c>
      <c r="E2761" t="s">
        <v>15674</v>
      </c>
      <c r="H2761" t="s">
        <v>10057</v>
      </c>
      <c r="L2761" t="s">
        <v>142</v>
      </c>
      <c r="M2761" t="s">
        <v>113</v>
      </c>
      <c r="R2761" t="s">
        <v>15675</v>
      </c>
      <c r="W2761" t="s">
        <v>15676</v>
      </c>
      <c r="X2761" t="s">
        <v>333</v>
      </c>
      <c r="Y2761" t="s">
        <v>116</v>
      </c>
      <c r="Z2761" t="s">
        <v>117</v>
      </c>
      <c r="AA2761" t="str">
        <f>"14203-1109"</f>
        <v>14203-1109</v>
      </c>
      <c r="AB2761" t="s">
        <v>118</v>
      </c>
      <c r="AC2761" t="s">
        <v>119</v>
      </c>
      <c r="AD2761" t="s">
        <v>113</v>
      </c>
      <c r="AE2761" t="s">
        <v>120</v>
      </c>
      <c r="AG2761" t="s">
        <v>121</v>
      </c>
    </row>
    <row r="2762" spans="1:33" x14ac:dyDescent="0.25">
      <c r="A2762" t="str">
        <f>"1760455356"</f>
        <v>1760455356</v>
      </c>
      <c r="B2762" t="str">
        <f>"01030515"</f>
        <v>01030515</v>
      </c>
      <c r="C2762" t="s">
        <v>15677</v>
      </c>
      <c r="D2762" t="s">
        <v>15678</v>
      </c>
      <c r="E2762" t="s">
        <v>15679</v>
      </c>
      <c r="G2762" t="s">
        <v>15677</v>
      </c>
      <c r="H2762" t="s">
        <v>7498</v>
      </c>
      <c r="J2762" t="s">
        <v>15680</v>
      </c>
      <c r="L2762" t="s">
        <v>142</v>
      </c>
      <c r="M2762" t="s">
        <v>113</v>
      </c>
      <c r="R2762" t="s">
        <v>15681</v>
      </c>
      <c r="W2762" t="s">
        <v>15682</v>
      </c>
      <c r="Y2762" t="s">
        <v>116</v>
      </c>
      <c r="Z2762" t="s">
        <v>117</v>
      </c>
      <c r="AA2762" t="str">
        <f>"14214-2692"</f>
        <v>14214-2692</v>
      </c>
      <c r="AB2762" t="s">
        <v>118</v>
      </c>
      <c r="AC2762" t="s">
        <v>119</v>
      </c>
      <c r="AD2762" t="s">
        <v>113</v>
      </c>
      <c r="AE2762" t="s">
        <v>120</v>
      </c>
      <c r="AG2762" t="s">
        <v>121</v>
      </c>
    </row>
    <row r="2763" spans="1:33" x14ac:dyDescent="0.25">
      <c r="A2763" t="str">
        <f>"1760461735"</f>
        <v>1760461735</v>
      </c>
      <c r="B2763" t="str">
        <f>"02564029"</f>
        <v>02564029</v>
      </c>
      <c r="C2763" t="s">
        <v>15683</v>
      </c>
      <c r="D2763" t="s">
        <v>15684</v>
      </c>
      <c r="E2763" t="s">
        <v>15685</v>
      </c>
      <c r="G2763" t="s">
        <v>15683</v>
      </c>
      <c r="H2763" t="s">
        <v>205</v>
      </c>
      <c r="J2763" t="s">
        <v>15686</v>
      </c>
      <c r="L2763" t="s">
        <v>150</v>
      </c>
      <c r="M2763" t="s">
        <v>113</v>
      </c>
      <c r="R2763" t="s">
        <v>15687</v>
      </c>
      <c r="W2763" t="s">
        <v>15685</v>
      </c>
      <c r="X2763" t="s">
        <v>4856</v>
      </c>
      <c r="Y2763" t="s">
        <v>326</v>
      </c>
      <c r="Z2763" t="s">
        <v>117</v>
      </c>
      <c r="AA2763" t="str">
        <f>"14127-1506"</f>
        <v>14127-1506</v>
      </c>
      <c r="AB2763" t="s">
        <v>118</v>
      </c>
      <c r="AC2763" t="s">
        <v>119</v>
      </c>
      <c r="AD2763" t="s">
        <v>113</v>
      </c>
      <c r="AE2763" t="s">
        <v>120</v>
      </c>
      <c r="AG2763" t="s">
        <v>121</v>
      </c>
    </row>
    <row r="2764" spans="1:33" x14ac:dyDescent="0.25">
      <c r="A2764" t="str">
        <f>"1700015096"</f>
        <v>1700015096</v>
      </c>
      <c r="B2764" t="str">
        <f>"03487432"</f>
        <v>03487432</v>
      </c>
      <c r="C2764" t="s">
        <v>15688</v>
      </c>
      <c r="D2764" t="s">
        <v>15689</v>
      </c>
      <c r="E2764" t="s">
        <v>15690</v>
      </c>
      <c r="G2764" t="s">
        <v>15691</v>
      </c>
      <c r="H2764" t="s">
        <v>6733</v>
      </c>
      <c r="L2764" t="s">
        <v>150</v>
      </c>
      <c r="M2764" t="s">
        <v>199</v>
      </c>
      <c r="R2764" t="s">
        <v>15692</v>
      </c>
      <c r="W2764" t="s">
        <v>15690</v>
      </c>
      <c r="X2764" t="s">
        <v>855</v>
      </c>
      <c r="Y2764" t="s">
        <v>116</v>
      </c>
      <c r="Z2764" t="s">
        <v>117</v>
      </c>
      <c r="AA2764" t="str">
        <f>"14213-1573"</f>
        <v>14213-1573</v>
      </c>
      <c r="AB2764" t="s">
        <v>118</v>
      </c>
      <c r="AC2764" t="s">
        <v>119</v>
      </c>
      <c r="AD2764" t="s">
        <v>113</v>
      </c>
      <c r="AE2764" t="s">
        <v>120</v>
      </c>
      <c r="AG2764" t="s">
        <v>121</v>
      </c>
    </row>
    <row r="2765" spans="1:33" x14ac:dyDescent="0.25">
      <c r="A2765" t="str">
        <f>"1700023579"</f>
        <v>1700023579</v>
      </c>
      <c r="B2765" t="str">
        <f>"03602715"</f>
        <v>03602715</v>
      </c>
      <c r="C2765" t="s">
        <v>15693</v>
      </c>
      <c r="D2765" t="s">
        <v>15694</v>
      </c>
      <c r="E2765" t="s">
        <v>15695</v>
      </c>
      <c r="G2765" t="s">
        <v>15693</v>
      </c>
      <c r="J2765" t="s">
        <v>15696</v>
      </c>
      <c r="L2765" t="s">
        <v>142</v>
      </c>
      <c r="M2765" t="s">
        <v>113</v>
      </c>
      <c r="R2765" t="s">
        <v>15695</v>
      </c>
      <c r="W2765" t="s">
        <v>15695</v>
      </c>
      <c r="X2765" t="s">
        <v>4607</v>
      </c>
      <c r="Y2765" t="s">
        <v>116</v>
      </c>
      <c r="Z2765" t="s">
        <v>117</v>
      </c>
      <c r="AA2765" t="str">
        <f>"14215-1145"</f>
        <v>14215-1145</v>
      </c>
      <c r="AB2765" t="s">
        <v>118</v>
      </c>
      <c r="AC2765" t="s">
        <v>119</v>
      </c>
      <c r="AD2765" t="s">
        <v>113</v>
      </c>
      <c r="AE2765" t="s">
        <v>120</v>
      </c>
      <c r="AG2765" t="s">
        <v>121</v>
      </c>
    </row>
    <row r="2766" spans="1:33" x14ac:dyDescent="0.25">
      <c r="A2766" t="str">
        <f>"1700025418"</f>
        <v>1700025418</v>
      </c>
      <c r="C2766" t="s">
        <v>15697</v>
      </c>
      <c r="G2766" t="s">
        <v>15698</v>
      </c>
      <c r="J2766" t="s">
        <v>352</v>
      </c>
      <c r="K2766" t="s">
        <v>303</v>
      </c>
      <c r="L2766" t="s">
        <v>229</v>
      </c>
      <c r="M2766" t="s">
        <v>113</v>
      </c>
      <c r="R2766" t="s">
        <v>15699</v>
      </c>
      <c r="S2766" t="s">
        <v>10146</v>
      </c>
      <c r="T2766" t="s">
        <v>663</v>
      </c>
      <c r="U2766" t="s">
        <v>117</v>
      </c>
      <c r="V2766" t="str">
        <f>"140943708"</f>
        <v>140943708</v>
      </c>
      <c r="AC2766" t="s">
        <v>119</v>
      </c>
      <c r="AD2766" t="s">
        <v>113</v>
      </c>
      <c r="AE2766" t="s">
        <v>306</v>
      </c>
      <c r="AG2766" t="s">
        <v>121</v>
      </c>
    </row>
    <row r="2767" spans="1:33" x14ac:dyDescent="0.25">
      <c r="A2767" t="str">
        <f>"1700028933"</f>
        <v>1700028933</v>
      </c>
      <c r="B2767" t="str">
        <f>"03103028"</f>
        <v>03103028</v>
      </c>
      <c r="C2767" t="s">
        <v>15700</v>
      </c>
      <c r="D2767" t="s">
        <v>15701</v>
      </c>
      <c r="E2767" t="s">
        <v>15702</v>
      </c>
      <c r="G2767" t="s">
        <v>15700</v>
      </c>
      <c r="H2767" t="s">
        <v>15703</v>
      </c>
      <c r="J2767" t="s">
        <v>15704</v>
      </c>
      <c r="L2767" t="s">
        <v>142</v>
      </c>
      <c r="M2767" t="s">
        <v>113</v>
      </c>
      <c r="R2767" t="s">
        <v>15705</v>
      </c>
      <c r="W2767" t="s">
        <v>15702</v>
      </c>
      <c r="X2767" t="s">
        <v>3705</v>
      </c>
      <c r="Y2767" t="s">
        <v>958</v>
      </c>
      <c r="Z2767" t="s">
        <v>117</v>
      </c>
      <c r="AA2767" t="str">
        <f>"14226-1727"</f>
        <v>14226-1727</v>
      </c>
      <c r="AB2767" t="s">
        <v>118</v>
      </c>
      <c r="AC2767" t="s">
        <v>119</v>
      </c>
      <c r="AD2767" t="s">
        <v>113</v>
      </c>
      <c r="AE2767" t="s">
        <v>120</v>
      </c>
      <c r="AG2767" t="s">
        <v>121</v>
      </c>
    </row>
    <row r="2768" spans="1:33" x14ac:dyDescent="0.25">
      <c r="A2768" t="str">
        <f>"1700034196"</f>
        <v>1700034196</v>
      </c>
      <c r="B2768" t="str">
        <f>"03531142"</f>
        <v>03531142</v>
      </c>
      <c r="C2768" t="s">
        <v>15706</v>
      </c>
      <c r="D2768" t="s">
        <v>15707</v>
      </c>
      <c r="E2768" t="s">
        <v>15708</v>
      </c>
      <c r="G2768" t="s">
        <v>15709</v>
      </c>
      <c r="J2768" t="s">
        <v>15710</v>
      </c>
      <c r="L2768" t="s">
        <v>142</v>
      </c>
      <c r="M2768" t="s">
        <v>199</v>
      </c>
      <c r="R2768" t="s">
        <v>15711</v>
      </c>
      <c r="W2768" t="s">
        <v>15708</v>
      </c>
      <c r="X2768" t="s">
        <v>13956</v>
      </c>
      <c r="Y2768" t="s">
        <v>240</v>
      </c>
      <c r="Z2768" t="s">
        <v>117</v>
      </c>
      <c r="AA2768" t="str">
        <f>"14221-8208"</f>
        <v>14221-8208</v>
      </c>
      <c r="AB2768" t="s">
        <v>118</v>
      </c>
      <c r="AC2768" t="s">
        <v>119</v>
      </c>
      <c r="AD2768" t="s">
        <v>113</v>
      </c>
      <c r="AE2768" t="s">
        <v>120</v>
      </c>
      <c r="AG2768" t="s">
        <v>121</v>
      </c>
    </row>
    <row r="2769" spans="1:33" x14ac:dyDescent="0.25">
      <c r="A2769" t="str">
        <f>"1700071941"</f>
        <v>1700071941</v>
      </c>
      <c r="C2769" t="s">
        <v>15712</v>
      </c>
      <c r="G2769" t="s">
        <v>15713</v>
      </c>
      <c r="H2769" t="s">
        <v>15714</v>
      </c>
      <c r="J2769" t="s">
        <v>352</v>
      </c>
      <c r="K2769" t="s">
        <v>303</v>
      </c>
      <c r="L2769" t="s">
        <v>229</v>
      </c>
      <c r="M2769" t="s">
        <v>113</v>
      </c>
      <c r="R2769" t="s">
        <v>15715</v>
      </c>
      <c r="S2769" t="s">
        <v>6194</v>
      </c>
      <c r="T2769" t="s">
        <v>153</v>
      </c>
      <c r="U2769" t="s">
        <v>117</v>
      </c>
      <c r="V2769" t="str">
        <f>"143041550"</f>
        <v>143041550</v>
      </c>
      <c r="AC2769" t="s">
        <v>119</v>
      </c>
      <c r="AD2769" t="s">
        <v>113</v>
      </c>
      <c r="AE2769" t="s">
        <v>306</v>
      </c>
      <c r="AG2769" t="s">
        <v>121</v>
      </c>
    </row>
    <row r="2770" spans="1:33" x14ac:dyDescent="0.25">
      <c r="A2770" t="str">
        <f>"1700077278"</f>
        <v>1700077278</v>
      </c>
      <c r="B2770" t="str">
        <f>"02904007"</f>
        <v>02904007</v>
      </c>
      <c r="C2770" t="s">
        <v>15716</v>
      </c>
      <c r="D2770" t="s">
        <v>15717</v>
      </c>
      <c r="E2770" t="s">
        <v>15718</v>
      </c>
      <c r="G2770" t="s">
        <v>15716</v>
      </c>
      <c r="H2770" t="s">
        <v>693</v>
      </c>
      <c r="J2770" t="s">
        <v>15719</v>
      </c>
      <c r="L2770" t="s">
        <v>142</v>
      </c>
      <c r="M2770" t="s">
        <v>113</v>
      </c>
      <c r="R2770" t="s">
        <v>15720</v>
      </c>
      <c r="W2770" t="s">
        <v>15718</v>
      </c>
      <c r="X2770" t="s">
        <v>1648</v>
      </c>
      <c r="Y2770" t="s">
        <v>116</v>
      </c>
      <c r="Z2770" t="s">
        <v>117</v>
      </c>
      <c r="AA2770" t="str">
        <f>"14214-2648"</f>
        <v>14214-2648</v>
      </c>
      <c r="AB2770" t="s">
        <v>118</v>
      </c>
      <c r="AC2770" t="s">
        <v>119</v>
      </c>
      <c r="AD2770" t="s">
        <v>113</v>
      </c>
      <c r="AE2770" t="s">
        <v>120</v>
      </c>
      <c r="AG2770" t="s">
        <v>121</v>
      </c>
    </row>
    <row r="2771" spans="1:33" x14ac:dyDescent="0.25">
      <c r="A2771" t="str">
        <f>"1861564221"</f>
        <v>1861564221</v>
      </c>
      <c r="B2771" t="str">
        <f>"02997726"</f>
        <v>02997726</v>
      </c>
      <c r="C2771" t="s">
        <v>21292</v>
      </c>
      <c r="D2771" t="s">
        <v>21293</v>
      </c>
      <c r="E2771" t="s">
        <v>21294</v>
      </c>
      <c r="G2771" t="s">
        <v>7169</v>
      </c>
      <c r="H2771" t="s">
        <v>21295</v>
      </c>
      <c r="J2771" t="s">
        <v>7171</v>
      </c>
      <c r="L2771" t="s">
        <v>15855</v>
      </c>
      <c r="M2771" t="s">
        <v>199</v>
      </c>
      <c r="R2771" t="s">
        <v>21292</v>
      </c>
      <c r="W2771" t="s">
        <v>21296</v>
      </c>
      <c r="X2771" t="s">
        <v>21297</v>
      </c>
      <c r="Y2771" t="s">
        <v>318</v>
      </c>
      <c r="Z2771" t="s">
        <v>117</v>
      </c>
      <c r="AA2771" t="str">
        <f>"14227-2728"</f>
        <v>14227-2728</v>
      </c>
      <c r="AB2771" t="s">
        <v>291</v>
      </c>
      <c r="AC2771" t="s">
        <v>119</v>
      </c>
      <c r="AD2771" t="s">
        <v>113</v>
      </c>
      <c r="AE2771" t="s">
        <v>120</v>
      </c>
      <c r="AG2771" t="s">
        <v>121</v>
      </c>
    </row>
    <row r="2772" spans="1:33" x14ac:dyDescent="0.25">
      <c r="A2772" t="str">
        <f>"1700079449"</f>
        <v>1700079449</v>
      </c>
      <c r="B2772" t="str">
        <f>"02288902"</f>
        <v>02288902</v>
      </c>
      <c r="C2772" t="s">
        <v>15729</v>
      </c>
      <c r="D2772" t="s">
        <v>15730</v>
      </c>
      <c r="E2772" t="s">
        <v>15731</v>
      </c>
      <c r="G2772" t="s">
        <v>15732</v>
      </c>
      <c r="H2772" t="s">
        <v>15733</v>
      </c>
      <c r="J2772" t="s">
        <v>15734</v>
      </c>
      <c r="L2772" t="s">
        <v>112</v>
      </c>
      <c r="M2772" t="s">
        <v>113</v>
      </c>
      <c r="R2772" t="s">
        <v>15735</v>
      </c>
      <c r="W2772" t="s">
        <v>15731</v>
      </c>
      <c r="X2772" t="s">
        <v>838</v>
      </c>
      <c r="Y2772" t="s">
        <v>240</v>
      </c>
      <c r="Z2772" t="s">
        <v>117</v>
      </c>
      <c r="AA2772" t="str">
        <f>"14221-3647"</f>
        <v>14221-3647</v>
      </c>
      <c r="AB2772" t="s">
        <v>118</v>
      </c>
      <c r="AC2772" t="s">
        <v>119</v>
      </c>
      <c r="AD2772" t="s">
        <v>113</v>
      </c>
      <c r="AE2772" t="s">
        <v>120</v>
      </c>
      <c r="AG2772" t="s">
        <v>121</v>
      </c>
    </row>
    <row r="2773" spans="1:33" x14ac:dyDescent="0.25">
      <c r="A2773" t="str">
        <f>"1700083276"</f>
        <v>1700083276</v>
      </c>
      <c r="B2773" t="str">
        <f>"02893401"</f>
        <v>02893401</v>
      </c>
      <c r="C2773" t="s">
        <v>15736</v>
      </c>
      <c r="D2773" t="s">
        <v>15737</v>
      </c>
      <c r="E2773" t="s">
        <v>15738</v>
      </c>
      <c r="G2773" t="s">
        <v>15736</v>
      </c>
      <c r="H2773" t="s">
        <v>15739</v>
      </c>
      <c r="J2773" t="s">
        <v>15740</v>
      </c>
      <c r="L2773" t="s">
        <v>142</v>
      </c>
      <c r="M2773" t="s">
        <v>113</v>
      </c>
      <c r="R2773" t="s">
        <v>15741</v>
      </c>
      <c r="W2773" t="s">
        <v>15738</v>
      </c>
      <c r="X2773" t="s">
        <v>1648</v>
      </c>
      <c r="Y2773" t="s">
        <v>116</v>
      </c>
      <c r="Z2773" t="s">
        <v>117</v>
      </c>
      <c r="AA2773" t="str">
        <f>"14214-2648"</f>
        <v>14214-2648</v>
      </c>
      <c r="AB2773" t="s">
        <v>118</v>
      </c>
      <c r="AC2773" t="s">
        <v>119</v>
      </c>
      <c r="AD2773" t="s">
        <v>113</v>
      </c>
      <c r="AE2773" t="s">
        <v>120</v>
      </c>
      <c r="AG2773" t="s">
        <v>121</v>
      </c>
    </row>
    <row r="2774" spans="1:33" x14ac:dyDescent="0.25">
      <c r="A2774" t="str">
        <f>"1700089596"</f>
        <v>1700089596</v>
      </c>
      <c r="B2774" t="str">
        <f>"03221294"</f>
        <v>03221294</v>
      </c>
      <c r="C2774" t="s">
        <v>15742</v>
      </c>
      <c r="D2774" t="s">
        <v>15743</v>
      </c>
      <c r="E2774" t="s">
        <v>15744</v>
      </c>
      <c r="G2774" t="s">
        <v>15742</v>
      </c>
      <c r="H2774" t="s">
        <v>1308</v>
      </c>
      <c r="J2774" t="s">
        <v>15745</v>
      </c>
      <c r="L2774" t="s">
        <v>142</v>
      </c>
      <c r="M2774" t="s">
        <v>113</v>
      </c>
      <c r="R2774" t="s">
        <v>15744</v>
      </c>
      <c r="W2774" t="s">
        <v>15746</v>
      </c>
      <c r="X2774" t="s">
        <v>216</v>
      </c>
      <c r="Y2774" t="s">
        <v>116</v>
      </c>
      <c r="Z2774" t="s">
        <v>117</v>
      </c>
      <c r="AA2774" t="str">
        <f>"14222-2006"</f>
        <v>14222-2006</v>
      </c>
      <c r="AB2774" t="s">
        <v>118</v>
      </c>
      <c r="AC2774" t="s">
        <v>119</v>
      </c>
      <c r="AD2774" t="s">
        <v>113</v>
      </c>
      <c r="AE2774" t="s">
        <v>120</v>
      </c>
      <c r="AG2774" t="s">
        <v>121</v>
      </c>
    </row>
    <row r="2775" spans="1:33" x14ac:dyDescent="0.25">
      <c r="A2775" t="str">
        <f>"1700179827"</f>
        <v>1700179827</v>
      </c>
      <c r="B2775" t="str">
        <f>"03921542"</f>
        <v>03921542</v>
      </c>
      <c r="C2775" t="s">
        <v>15747</v>
      </c>
      <c r="D2775" t="s">
        <v>15748</v>
      </c>
      <c r="E2775" t="s">
        <v>15749</v>
      </c>
      <c r="G2775" t="s">
        <v>15747</v>
      </c>
      <c r="H2775" t="s">
        <v>15750</v>
      </c>
      <c r="J2775" t="s">
        <v>15751</v>
      </c>
      <c r="L2775" t="s">
        <v>150</v>
      </c>
      <c r="M2775" t="s">
        <v>113</v>
      </c>
      <c r="R2775" t="s">
        <v>15752</v>
      </c>
      <c r="W2775" t="s">
        <v>15749</v>
      </c>
      <c r="X2775" t="s">
        <v>253</v>
      </c>
      <c r="Y2775" t="s">
        <v>116</v>
      </c>
      <c r="Z2775" t="s">
        <v>117</v>
      </c>
      <c r="AA2775" t="str">
        <f>"14215-3021"</f>
        <v>14215-3021</v>
      </c>
      <c r="AB2775" t="s">
        <v>118</v>
      </c>
      <c r="AC2775" t="s">
        <v>119</v>
      </c>
      <c r="AD2775" t="s">
        <v>113</v>
      </c>
      <c r="AE2775" t="s">
        <v>120</v>
      </c>
      <c r="AG2775" t="s">
        <v>121</v>
      </c>
    </row>
    <row r="2776" spans="1:33" x14ac:dyDescent="0.25">
      <c r="A2776" t="str">
        <f>"1700202520"</f>
        <v>1700202520</v>
      </c>
      <c r="B2776" t="str">
        <f>"03820486"</f>
        <v>03820486</v>
      </c>
      <c r="C2776" t="s">
        <v>15753</v>
      </c>
      <c r="D2776" t="s">
        <v>15754</v>
      </c>
      <c r="E2776" t="s">
        <v>15755</v>
      </c>
      <c r="G2776" t="s">
        <v>15756</v>
      </c>
      <c r="H2776" t="s">
        <v>15757</v>
      </c>
      <c r="J2776" t="s">
        <v>15758</v>
      </c>
      <c r="L2776" t="s">
        <v>150</v>
      </c>
      <c r="M2776" t="s">
        <v>113</v>
      </c>
      <c r="R2776" t="s">
        <v>15759</v>
      </c>
      <c r="W2776" t="s">
        <v>15755</v>
      </c>
      <c r="X2776" t="s">
        <v>15760</v>
      </c>
      <c r="Y2776" t="s">
        <v>116</v>
      </c>
      <c r="Z2776" t="s">
        <v>117</v>
      </c>
      <c r="AA2776" t="str">
        <f>"14207-1816"</f>
        <v>14207-1816</v>
      </c>
      <c r="AB2776" t="s">
        <v>118</v>
      </c>
      <c r="AC2776" t="s">
        <v>119</v>
      </c>
      <c r="AD2776" t="s">
        <v>113</v>
      </c>
      <c r="AE2776" t="s">
        <v>120</v>
      </c>
      <c r="AG2776" t="s">
        <v>121</v>
      </c>
    </row>
    <row r="2777" spans="1:33" x14ac:dyDescent="0.25">
      <c r="A2777" t="str">
        <f>"1700803731"</f>
        <v>1700803731</v>
      </c>
      <c r="C2777" t="s">
        <v>15761</v>
      </c>
      <c r="G2777" t="s">
        <v>15761</v>
      </c>
      <c r="H2777" t="s">
        <v>1157</v>
      </c>
      <c r="J2777" t="s">
        <v>15762</v>
      </c>
      <c r="K2777" t="s">
        <v>303</v>
      </c>
      <c r="L2777" t="s">
        <v>229</v>
      </c>
      <c r="M2777" t="s">
        <v>113</v>
      </c>
      <c r="R2777" t="s">
        <v>15763</v>
      </c>
      <c r="S2777" t="s">
        <v>176</v>
      </c>
      <c r="T2777" t="s">
        <v>116</v>
      </c>
      <c r="U2777" t="s">
        <v>117</v>
      </c>
      <c r="V2777" t="str">
        <f>"142031126"</f>
        <v>142031126</v>
      </c>
      <c r="AC2777" t="s">
        <v>119</v>
      </c>
      <c r="AD2777" t="s">
        <v>113</v>
      </c>
      <c r="AE2777" t="s">
        <v>306</v>
      </c>
      <c r="AG2777" t="s">
        <v>121</v>
      </c>
    </row>
    <row r="2778" spans="1:33" x14ac:dyDescent="0.25">
      <c r="A2778" t="str">
        <f>"1700805637"</f>
        <v>1700805637</v>
      </c>
      <c r="B2778" t="str">
        <f>"02658419"</f>
        <v>02658419</v>
      </c>
      <c r="C2778" t="s">
        <v>15764</v>
      </c>
      <c r="D2778" t="s">
        <v>15765</v>
      </c>
      <c r="E2778" t="s">
        <v>15766</v>
      </c>
      <c r="G2778" t="s">
        <v>15764</v>
      </c>
      <c r="H2778" t="s">
        <v>1157</v>
      </c>
      <c r="J2778" t="s">
        <v>15767</v>
      </c>
      <c r="L2778" t="s">
        <v>142</v>
      </c>
      <c r="M2778" t="s">
        <v>113</v>
      </c>
      <c r="R2778" t="s">
        <v>15768</v>
      </c>
      <c r="W2778" t="s">
        <v>15766</v>
      </c>
      <c r="X2778" t="s">
        <v>176</v>
      </c>
      <c r="Y2778" t="s">
        <v>116</v>
      </c>
      <c r="Z2778" t="s">
        <v>117</v>
      </c>
      <c r="AA2778" t="str">
        <f>"14203-1126"</f>
        <v>14203-1126</v>
      </c>
      <c r="AB2778" t="s">
        <v>118</v>
      </c>
      <c r="AC2778" t="s">
        <v>119</v>
      </c>
      <c r="AD2778" t="s">
        <v>113</v>
      </c>
      <c r="AE2778" t="s">
        <v>120</v>
      </c>
      <c r="AG2778" t="s">
        <v>121</v>
      </c>
    </row>
    <row r="2779" spans="1:33" x14ac:dyDescent="0.25">
      <c r="A2779" t="str">
        <f>"1700809530"</f>
        <v>1700809530</v>
      </c>
      <c r="B2779" t="str">
        <f>"01795257"</f>
        <v>01795257</v>
      </c>
      <c r="C2779" t="s">
        <v>15769</v>
      </c>
      <c r="D2779" t="s">
        <v>15770</v>
      </c>
      <c r="E2779" t="s">
        <v>15771</v>
      </c>
      <c r="G2779" t="s">
        <v>15769</v>
      </c>
      <c r="H2779" t="s">
        <v>4553</v>
      </c>
      <c r="J2779" t="s">
        <v>15772</v>
      </c>
      <c r="L2779" t="s">
        <v>142</v>
      </c>
      <c r="M2779" t="s">
        <v>113</v>
      </c>
      <c r="R2779" t="s">
        <v>15773</v>
      </c>
      <c r="W2779" t="s">
        <v>15771</v>
      </c>
      <c r="X2779" t="s">
        <v>14691</v>
      </c>
      <c r="Y2779" t="s">
        <v>116</v>
      </c>
      <c r="Z2779" t="s">
        <v>117</v>
      </c>
      <c r="AA2779" t="str">
        <f>"14201-1435"</f>
        <v>14201-1435</v>
      </c>
      <c r="AB2779" t="s">
        <v>118</v>
      </c>
      <c r="AC2779" t="s">
        <v>119</v>
      </c>
      <c r="AD2779" t="s">
        <v>113</v>
      </c>
      <c r="AE2779" t="s">
        <v>120</v>
      </c>
      <c r="AG2779" t="s">
        <v>121</v>
      </c>
    </row>
    <row r="2780" spans="1:33" x14ac:dyDescent="0.25">
      <c r="A2780" t="str">
        <f>"1487738886"</f>
        <v>1487738886</v>
      </c>
      <c r="B2780" t="str">
        <f>"02995848"</f>
        <v>02995848</v>
      </c>
      <c r="C2780" t="s">
        <v>971</v>
      </c>
      <c r="D2780" t="s">
        <v>972</v>
      </c>
      <c r="E2780" t="s">
        <v>973</v>
      </c>
      <c r="G2780" t="s">
        <v>971</v>
      </c>
      <c r="H2780" t="s">
        <v>1746</v>
      </c>
      <c r="L2780" t="s">
        <v>975</v>
      </c>
      <c r="M2780" t="s">
        <v>199</v>
      </c>
      <c r="R2780" t="s">
        <v>971</v>
      </c>
      <c r="W2780" t="s">
        <v>971</v>
      </c>
      <c r="X2780" t="s">
        <v>1747</v>
      </c>
      <c r="Y2780" t="s">
        <v>541</v>
      </c>
      <c r="Z2780" t="s">
        <v>117</v>
      </c>
      <c r="AA2780" t="str">
        <f>"14048-2125"</f>
        <v>14048-2125</v>
      </c>
      <c r="AB2780" t="s">
        <v>1460</v>
      </c>
      <c r="AC2780" t="s">
        <v>119</v>
      </c>
      <c r="AD2780" t="s">
        <v>113</v>
      </c>
      <c r="AE2780" t="s">
        <v>120</v>
      </c>
      <c r="AG2780" t="s">
        <v>121</v>
      </c>
    </row>
    <row r="2781" spans="1:33" x14ac:dyDescent="0.25">
      <c r="A2781" t="str">
        <f>"1275575920"</f>
        <v>1275575920</v>
      </c>
      <c r="B2781" t="str">
        <f>"02628393"</f>
        <v>02628393</v>
      </c>
      <c r="C2781" t="s">
        <v>15774</v>
      </c>
      <c r="D2781" t="s">
        <v>15775</v>
      </c>
      <c r="E2781" t="s">
        <v>15776</v>
      </c>
      <c r="G2781" t="s">
        <v>15774</v>
      </c>
      <c r="H2781" t="s">
        <v>5118</v>
      </c>
      <c r="J2781" t="s">
        <v>15777</v>
      </c>
      <c r="L2781" t="s">
        <v>728</v>
      </c>
      <c r="M2781" t="s">
        <v>113</v>
      </c>
      <c r="R2781" t="s">
        <v>15778</v>
      </c>
      <c r="W2781" t="s">
        <v>15779</v>
      </c>
      <c r="X2781" t="s">
        <v>2607</v>
      </c>
      <c r="Y2781" t="s">
        <v>116</v>
      </c>
      <c r="Z2781" t="s">
        <v>117</v>
      </c>
      <c r="AA2781" t="str">
        <f>"14203-1149"</f>
        <v>14203-1149</v>
      </c>
      <c r="AB2781" t="s">
        <v>118</v>
      </c>
      <c r="AC2781" t="s">
        <v>119</v>
      </c>
      <c r="AD2781" t="s">
        <v>113</v>
      </c>
      <c r="AE2781" t="s">
        <v>120</v>
      </c>
      <c r="AG2781" t="s">
        <v>121</v>
      </c>
    </row>
    <row r="2782" spans="1:33" x14ac:dyDescent="0.25">
      <c r="A2782" t="str">
        <f>"1275581431"</f>
        <v>1275581431</v>
      </c>
      <c r="B2782" t="str">
        <f>"01843287"</f>
        <v>01843287</v>
      </c>
      <c r="C2782" t="s">
        <v>15780</v>
      </c>
      <c r="D2782" t="s">
        <v>15781</v>
      </c>
      <c r="E2782" t="s">
        <v>15782</v>
      </c>
      <c r="G2782" t="s">
        <v>15783</v>
      </c>
      <c r="H2782" t="s">
        <v>205</v>
      </c>
      <c r="J2782" t="s">
        <v>15784</v>
      </c>
      <c r="L2782" t="s">
        <v>112</v>
      </c>
      <c r="M2782" t="s">
        <v>113</v>
      </c>
      <c r="R2782" t="s">
        <v>15785</v>
      </c>
      <c r="W2782" t="s">
        <v>15782</v>
      </c>
      <c r="X2782" t="s">
        <v>2607</v>
      </c>
      <c r="Y2782" t="s">
        <v>116</v>
      </c>
      <c r="Z2782" t="s">
        <v>117</v>
      </c>
      <c r="AA2782" t="str">
        <f>"14203-1149"</f>
        <v>14203-1149</v>
      </c>
      <c r="AB2782" t="s">
        <v>118</v>
      </c>
      <c r="AC2782" t="s">
        <v>119</v>
      </c>
      <c r="AD2782" t="s">
        <v>113</v>
      </c>
      <c r="AE2782" t="s">
        <v>120</v>
      </c>
      <c r="AG2782" t="s">
        <v>121</v>
      </c>
    </row>
    <row r="2783" spans="1:33" x14ac:dyDescent="0.25">
      <c r="A2783" t="str">
        <f>"1275582744"</f>
        <v>1275582744</v>
      </c>
      <c r="B2783" t="str">
        <f>"00672720"</f>
        <v>00672720</v>
      </c>
      <c r="C2783" t="s">
        <v>15786</v>
      </c>
      <c r="D2783" t="s">
        <v>15787</v>
      </c>
      <c r="E2783" t="s">
        <v>15788</v>
      </c>
      <c r="G2783" t="s">
        <v>15786</v>
      </c>
      <c r="J2783" t="s">
        <v>15789</v>
      </c>
      <c r="L2783" t="s">
        <v>142</v>
      </c>
      <c r="M2783" t="s">
        <v>113</v>
      </c>
      <c r="R2783" t="s">
        <v>15790</v>
      </c>
      <c r="W2783" t="s">
        <v>15791</v>
      </c>
      <c r="X2783" t="s">
        <v>6228</v>
      </c>
      <c r="Y2783" t="s">
        <v>116</v>
      </c>
      <c r="Z2783" t="s">
        <v>117</v>
      </c>
      <c r="AA2783" t="str">
        <f>"14203-1154"</f>
        <v>14203-1154</v>
      </c>
      <c r="AB2783" t="s">
        <v>118</v>
      </c>
      <c r="AC2783" t="s">
        <v>119</v>
      </c>
      <c r="AD2783" t="s">
        <v>113</v>
      </c>
      <c r="AE2783" t="s">
        <v>120</v>
      </c>
      <c r="AG2783" t="s">
        <v>121</v>
      </c>
    </row>
    <row r="2784" spans="1:33" x14ac:dyDescent="0.25">
      <c r="A2784" t="str">
        <f>"1275582983"</f>
        <v>1275582983</v>
      </c>
      <c r="B2784" t="str">
        <f>"00714127"</f>
        <v>00714127</v>
      </c>
      <c r="C2784" t="s">
        <v>15792</v>
      </c>
      <c r="D2784" t="s">
        <v>15793</v>
      </c>
      <c r="E2784" t="s">
        <v>15794</v>
      </c>
      <c r="G2784" t="s">
        <v>14458</v>
      </c>
      <c r="H2784" t="s">
        <v>15795</v>
      </c>
      <c r="J2784" t="s">
        <v>14460</v>
      </c>
      <c r="L2784" t="s">
        <v>728</v>
      </c>
      <c r="M2784" t="s">
        <v>113</v>
      </c>
      <c r="W2784" t="s">
        <v>15794</v>
      </c>
      <c r="X2784" t="s">
        <v>11034</v>
      </c>
      <c r="Y2784" t="s">
        <v>116</v>
      </c>
      <c r="Z2784" t="s">
        <v>117</v>
      </c>
      <c r="AA2784" t="str">
        <f>"14203-1154"</f>
        <v>14203-1154</v>
      </c>
      <c r="AB2784" t="s">
        <v>118</v>
      </c>
      <c r="AC2784" t="s">
        <v>119</v>
      </c>
      <c r="AD2784" t="s">
        <v>113</v>
      </c>
      <c r="AE2784" t="s">
        <v>120</v>
      </c>
      <c r="AG2784" t="s">
        <v>121</v>
      </c>
    </row>
    <row r="2785" spans="1:33" x14ac:dyDescent="0.25">
      <c r="A2785" t="str">
        <f>"1275585549"</f>
        <v>1275585549</v>
      </c>
      <c r="B2785" t="str">
        <f>"01993604"</f>
        <v>01993604</v>
      </c>
      <c r="C2785" t="s">
        <v>15796</v>
      </c>
      <c r="D2785" t="s">
        <v>15797</v>
      </c>
      <c r="E2785" t="s">
        <v>15798</v>
      </c>
      <c r="G2785" t="s">
        <v>15799</v>
      </c>
      <c r="H2785" t="s">
        <v>1478</v>
      </c>
      <c r="J2785" t="s">
        <v>15800</v>
      </c>
      <c r="L2785" t="s">
        <v>142</v>
      </c>
      <c r="M2785" t="s">
        <v>113</v>
      </c>
      <c r="R2785" t="s">
        <v>15801</v>
      </c>
      <c r="W2785" t="s">
        <v>15798</v>
      </c>
      <c r="X2785" t="s">
        <v>15802</v>
      </c>
      <c r="Y2785" t="s">
        <v>4071</v>
      </c>
      <c r="Z2785" t="s">
        <v>117</v>
      </c>
      <c r="AA2785" t="str">
        <f>"14070-1408"</f>
        <v>14070-1408</v>
      </c>
      <c r="AB2785" t="s">
        <v>118</v>
      </c>
      <c r="AC2785" t="s">
        <v>119</v>
      </c>
      <c r="AD2785" t="s">
        <v>113</v>
      </c>
      <c r="AE2785" t="s">
        <v>120</v>
      </c>
      <c r="AG2785" t="s">
        <v>121</v>
      </c>
    </row>
    <row r="2786" spans="1:33" x14ac:dyDescent="0.25">
      <c r="A2786" t="str">
        <f>"1275590580"</f>
        <v>1275590580</v>
      </c>
      <c r="B2786" t="str">
        <f>"02659112"</f>
        <v>02659112</v>
      </c>
      <c r="C2786" t="s">
        <v>15803</v>
      </c>
      <c r="D2786" t="s">
        <v>15804</v>
      </c>
      <c r="E2786" t="s">
        <v>15805</v>
      </c>
      <c r="G2786" t="s">
        <v>15806</v>
      </c>
      <c r="H2786" t="s">
        <v>15807</v>
      </c>
      <c r="J2786" t="s">
        <v>15808</v>
      </c>
      <c r="L2786" t="s">
        <v>112</v>
      </c>
      <c r="M2786" t="s">
        <v>113</v>
      </c>
      <c r="R2786" t="s">
        <v>15809</v>
      </c>
      <c r="W2786" t="s">
        <v>15805</v>
      </c>
      <c r="X2786" t="s">
        <v>11453</v>
      </c>
      <c r="Y2786" t="s">
        <v>958</v>
      </c>
      <c r="Z2786" t="s">
        <v>117</v>
      </c>
      <c r="AA2786" t="str">
        <f>"14226-1855"</f>
        <v>14226-1855</v>
      </c>
      <c r="AB2786" t="s">
        <v>118</v>
      </c>
      <c r="AC2786" t="s">
        <v>119</v>
      </c>
      <c r="AD2786" t="s">
        <v>113</v>
      </c>
      <c r="AE2786" t="s">
        <v>120</v>
      </c>
      <c r="AG2786" t="s">
        <v>121</v>
      </c>
    </row>
    <row r="2787" spans="1:33" x14ac:dyDescent="0.25">
      <c r="A2787" t="str">
        <f>"1275597338"</f>
        <v>1275597338</v>
      </c>
      <c r="B2787" t="str">
        <f>"01356394"</f>
        <v>01356394</v>
      </c>
      <c r="C2787" t="s">
        <v>15810</v>
      </c>
      <c r="D2787" t="s">
        <v>15811</v>
      </c>
      <c r="E2787" t="s">
        <v>15812</v>
      </c>
      <c r="G2787" t="s">
        <v>15813</v>
      </c>
      <c r="H2787" t="s">
        <v>707</v>
      </c>
      <c r="J2787" t="s">
        <v>15814</v>
      </c>
      <c r="L2787" t="s">
        <v>112</v>
      </c>
      <c r="M2787" t="s">
        <v>113</v>
      </c>
      <c r="R2787" t="s">
        <v>15815</v>
      </c>
      <c r="W2787" t="s">
        <v>15812</v>
      </c>
      <c r="X2787" t="s">
        <v>136</v>
      </c>
      <c r="Y2787" t="s">
        <v>116</v>
      </c>
      <c r="Z2787" t="s">
        <v>117</v>
      </c>
      <c r="AA2787" t="str">
        <f>"14209-1194"</f>
        <v>14209-1194</v>
      </c>
      <c r="AB2787" t="s">
        <v>118</v>
      </c>
      <c r="AC2787" t="s">
        <v>119</v>
      </c>
      <c r="AD2787" t="s">
        <v>113</v>
      </c>
      <c r="AE2787" t="s">
        <v>120</v>
      </c>
      <c r="AG2787" t="s">
        <v>121</v>
      </c>
    </row>
    <row r="2788" spans="1:33" x14ac:dyDescent="0.25">
      <c r="A2788" t="str">
        <f>"1275663981"</f>
        <v>1275663981</v>
      </c>
      <c r="B2788" t="str">
        <f>"01430419"</f>
        <v>01430419</v>
      </c>
      <c r="C2788" t="s">
        <v>15816</v>
      </c>
      <c r="D2788" t="s">
        <v>15817</v>
      </c>
      <c r="E2788" t="s">
        <v>15818</v>
      </c>
      <c r="H2788" t="s">
        <v>15819</v>
      </c>
      <c r="L2788" t="s">
        <v>229</v>
      </c>
      <c r="M2788" t="s">
        <v>113</v>
      </c>
      <c r="R2788" t="s">
        <v>15816</v>
      </c>
      <c r="W2788" t="s">
        <v>15818</v>
      </c>
      <c r="X2788" t="s">
        <v>15820</v>
      </c>
      <c r="Y2788" t="s">
        <v>1767</v>
      </c>
      <c r="Z2788" t="s">
        <v>117</v>
      </c>
      <c r="AA2788" t="str">
        <f>"14779-1551"</f>
        <v>14779-1551</v>
      </c>
      <c r="AB2788" t="s">
        <v>1146</v>
      </c>
      <c r="AC2788" t="s">
        <v>119</v>
      </c>
      <c r="AD2788" t="s">
        <v>113</v>
      </c>
      <c r="AE2788" t="s">
        <v>120</v>
      </c>
      <c r="AG2788" t="s">
        <v>121</v>
      </c>
    </row>
    <row r="2789" spans="1:33" x14ac:dyDescent="0.25">
      <c r="A2789" t="str">
        <f>"1275701187"</f>
        <v>1275701187</v>
      </c>
      <c r="B2789" t="str">
        <f>"03454693"</f>
        <v>03454693</v>
      </c>
      <c r="C2789" t="s">
        <v>15821</v>
      </c>
      <c r="D2789" t="s">
        <v>15822</v>
      </c>
      <c r="E2789" t="s">
        <v>15823</v>
      </c>
      <c r="G2789" t="s">
        <v>15821</v>
      </c>
      <c r="H2789" t="s">
        <v>15824</v>
      </c>
      <c r="J2789" t="s">
        <v>15825</v>
      </c>
      <c r="L2789" t="s">
        <v>112</v>
      </c>
      <c r="M2789" t="s">
        <v>113</v>
      </c>
      <c r="R2789" t="s">
        <v>15826</v>
      </c>
      <c r="W2789" t="s">
        <v>15823</v>
      </c>
      <c r="X2789" t="s">
        <v>176</v>
      </c>
      <c r="Y2789" t="s">
        <v>116</v>
      </c>
      <c r="Z2789" t="s">
        <v>117</v>
      </c>
      <c r="AA2789" t="str">
        <f>"14203-1126"</f>
        <v>14203-1126</v>
      </c>
      <c r="AB2789" t="s">
        <v>118</v>
      </c>
      <c r="AC2789" t="s">
        <v>119</v>
      </c>
      <c r="AD2789" t="s">
        <v>113</v>
      </c>
      <c r="AE2789" t="s">
        <v>120</v>
      </c>
      <c r="AG2789" t="s">
        <v>121</v>
      </c>
    </row>
    <row r="2790" spans="1:33" x14ac:dyDescent="0.25">
      <c r="A2790" t="str">
        <f>"1275709164"</f>
        <v>1275709164</v>
      </c>
      <c r="B2790" t="str">
        <f>"02984545"</f>
        <v>02984545</v>
      </c>
      <c r="C2790" t="s">
        <v>15827</v>
      </c>
      <c r="D2790" t="s">
        <v>15828</v>
      </c>
      <c r="E2790" t="s">
        <v>15829</v>
      </c>
      <c r="G2790" t="s">
        <v>15827</v>
      </c>
      <c r="H2790" t="s">
        <v>205</v>
      </c>
      <c r="J2790" t="s">
        <v>15830</v>
      </c>
      <c r="L2790" t="s">
        <v>142</v>
      </c>
      <c r="M2790" t="s">
        <v>113</v>
      </c>
      <c r="R2790" t="s">
        <v>15831</v>
      </c>
      <c r="W2790" t="s">
        <v>15832</v>
      </c>
      <c r="X2790" t="s">
        <v>6289</v>
      </c>
      <c r="Y2790" t="s">
        <v>240</v>
      </c>
      <c r="Z2790" t="s">
        <v>117</v>
      </c>
      <c r="AA2790" t="str">
        <f>"14221-8216"</f>
        <v>14221-8216</v>
      </c>
      <c r="AB2790" t="s">
        <v>118</v>
      </c>
      <c r="AC2790" t="s">
        <v>119</v>
      </c>
      <c r="AD2790" t="s">
        <v>113</v>
      </c>
      <c r="AE2790" t="s">
        <v>120</v>
      </c>
      <c r="AG2790" t="s">
        <v>121</v>
      </c>
    </row>
    <row r="2791" spans="1:33" x14ac:dyDescent="0.25">
      <c r="A2791" t="str">
        <f>"1144303587"</f>
        <v>1144303587</v>
      </c>
      <c r="B2791" t="str">
        <f>"02313808"</f>
        <v>02313808</v>
      </c>
      <c r="C2791" t="s">
        <v>15833</v>
      </c>
      <c r="D2791" t="s">
        <v>15834</v>
      </c>
      <c r="E2791" t="s">
        <v>15835</v>
      </c>
      <c r="G2791" t="s">
        <v>15836</v>
      </c>
      <c r="H2791" t="s">
        <v>213</v>
      </c>
      <c r="J2791" t="s">
        <v>15837</v>
      </c>
      <c r="L2791" t="s">
        <v>112</v>
      </c>
      <c r="M2791" t="s">
        <v>199</v>
      </c>
      <c r="R2791" t="s">
        <v>15838</v>
      </c>
      <c r="W2791" t="s">
        <v>15835</v>
      </c>
      <c r="X2791" t="s">
        <v>216</v>
      </c>
      <c r="Y2791" t="s">
        <v>116</v>
      </c>
      <c r="Z2791" t="s">
        <v>117</v>
      </c>
      <c r="AA2791" t="str">
        <f>"14222-2006"</f>
        <v>14222-2006</v>
      </c>
      <c r="AB2791" t="s">
        <v>118</v>
      </c>
      <c r="AC2791" t="s">
        <v>119</v>
      </c>
      <c r="AD2791" t="s">
        <v>113</v>
      </c>
      <c r="AE2791" t="s">
        <v>120</v>
      </c>
      <c r="AG2791" t="s">
        <v>121</v>
      </c>
    </row>
    <row r="2792" spans="1:33" x14ac:dyDescent="0.25">
      <c r="A2792" t="str">
        <f>"1144310236"</f>
        <v>1144310236</v>
      </c>
      <c r="C2792" t="s">
        <v>15839</v>
      </c>
      <c r="G2792" t="s">
        <v>15840</v>
      </c>
      <c r="H2792" t="s">
        <v>15841</v>
      </c>
      <c r="J2792" t="s">
        <v>352</v>
      </c>
      <c r="K2792" t="s">
        <v>303</v>
      </c>
      <c r="L2792" t="s">
        <v>112</v>
      </c>
      <c r="M2792" t="s">
        <v>113</v>
      </c>
      <c r="R2792" t="s">
        <v>15842</v>
      </c>
      <c r="S2792" t="s">
        <v>2052</v>
      </c>
      <c r="T2792" t="s">
        <v>116</v>
      </c>
      <c r="U2792" t="s">
        <v>117</v>
      </c>
      <c r="V2792" t="str">
        <f>"142072341"</f>
        <v>142072341</v>
      </c>
      <c r="AC2792" t="s">
        <v>119</v>
      </c>
      <c r="AD2792" t="s">
        <v>113</v>
      </c>
      <c r="AE2792" t="s">
        <v>306</v>
      </c>
      <c r="AG2792" t="s">
        <v>121</v>
      </c>
    </row>
    <row r="2793" spans="1:33" x14ac:dyDescent="0.25">
      <c r="A2793" t="str">
        <f>"1144325952"</f>
        <v>1144325952</v>
      </c>
      <c r="B2793" t="str">
        <f>"01358254"</f>
        <v>01358254</v>
      </c>
      <c r="C2793" t="s">
        <v>15843</v>
      </c>
      <c r="D2793" t="s">
        <v>15844</v>
      </c>
      <c r="E2793" t="s">
        <v>15845</v>
      </c>
      <c r="H2793" t="s">
        <v>699</v>
      </c>
      <c r="L2793" t="s">
        <v>142</v>
      </c>
      <c r="M2793" t="s">
        <v>113</v>
      </c>
      <c r="R2793" t="s">
        <v>15846</v>
      </c>
      <c r="W2793" t="s">
        <v>15845</v>
      </c>
      <c r="X2793" t="s">
        <v>14637</v>
      </c>
      <c r="Y2793" t="s">
        <v>232</v>
      </c>
      <c r="Z2793" t="s">
        <v>117</v>
      </c>
      <c r="AA2793" t="str">
        <f>"10032-3720"</f>
        <v>10032-3720</v>
      </c>
      <c r="AB2793" t="s">
        <v>118</v>
      </c>
      <c r="AC2793" t="s">
        <v>119</v>
      </c>
      <c r="AD2793" t="s">
        <v>113</v>
      </c>
      <c r="AE2793" t="s">
        <v>120</v>
      </c>
      <c r="AG2793" t="s">
        <v>121</v>
      </c>
    </row>
    <row r="2794" spans="1:33" x14ac:dyDescent="0.25">
      <c r="A2794" t="str">
        <f>"1144334780"</f>
        <v>1144334780</v>
      </c>
      <c r="B2794" t="str">
        <f>"01378532"</f>
        <v>01378532</v>
      </c>
      <c r="C2794" t="s">
        <v>15847</v>
      </c>
      <c r="D2794" t="s">
        <v>15848</v>
      </c>
      <c r="E2794" t="s">
        <v>15849</v>
      </c>
      <c r="G2794" t="s">
        <v>6204</v>
      </c>
      <c r="H2794" t="s">
        <v>1883</v>
      </c>
      <c r="J2794" t="s">
        <v>6205</v>
      </c>
      <c r="L2794" t="s">
        <v>150</v>
      </c>
      <c r="M2794" t="s">
        <v>113</v>
      </c>
      <c r="R2794" t="s">
        <v>15850</v>
      </c>
      <c r="W2794" t="s">
        <v>15849</v>
      </c>
      <c r="X2794" t="s">
        <v>253</v>
      </c>
      <c r="Y2794" t="s">
        <v>116</v>
      </c>
      <c r="Z2794" t="s">
        <v>117</v>
      </c>
      <c r="AA2794" t="str">
        <f>"14215-3021"</f>
        <v>14215-3021</v>
      </c>
      <c r="AB2794" t="s">
        <v>118</v>
      </c>
      <c r="AC2794" t="s">
        <v>119</v>
      </c>
      <c r="AD2794" t="s">
        <v>113</v>
      </c>
      <c r="AE2794" t="s">
        <v>120</v>
      </c>
      <c r="AG2794" t="s">
        <v>121</v>
      </c>
    </row>
    <row r="2795" spans="1:33" x14ac:dyDescent="0.25">
      <c r="A2795" t="str">
        <f>"1023230695"</f>
        <v>1023230695</v>
      </c>
      <c r="B2795" t="str">
        <f>"00671765"</f>
        <v>00671765</v>
      </c>
      <c r="C2795" t="s">
        <v>8956</v>
      </c>
      <c r="D2795" t="s">
        <v>8957</v>
      </c>
      <c r="E2795" t="s">
        <v>8958</v>
      </c>
      <c r="G2795" t="s">
        <v>5968</v>
      </c>
      <c r="H2795" t="s">
        <v>5969</v>
      </c>
      <c r="I2795">
        <v>112</v>
      </c>
      <c r="J2795" t="s">
        <v>5970</v>
      </c>
      <c r="L2795" t="s">
        <v>7286</v>
      </c>
      <c r="M2795" t="s">
        <v>199</v>
      </c>
      <c r="R2795" t="s">
        <v>8956</v>
      </c>
      <c r="W2795" t="s">
        <v>8958</v>
      </c>
      <c r="X2795" t="s">
        <v>8308</v>
      </c>
      <c r="Y2795" t="s">
        <v>116</v>
      </c>
      <c r="Z2795" t="s">
        <v>117</v>
      </c>
      <c r="AA2795" t="str">
        <f>"14213-2116"</f>
        <v>14213-2116</v>
      </c>
      <c r="AB2795" t="s">
        <v>1146</v>
      </c>
      <c r="AC2795" t="s">
        <v>119</v>
      </c>
      <c r="AD2795" t="s">
        <v>113</v>
      </c>
      <c r="AE2795" t="s">
        <v>120</v>
      </c>
      <c r="AG2795" t="s">
        <v>121</v>
      </c>
    </row>
    <row r="2796" spans="1:33" x14ac:dyDescent="0.25">
      <c r="A2796" t="str">
        <f>"1255396206"</f>
        <v>1255396206</v>
      </c>
      <c r="B2796" t="str">
        <f>"02994925"</f>
        <v>02994925</v>
      </c>
      <c r="C2796" t="s">
        <v>15858</v>
      </c>
      <c r="D2796" t="s">
        <v>15859</v>
      </c>
      <c r="E2796" t="s">
        <v>15860</v>
      </c>
      <c r="G2796" t="s">
        <v>15858</v>
      </c>
      <c r="H2796" t="s">
        <v>2280</v>
      </c>
      <c r="J2796" t="s">
        <v>15861</v>
      </c>
      <c r="L2796" t="s">
        <v>112</v>
      </c>
      <c r="M2796" t="s">
        <v>113</v>
      </c>
      <c r="R2796" t="s">
        <v>15862</v>
      </c>
      <c r="W2796" t="s">
        <v>15860</v>
      </c>
      <c r="X2796" t="s">
        <v>216</v>
      </c>
      <c r="Y2796" t="s">
        <v>116</v>
      </c>
      <c r="Z2796" t="s">
        <v>117</v>
      </c>
      <c r="AA2796" t="str">
        <f>"14222-2006"</f>
        <v>14222-2006</v>
      </c>
      <c r="AB2796" t="s">
        <v>118</v>
      </c>
      <c r="AC2796" t="s">
        <v>119</v>
      </c>
      <c r="AD2796" t="s">
        <v>113</v>
      </c>
      <c r="AE2796" t="s">
        <v>120</v>
      </c>
      <c r="AG2796" t="s">
        <v>121</v>
      </c>
    </row>
    <row r="2797" spans="1:33" x14ac:dyDescent="0.25">
      <c r="A2797" t="str">
        <f>"1184039331"</f>
        <v>1184039331</v>
      </c>
      <c r="C2797" t="s">
        <v>15863</v>
      </c>
      <c r="G2797" t="s">
        <v>15864</v>
      </c>
      <c r="H2797" t="s">
        <v>471</v>
      </c>
      <c r="J2797" t="s">
        <v>15865</v>
      </c>
      <c r="K2797" t="s">
        <v>303</v>
      </c>
      <c r="L2797" t="s">
        <v>229</v>
      </c>
      <c r="M2797" t="s">
        <v>113</v>
      </c>
      <c r="R2797" t="s">
        <v>15866</v>
      </c>
      <c r="S2797" t="s">
        <v>3331</v>
      </c>
      <c r="T2797" t="s">
        <v>116</v>
      </c>
      <c r="U2797" t="s">
        <v>117</v>
      </c>
      <c r="V2797" t="str">
        <f>"142011886"</f>
        <v>142011886</v>
      </c>
      <c r="AC2797" t="s">
        <v>119</v>
      </c>
      <c r="AD2797" t="s">
        <v>113</v>
      </c>
      <c r="AE2797" t="s">
        <v>306</v>
      </c>
      <c r="AG2797" t="s">
        <v>121</v>
      </c>
    </row>
    <row r="2798" spans="1:33" x14ac:dyDescent="0.25">
      <c r="A2798" t="str">
        <f>"1184039349"</f>
        <v>1184039349</v>
      </c>
      <c r="B2798" t="str">
        <f>"03932827"</f>
        <v>03932827</v>
      </c>
      <c r="C2798" t="s">
        <v>15867</v>
      </c>
      <c r="D2798" t="s">
        <v>15868</v>
      </c>
      <c r="E2798" t="s">
        <v>15869</v>
      </c>
      <c r="G2798" t="s">
        <v>15867</v>
      </c>
      <c r="H2798" t="s">
        <v>15870</v>
      </c>
      <c r="J2798" t="s">
        <v>15871</v>
      </c>
      <c r="L2798" t="s">
        <v>112</v>
      </c>
      <c r="M2798" t="s">
        <v>113</v>
      </c>
      <c r="R2798" t="s">
        <v>15872</v>
      </c>
      <c r="W2798" t="s">
        <v>15869</v>
      </c>
      <c r="X2798" t="s">
        <v>838</v>
      </c>
      <c r="Y2798" t="s">
        <v>240</v>
      </c>
      <c r="Z2798" t="s">
        <v>117</v>
      </c>
      <c r="AA2798" t="str">
        <f>"14221-3647"</f>
        <v>14221-3647</v>
      </c>
      <c r="AB2798" t="s">
        <v>118</v>
      </c>
      <c r="AC2798" t="s">
        <v>119</v>
      </c>
      <c r="AD2798" t="s">
        <v>113</v>
      </c>
      <c r="AE2798" t="s">
        <v>120</v>
      </c>
      <c r="AG2798" t="s">
        <v>121</v>
      </c>
    </row>
    <row r="2799" spans="1:33" x14ac:dyDescent="0.25">
      <c r="A2799" t="str">
        <f>"1184064693"</f>
        <v>1184064693</v>
      </c>
      <c r="C2799" t="s">
        <v>15873</v>
      </c>
      <c r="G2799" t="s">
        <v>15874</v>
      </c>
      <c r="H2799" t="s">
        <v>15875</v>
      </c>
      <c r="J2799" t="s">
        <v>438</v>
      </c>
      <c r="K2799" t="s">
        <v>303</v>
      </c>
      <c r="L2799" t="s">
        <v>229</v>
      </c>
      <c r="M2799" t="s">
        <v>113</v>
      </c>
      <c r="R2799" t="s">
        <v>15876</v>
      </c>
      <c r="S2799" t="s">
        <v>3611</v>
      </c>
      <c r="T2799" t="s">
        <v>116</v>
      </c>
      <c r="U2799" t="s">
        <v>117</v>
      </c>
      <c r="V2799" t="str">
        <f>"142121501"</f>
        <v>142121501</v>
      </c>
      <c r="AC2799" t="s">
        <v>119</v>
      </c>
      <c r="AD2799" t="s">
        <v>113</v>
      </c>
      <c r="AE2799" t="s">
        <v>306</v>
      </c>
      <c r="AG2799" t="s">
        <v>121</v>
      </c>
    </row>
    <row r="2800" spans="1:33" x14ac:dyDescent="0.25">
      <c r="A2800" t="str">
        <f>"1184600777"</f>
        <v>1184600777</v>
      </c>
      <c r="B2800" t="str">
        <f>"02430353"</f>
        <v>02430353</v>
      </c>
      <c r="C2800" t="s">
        <v>15877</v>
      </c>
      <c r="D2800" t="s">
        <v>15878</v>
      </c>
      <c r="E2800" t="s">
        <v>15879</v>
      </c>
      <c r="G2800" t="s">
        <v>15877</v>
      </c>
      <c r="H2800" t="s">
        <v>707</v>
      </c>
      <c r="J2800" t="s">
        <v>15880</v>
      </c>
      <c r="L2800" t="s">
        <v>142</v>
      </c>
      <c r="M2800" t="s">
        <v>113</v>
      </c>
      <c r="R2800" t="s">
        <v>15881</v>
      </c>
      <c r="W2800" t="s">
        <v>15879</v>
      </c>
      <c r="X2800" t="s">
        <v>6083</v>
      </c>
      <c r="Y2800" t="s">
        <v>4839</v>
      </c>
      <c r="Z2800" t="s">
        <v>117</v>
      </c>
      <c r="AA2800" t="str">
        <f>"14111"</f>
        <v>14111</v>
      </c>
      <c r="AB2800" t="s">
        <v>118</v>
      </c>
      <c r="AC2800" t="s">
        <v>119</v>
      </c>
      <c r="AD2800" t="s">
        <v>113</v>
      </c>
      <c r="AE2800" t="s">
        <v>120</v>
      </c>
      <c r="AG2800" t="s">
        <v>121</v>
      </c>
    </row>
    <row r="2801" spans="1:33" x14ac:dyDescent="0.25">
      <c r="A2801" t="str">
        <f>"1184600975"</f>
        <v>1184600975</v>
      </c>
      <c r="B2801" t="str">
        <f>"01178638"</f>
        <v>01178638</v>
      </c>
      <c r="C2801" t="s">
        <v>15882</v>
      </c>
      <c r="D2801" t="s">
        <v>15883</v>
      </c>
      <c r="E2801" t="s">
        <v>15884</v>
      </c>
      <c r="G2801" t="s">
        <v>15882</v>
      </c>
      <c r="H2801" t="s">
        <v>1006</v>
      </c>
      <c r="J2801" t="s">
        <v>15885</v>
      </c>
      <c r="L2801" t="s">
        <v>142</v>
      </c>
      <c r="M2801" t="s">
        <v>113</v>
      </c>
      <c r="R2801" t="s">
        <v>15886</v>
      </c>
      <c r="W2801" t="s">
        <v>15884</v>
      </c>
      <c r="X2801" t="s">
        <v>15887</v>
      </c>
      <c r="Y2801" t="s">
        <v>958</v>
      </c>
      <c r="Z2801" t="s">
        <v>117</v>
      </c>
      <c r="AA2801" t="str">
        <f>"14226-1039"</f>
        <v>14226-1039</v>
      </c>
      <c r="AB2801" t="s">
        <v>118</v>
      </c>
      <c r="AC2801" t="s">
        <v>119</v>
      </c>
      <c r="AD2801" t="s">
        <v>113</v>
      </c>
      <c r="AE2801" t="s">
        <v>120</v>
      </c>
      <c r="AG2801" t="s">
        <v>121</v>
      </c>
    </row>
    <row r="2802" spans="1:33" x14ac:dyDescent="0.25">
      <c r="A2802" t="str">
        <f>"1184605362"</f>
        <v>1184605362</v>
      </c>
      <c r="B2802" t="str">
        <f>"02460864"</f>
        <v>02460864</v>
      </c>
      <c r="C2802" t="s">
        <v>15888</v>
      </c>
      <c r="D2802" t="s">
        <v>15889</v>
      </c>
      <c r="E2802" t="s">
        <v>15890</v>
      </c>
      <c r="G2802" t="s">
        <v>15888</v>
      </c>
      <c r="H2802" t="s">
        <v>707</v>
      </c>
      <c r="J2802" t="s">
        <v>15891</v>
      </c>
      <c r="L2802" t="s">
        <v>142</v>
      </c>
      <c r="M2802" t="s">
        <v>113</v>
      </c>
      <c r="R2802" t="s">
        <v>15892</v>
      </c>
      <c r="W2802" t="s">
        <v>15893</v>
      </c>
      <c r="X2802" t="s">
        <v>11941</v>
      </c>
      <c r="Y2802" t="s">
        <v>116</v>
      </c>
      <c r="Z2802" t="s">
        <v>117</v>
      </c>
      <c r="AA2802" t="str">
        <f>"14263-0001"</f>
        <v>14263-0001</v>
      </c>
      <c r="AB2802" t="s">
        <v>634</v>
      </c>
      <c r="AC2802" t="s">
        <v>119</v>
      </c>
      <c r="AD2802" t="s">
        <v>113</v>
      </c>
      <c r="AE2802" t="s">
        <v>120</v>
      </c>
      <c r="AG2802" t="s">
        <v>121</v>
      </c>
    </row>
    <row r="2803" spans="1:33" x14ac:dyDescent="0.25">
      <c r="A2803" t="str">
        <f>"1184607848"</f>
        <v>1184607848</v>
      </c>
      <c r="B2803" t="str">
        <f>"00833909"</f>
        <v>00833909</v>
      </c>
      <c r="C2803" t="s">
        <v>15894</v>
      </c>
      <c r="D2803" t="s">
        <v>15895</v>
      </c>
      <c r="E2803" t="s">
        <v>15896</v>
      </c>
      <c r="G2803" t="s">
        <v>15894</v>
      </c>
      <c r="H2803" t="s">
        <v>1013</v>
      </c>
      <c r="J2803" t="s">
        <v>15897</v>
      </c>
      <c r="L2803" t="s">
        <v>142</v>
      </c>
      <c r="M2803" t="s">
        <v>113</v>
      </c>
      <c r="R2803" t="s">
        <v>15898</v>
      </c>
      <c r="W2803" t="s">
        <v>15896</v>
      </c>
      <c r="X2803" t="s">
        <v>13393</v>
      </c>
      <c r="Y2803" t="s">
        <v>240</v>
      </c>
      <c r="Z2803" t="s">
        <v>117</v>
      </c>
      <c r="AA2803" t="str">
        <f>"14221-5329"</f>
        <v>14221-5329</v>
      </c>
      <c r="AB2803" t="s">
        <v>118</v>
      </c>
      <c r="AC2803" t="s">
        <v>119</v>
      </c>
      <c r="AD2803" t="s">
        <v>113</v>
      </c>
      <c r="AE2803" t="s">
        <v>120</v>
      </c>
      <c r="AG2803" t="s">
        <v>121</v>
      </c>
    </row>
    <row r="2804" spans="1:33" x14ac:dyDescent="0.25">
      <c r="A2804" t="str">
        <f>"1114909066"</f>
        <v>1114909066</v>
      </c>
      <c r="B2804" t="str">
        <f>"02209070"</f>
        <v>02209070</v>
      </c>
      <c r="C2804" t="s">
        <v>15899</v>
      </c>
      <c r="D2804" t="s">
        <v>15900</v>
      </c>
      <c r="E2804" t="s">
        <v>15901</v>
      </c>
      <c r="L2804" t="s">
        <v>150</v>
      </c>
      <c r="M2804" t="s">
        <v>113</v>
      </c>
      <c r="R2804" t="s">
        <v>15899</v>
      </c>
      <c r="W2804" t="s">
        <v>15901</v>
      </c>
      <c r="X2804" t="s">
        <v>15902</v>
      </c>
      <c r="Y2804" t="s">
        <v>1257</v>
      </c>
      <c r="Z2804" t="s">
        <v>117</v>
      </c>
      <c r="AA2804" t="str">
        <f>"14141-9705"</f>
        <v>14141-9705</v>
      </c>
      <c r="AB2804" t="s">
        <v>118</v>
      </c>
      <c r="AC2804" t="s">
        <v>119</v>
      </c>
      <c r="AD2804" t="s">
        <v>113</v>
      </c>
      <c r="AE2804" t="s">
        <v>120</v>
      </c>
      <c r="AG2804" t="s">
        <v>121</v>
      </c>
    </row>
    <row r="2805" spans="1:33" x14ac:dyDescent="0.25">
      <c r="A2805" t="str">
        <f>"1114912086"</f>
        <v>1114912086</v>
      </c>
      <c r="B2805" t="str">
        <f>"00706634"</f>
        <v>00706634</v>
      </c>
      <c r="C2805" t="s">
        <v>15903</v>
      </c>
      <c r="D2805" t="s">
        <v>15904</v>
      </c>
      <c r="E2805" t="s">
        <v>15905</v>
      </c>
      <c r="G2805" t="s">
        <v>4593</v>
      </c>
      <c r="H2805" t="s">
        <v>4594</v>
      </c>
      <c r="J2805" t="s">
        <v>4595</v>
      </c>
      <c r="L2805" t="s">
        <v>142</v>
      </c>
      <c r="M2805" t="s">
        <v>199</v>
      </c>
      <c r="R2805" t="s">
        <v>15906</v>
      </c>
      <c r="W2805" t="s">
        <v>15905</v>
      </c>
      <c r="X2805" t="s">
        <v>15907</v>
      </c>
      <c r="Y2805" t="s">
        <v>232</v>
      </c>
      <c r="Z2805" t="s">
        <v>117</v>
      </c>
      <c r="AA2805" t="str">
        <f>"10025-1716"</f>
        <v>10025-1716</v>
      </c>
      <c r="AB2805" t="s">
        <v>118</v>
      </c>
      <c r="AC2805" t="s">
        <v>119</v>
      </c>
      <c r="AD2805" t="s">
        <v>113</v>
      </c>
      <c r="AE2805" t="s">
        <v>120</v>
      </c>
      <c r="AG2805" t="s">
        <v>121</v>
      </c>
    </row>
    <row r="2806" spans="1:33" x14ac:dyDescent="0.25">
      <c r="A2806" t="str">
        <f>"1114915287"</f>
        <v>1114915287</v>
      </c>
      <c r="B2806" t="str">
        <f>"02759662"</f>
        <v>02759662</v>
      </c>
      <c r="C2806" t="s">
        <v>15908</v>
      </c>
      <c r="D2806" t="s">
        <v>15909</v>
      </c>
      <c r="E2806" t="s">
        <v>15910</v>
      </c>
      <c r="G2806" t="s">
        <v>15911</v>
      </c>
      <c r="H2806" t="s">
        <v>213</v>
      </c>
      <c r="J2806" t="s">
        <v>15912</v>
      </c>
      <c r="L2806" t="s">
        <v>142</v>
      </c>
      <c r="M2806" t="s">
        <v>113</v>
      </c>
      <c r="R2806" t="s">
        <v>15913</v>
      </c>
      <c r="W2806" t="s">
        <v>15910</v>
      </c>
      <c r="X2806" t="s">
        <v>511</v>
      </c>
      <c r="Y2806" t="s">
        <v>512</v>
      </c>
      <c r="Z2806" t="s">
        <v>117</v>
      </c>
      <c r="AA2806" t="str">
        <f>"14092-1903"</f>
        <v>14092-1903</v>
      </c>
      <c r="AB2806" t="s">
        <v>118</v>
      </c>
      <c r="AC2806" t="s">
        <v>119</v>
      </c>
      <c r="AD2806" t="s">
        <v>113</v>
      </c>
      <c r="AE2806" t="s">
        <v>120</v>
      </c>
      <c r="AG2806" t="s">
        <v>121</v>
      </c>
    </row>
    <row r="2807" spans="1:33" x14ac:dyDescent="0.25">
      <c r="A2807" t="str">
        <f>"1114921947"</f>
        <v>1114921947</v>
      </c>
      <c r="B2807" t="str">
        <f>"01632562"</f>
        <v>01632562</v>
      </c>
      <c r="C2807" t="s">
        <v>15914</v>
      </c>
      <c r="D2807" t="s">
        <v>15915</v>
      </c>
      <c r="E2807" t="s">
        <v>15916</v>
      </c>
      <c r="G2807" t="s">
        <v>15917</v>
      </c>
      <c r="H2807" t="s">
        <v>15918</v>
      </c>
      <c r="L2807" t="s">
        <v>150</v>
      </c>
      <c r="M2807" t="s">
        <v>113</v>
      </c>
      <c r="R2807" t="s">
        <v>15917</v>
      </c>
      <c r="W2807" t="s">
        <v>15916</v>
      </c>
      <c r="X2807" t="s">
        <v>11910</v>
      </c>
      <c r="Y2807" t="s">
        <v>1562</v>
      </c>
      <c r="Z2807" t="s">
        <v>117</v>
      </c>
      <c r="AA2807" t="str">
        <f>"14047-9306"</f>
        <v>14047-9306</v>
      </c>
      <c r="AB2807" t="s">
        <v>118</v>
      </c>
      <c r="AC2807" t="s">
        <v>119</v>
      </c>
      <c r="AD2807" t="s">
        <v>113</v>
      </c>
      <c r="AE2807" t="s">
        <v>120</v>
      </c>
      <c r="AG2807" t="s">
        <v>121</v>
      </c>
    </row>
    <row r="2808" spans="1:33" x14ac:dyDescent="0.25">
      <c r="A2808" t="str">
        <f>"1114946381"</f>
        <v>1114946381</v>
      </c>
      <c r="B2808" t="str">
        <f>"01766930"</f>
        <v>01766930</v>
      </c>
      <c r="C2808" t="s">
        <v>15919</v>
      </c>
      <c r="D2808" t="s">
        <v>15920</v>
      </c>
      <c r="E2808" t="s">
        <v>15921</v>
      </c>
      <c r="G2808" t="s">
        <v>15922</v>
      </c>
      <c r="H2808" t="s">
        <v>4553</v>
      </c>
      <c r="J2808" t="s">
        <v>15923</v>
      </c>
      <c r="L2808" t="s">
        <v>142</v>
      </c>
      <c r="M2808" t="s">
        <v>113</v>
      </c>
      <c r="R2808" t="s">
        <v>15924</v>
      </c>
      <c r="W2808" t="s">
        <v>15921</v>
      </c>
      <c r="X2808" t="s">
        <v>14691</v>
      </c>
      <c r="Y2808" t="s">
        <v>116</v>
      </c>
      <c r="Z2808" t="s">
        <v>117</v>
      </c>
      <c r="AA2808" t="str">
        <f>"14201-1435"</f>
        <v>14201-1435</v>
      </c>
      <c r="AB2808" t="s">
        <v>118</v>
      </c>
      <c r="AC2808" t="s">
        <v>119</v>
      </c>
      <c r="AD2808" t="s">
        <v>113</v>
      </c>
      <c r="AE2808" t="s">
        <v>120</v>
      </c>
      <c r="AG2808" t="s">
        <v>121</v>
      </c>
    </row>
    <row r="2809" spans="1:33" x14ac:dyDescent="0.25">
      <c r="A2809" t="str">
        <f>"1114947272"</f>
        <v>1114947272</v>
      </c>
      <c r="B2809" t="str">
        <f>"02530683"</f>
        <v>02530683</v>
      </c>
      <c r="C2809" t="s">
        <v>15925</v>
      </c>
      <c r="D2809" t="s">
        <v>15926</v>
      </c>
      <c r="E2809" t="s">
        <v>15927</v>
      </c>
      <c r="G2809" t="s">
        <v>15928</v>
      </c>
      <c r="H2809" t="s">
        <v>2424</v>
      </c>
      <c r="J2809" t="s">
        <v>15929</v>
      </c>
      <c r="L2809" t="s">
        <v>142</v>
      </c>
      <c r="M2809" t="s">
        <v>113</v>
      </c>
      <c r="R2809" t="s">
        <v>15930</v>
      </c>
      <c r="W2809" t="s">
        <v>15927</v>
      </c>
      <c r="X2809" t="s">
        <v>15931</v>
      </c>
      <c r="Y2809" t="s">
        <v>116</v>
      </c>
      <c r="Z2809" t="s">
        <v>117</v>
      </c>
      <c r="AA2809" t="str">
        <f>"14220-2095"</f>
        <v>14220-2095</v>
      </c>
      <c r="AB2809" t="s">
        <v>118</v>
      </c>
      <c r="AC2809" t="s">
        <v>119</v>
      </c>
      <c r="AD2809" t="s">
        <v>113</v>
      </c>
      <c r="AE2809" t="s">
        <v>120</v>
      </c>
      <c r="AG2809" t="s">
        <v>121</v>
      </c>
    </row>
    <row r="2810" spans="1:33" x14ac:dyDescent="0.25">
      <c r="A2810" t="str">
        <f>"1114947363"</f>
        <v>1114947363</v>
      </c>
      <c r="B2810" t="str">
        <f>"02503799"</f>
        <v>02503799</v>
      </c>
      <c r="C2810" t="s">
        <v>15932</v>
      </c>
      <c r="D2810" t="s">
        <v>15933</v>
      </c>
      <c r="E2810" t="s">
        <v>15934</v>
      </c>
      <c r="G2810" t="s">
        <v>15935</v>
      </c>
      <c r="H2810" t="s">
        <v>15936</v>
      </c>
      <c r="J2810" t="s">
        <v>1387</v>
      </c>
      <c r="L2810" t="s">
        <v>142</v>
      </c>
      <c r="M2810" t="s">
        <v>113</v>
      </c>
      <c r="R2810" t="s">
        <v>15937</v>
      </c>
      <c r="W2810" t="s">
        <v>15938</v>
      </c>
      <c r="X2810" t="s">
        <v>1098</v>
      </c>
      <c r="Y2810" t="s">
        <v>305</v>
      </c>
      <c r="Z2810" t="s">
        <v>117</v>
      </c>
      <c r="AA2810" t="str">
        <f>"14760-1513"</f>
        <v>14760-1513</v>
      </c>
      <c r="AB2810" t="s">
        <v>118</v>
      </c>
      <c r="AC2810" t="s">
        <v>119</v>
      </c>
      <c r="AD2810" t="s">
        <v>113</v>
      </c>
      <c r="AE2810" t="s">
        <v>120</v>
      </c>
      <c r="AG2810" t="s">
        <v>121</v>
      </c>
    </row>
    <row r="2811" spans="1:33" x14ac:dyDescent="0.25">
      <c r="A2811" t="str">
        <f>"1427188457"</f>
        <v>1427188457</v>
      </c>
      <c r="B2811" t="str">
        <f>"02978527"</f>
        <v>02978527</v>
      </c>
      <c r="C2811" t="s">
        <v>971</v>
      </c>
      <c r="D2811" t="s">
        <v>972</v>
      </c>
      <c r="E2811" t="s">
        <v>973</v>
      </c>
      <c r="H2811" t="s">
        <v>974</v>
      </c>
      <c r="L2811" t="s">
        <v>975</v>
      </c>
      <c r="M2811" t="s">
        <v>199</v>
      </c>
      <c r="R2811" t="s">
        <v>971</v>
      </c>
      <c r="W2811" t="s">
        <v>7249</v>
      </c>
      <c r="X2811" t="s">
        <v>7250</v>
      </c>
      <c r="Y2811" t="s">
        <v>978</v>
      </c>
      <c r="Z2811" t="s">
        <v>117</v>
      </c>
      <c r="AA2811" t="str">
        <f>"14081-9706"</f>
        <v>14081-9706</v>
      </c>
      <c r="AB2811" t="s">
        <v>1460</v>
      </c>
      <c r="AC2811" t="s">
        <v>119</v>
      </c>
      <c r="AD2811" t="s">
        <v>113</v>
      </c>
      <c r="AE2811" t="s">
        <v>120</v>
      </c>
      <c r="AG2811" t="s">
        <v>121</v>
      </c>
    </row>
    <row r="2812" spans="1:33" x14ac:dyDescent="0.25">
      <c r="A2812" t="str">
        <f>"1225092000"</f>
        <v>1225092000</v>
      </c>
      <c r="C2812" t="s">
        <v>15941</v>
      </c>
      <c r="G2812" t="s">
        <v>15941</v>
      </c>
      <c r="H2812" t="s">
        <v>15942</v>
      </c>
      <c r="J2812" t="s">
        <v>15943</v>
      </c>
      <c r="K2812" t="s">
        <v>303</v>
      </c>
      <c r="L2812" t="s">
        <v>229</v>
      </c>
      <c r="M2812" t="s">
        <v>113</v>
      </c>
      <c r="R2812" t="s">
        <v>15944</v>
      </c>
      <c r="S2812" t="s">
        <v>15945</v>
      </c>
      <c r="T2812" t="s">
        <v>116</v>
      </c>
      <c r="U2812" t="s">
        <v>117</v>
      </c>
      <c r="V2812" t="str">
        <f>"142031005"</f>
        <v>142031005</v>
      </c>
      <c r="AC2812" t="s">
        <v>119</v>
      </c>
      <c r="AD2812" t="s">
        <v>113</v>
      </c>
      <c r="AE2812" t="s">
        <v>306</v>
      </c>
      <c r="AG2812" t="s">
        <v>121</v>
      </c>
    </row>
    <row r="2813" spans="1:33" x14ac:dyDescent="0.25">
      <c r="A2813" t="str">
        <f>"1891907507"</f>
        <v>1891907507</v>
      </c>
      <c r="B2813" t="str">
        <f>"03005314"</f>
        <v>03005314</v>
      </c>
      <c r="C2813" t="s">
        <v>8956</v>
      </c>
      <c r="D2813" t="s">
        <v>8957</v>
      </c>
      <c r="E2813" t="s">
        <v>8958</v>
      </c>
      <c r="G2813" t="s">
        <v>5968</v>
      </c>
      <c r="H2813" t="s">
        <v>5969</v>
      </c>
      <c r="I2813">
        <v>112</v>
      </c>
      <c r="J2813" t="s">
        <v>5970</v>
      </c>
      <c r="L2813" t="s">
        <v>7286</v>
      </c>
      <c r="M2813" t="s">
        <v>199</v>
      </c>
      <c r="R2813" t="s">
        <v>8956</v>
      </c>
      <c r="W2813" t="s">
        <v>8958</v>
      </c>
      <c r="X2813" t="s">
        <v>10447</v>
      </c>
      <c r="Y2813" t="s">
        <v>116</v>
      </c>
      <c r="Z2813" t="s">
        <v>117</v>
      </c>
      <c r="AA2813" t="str">
        <f>"14213-2116"</f>
        <v>14213-2116</v>
      </c>
      <c r="AB2813" t="s">
        <v>1146</v>
      </c>
      <c r="AC2813" t="s">
        <v>119</v>
      </c>
      <c r="AD2813" t="s">
        <v>113</v>
      </c>
      <c r="AE2813" t="s">
        <v>120</v>
      </c>
      <c r="AG2813" t="s">
        <v>121</v>
      </c>
    </row>
    <row r="2814" spans="1:33" x14ac:dyDescent="0.25">
      <c r="A2814" t="str">
        <f>"1225095219"</f>
        <v>1225095219</v>
      </c>
      <c r="B2814" t="str">
        <f>"01039427"</f>
        <v>01039427</v>
      </c>
      <c r="C2814" t="s">
        <v>15952</v>
      </c>
      <c r="D2814" t="s">
        <v>15953</v>
      </c>
      <c r="E2814" t="s">
        <v>15954</v>
      </c>
      <c r="H2814" t="s">
        <v>15955</v>
      </c>
      <c r="L2814" t="s">
        <v>1033</v>
      </c>
      <c r="M2814" t="s">
        <v>113</v>
      </c>
      <c r="R2814" t="s">
        <v>15956</v>
      </c>
      <c r="W2814" t="s">
        <v>15954</v>
      </c>
      <c r="X2814" t="s">
        <v>15957</v>
      </c>
      <c r="Y2814" t="s">
        <v>1628</v>
      </c>
      <c r="Z2814" t="s">
        <v>117</v>
      </c>
      <c r="AA2814" t="str">
        <f>"14411-9130"</f>
        <v>14411-9130</v>
      </c>
      <c r="AB2814" t="s">
        <v>2359</v>
      </c>
      <c r="AC2814" t="s">
        <v>119</v>
      </c>
      <c r="AD2814" t="s">
        <v>113</v>
      </c>
      <c r="AE2814" t="s">
        <v>120</v>
      </c>
      <c r="AG2814" t="s">
        <v>121</v>
      </c>
    </row>
    <row r="2815" spans="1:33" x14ac:dyDescent="0.25">
      <c r="A2815" t="str">
        <f>"1225095433"</f>
        <v>1225095433</v>
      </c>
      <c r="B2815" t="str">
        <f>"00958874"</f>
        <v>00958874</v>
      </c>
      <c r="C2815" t="s">
        <v>15958</v>
      </c>
      <c r="D2815" t="s">
        <v>15959</v>
      </c>
      <c r="E2815" t="s">
        <v>15960</v>
      </c>
      <c r="G2815" t="s">
        <v>15958</v>
      </c>
      <c r="H2815" t="s">
        <v>15961</v>
      </c>
      <c r="J2815" t="s">
        <v>15962</v>
      </c>
      <c r="L2815" t="s">
        <v>142</v>
      </c>
      <c r="M2815" t="s">
        <v>113</v>
      </c>
      <c r="R2815" t="s">
        <v>15963</v>
      </c>
      <c r="W2815" t="s">
        <v>15960</v>
      </c>
      <c r="X2815" t="s">
        <v>15964</v>
      </c>
      <c r="Y2815" t="s">
        <v>240</v>
      </c>
      <c r="Z2815" t="s">
        <v>117</v>
      </c>
      <c r="AA2815" t="str">
        <f>"14221-3625"</f>
        <v>14221-3625</v>
      </c>
      <c r="AB2815" t="s">
        <v>118</v>
      </c>
      <c r="AC2815" t="s">
        <v>119</v>
      </c>
      <c r="AD2815" t="s">
        <v>113</v>
      </c>
      <c r="AE2815" t="s">
        <v>120</v>
      </c>
      <c r="AG2815" t="s">
        <v>121</v>
      </c>
    </row>
    <row r="2816" spans="1:33" x14ac:dyDescent="0.25">
      <c r="A2816" t="str">
        <f>"1225110687"</f>
        <v>1225110687</v>
      </c>
      <c r="C2816" t="s">
        <v>15965</v>
      </c>
      <c r="G2816" t="s">
        <v>15966</v>
      </c>
      <c r="J2816" t="s">
        <v>352</v>
      </c>
      <c r="K2816" t="s">
        <v>303</v>
      </c>
      <c r="L2816" t="s">
        <v>229</v>
      </c>
      <c r="M2816" t="s">
        <v>113</v>
      </c>
      <c r="R2816" t="s">
        <v>15967</v>
      </c>
      <c r="S2816" t="s">
        <v>15968</v>
      </c>
      <c r="T2816" t="s">
        <v>663</v>
      </c>
      <c r="U2816" t="s">
        <v>117</v>
      </c>
      <c r="V2816" t="str">
        <f>"140941804"</f>
        <v>140941804</v>
      </c>
      <c r="AC2816" t="s">
        <v>119</v>
      </c>
      <c r="AD2816" t="s">
        <v>113</v>
      </c>
      <c r="AE2816" t="s">
        <v>306</v>
      </c>
      <c r="AG2816" t="s">
        <v>121</v>
      </c>
    </row>
    <row r="2817" spans="1:33" x14ac:dyDescent="0.25">
      <c r="A2817" t="str">
        <f>"1225111651"</f>
        <v>1225111651</v>
      </c>
      <c r="B2817" t="str">
        <f>"02657463"</f>
        <v>02657463</v>
      </c>
      <c r="C2817" t="s">
        <v>15969</v>
      </c>
      <c r="D2817" t="s">
        <v>15970</v>
      </c>
      <c r="E2817" t="s">
        <v>15971</v>
      </c>
      <c r="G2817" t="s">
        <v>15972</v>
      </c>
      <c r="H2817" t="s">
        <v>213</v>
      </c>
      <c r="J2817" t="s">
        <v>15973</v>
      </c>
      <c r="L2817" t="s">
        <v>142</v>
      </c>
      <c r="M2817" t="s">
        <v>199</v>
      </c>
      <c r="R2817" t="s">
        <v>15974</v>
      </c>
      <c r="W2817" t="s">
        <v>15975</v>
      </c>
      <c r="X2817" t="s">
        <v>216</v>
      </c>
      <c r="Y2817" t="s">
        <v>116</v>
      </c>
      <c r="Z2817" t="s">
        <v>117</v>
      </c>
      <c r="AA2817" t="str">
        <f>"14222-2006"</f>
        <v>14222-2006</v>
      </c>
      <c r="AB2817" t="s">
        <v>118</v>
      </c>
      <c r="AC2817" t="s">
        <v>119</v>
      </c>
      <c r="AD2817" t="s">
        <v>113</v>
      </c>
      <c r="AE2817" t="s">
        <v>120</v>
      </c>
      <c r="AG2817" t="s">
        <v>121</v>
      </c>
    </row>
    <row r="2818" spans="1:33" x14ac:dyDescent="0.25">
      <c r="A2818" t="str">
        <f>"1225138241"</f>
        <v>1225138241</v>
      </c>
      <c r="B2818" t="str">
        <f>"01770649"</f>
        <v>01770649</v>
      </c>
      <c r="C2818" t="s">
        <v>15976</v>
      </c>
      <c r="D2818" t="s">
        <v>15977</v>
      </c>
      <c r="E2818" t="s">
        <v>15978</v>
      </c>
      <c r="G2818" t="s">
        <v>15979</v>
      </c>
      <c r="H2818" t="s">
        <v>213</v>
      </c>
      <c r="L2818" t="s">
        <v>112</v>
      </c>
      <c r="M2818" t="s">
        <v>113</v>
      </c>
      <c r="R2818" t="s">
        <v>15979</v>
      </c>
      <c r="W2818" t="s">
        <v>15978</v>
      </c>
      <c r="Y2818" t="s">
        <v>116</v>
      </c>
      <c r="Z2818" t="s">
        <v>117</v>
      </c>
      <c r="AA2818" t="str">
        <f>"14222-2099"</f>
        <v>14222-2099</v>
      </c>
      <c r="AB2818" t="s">
        <v>118</v>
      </c>
      <c r="AC2818" t="s">
        <v>119</v>
      </c>
      <c r="AD2818" t="s">
        <v>113</v>
      </c>
      <c r="AE2818" t="s">
        <v>120</v>
      </c>
      <c r="AG2818" t="s">
        <v>121</v>
      </c>
    </row>
    <row r="2819" spans="1:33" x14ac:dyDescent="0.25">
      <c r="A2819" t="str">
        <f>"1225156573"</f>
        <v>1225156573</v>
      </c>
      <c r="B2819" t="str">
        <f>"03014335"</f>
        <v>03014335</v>
      </c>
      <c r="C2819" t="s">
        <v>15980</v>
      </c>
      <c r="D2819" t="s">
        <v>15981</v>
      </c>
      <c r="E2819" t="s">
        <v>15982</v>
      </c>
      <c r="G2819" t="s">
        <v>15983</v>
      </c>
      <c r="H2819" t="s">
        <v>15984</v>
      </c>
      <c r="J2819" t="s">
        <v>15985</v>
      </c>
      <c r="L2819" t="s">
        <v>150</v>
      </c>
      <c r="M2819" t="s">
        <v>113</v>
      </c>
      <c r="R2819" t="s">
        <v>15986</v>
      </c>
      <c r="W2819" t="s">
        <v>15982</v>
      </c>
      <c r="X2819" t="s">
        <v>1727</v>
      </c>
      <c r="Y2819" t="s">
        <v>192</v>
      </c>
      <c r="Z2819" t="s">
        <v>117</v>
      </c>
      <c r="AA2819" t="str">
        <f>"14020-1631"</f>
        <v>14020-1631</v>
      </c>
      <c r="AB2819" t="s">
        <v>118</v>
      </c>
      <c r="AC2819" t="s">
        <v>119</v>
      </c>
      <c r="AD2819" t="s">
        <v>113</v>
      </c>
      <c r="AE2819" t="s">
        <v>120</v>
      </c>
      <c r="AG2819" t="s">
        <v>121</v>
      </c>
    </row>
    <row r="2820" spans="1:33" x14ac:dyDescent="0.25">
      <c r="A2820" t="str">
        <f>"1225159858"</f>
        <v>1225159858</v>
      </c>
      <c r="B2820" t="str">
        <f>"02323577"</f>
        <v>02323577</v>
      </c>
      <c r="C2820" t="s">
        <v>15987</v>
      </c>
      <c r="D2820" t="s">
        <v>15988</v>
      </c>
      <c r="E2820" t="s">
        <v>15989</v>
      </c>
      <c r="G2820" t="s">
        <v>15990</v>
      </c>
      <c r="H2820" t="s">
        <v>3807</v>
      </c>
      <c r="J2820" t="s">
        <v>15991</v>
      </c>
      <c r="L2820" t="s">
        <v>112</v>
      </c>
      <c r="M2820" t="s">
        <v>199</v>
      </c>
      <c r="R2820" t="s">
        <v>15992</v>
      </c>
      <c r="W2820" t="s">
        <v>15989</v>
      </c>
      <c r="X2820" t="s">
        <v>216</v>
      </c>
      <c r="Y2820" t="s">
        <v>116</v>
      </c>
      <c r="Z2820" t="s">
        <v>117</v>
      </c>
      <c r="AA2820" t="str">
        <f>"14222-2006"</f>
        <v>14222-2006</v>
      </c>
      <c r="AB2820" t="s">
        <v>118</v>
      </c>
      <c r="AC2820" t="s">
        <v>119</v>
      </c>
      <c r="AD2820" t="s">
        <v>113</v>
      </c>
      <c r="AE2820" t="s">
        <v>120</v>
      </c>
      <c r="AG2820" t="s">
        <v>121</v>
      </c>
    </row>
    <row r="2821" spans="1:33" x14ac:dyDescent="0.25">
      <c r="A2821" t="str">
        <f>"1497935092"</f>
        <v>1497935092</v>
      </c>
      <c r="B2821" t="str">
        <f>"02369524"</f>
        <v>02369524</v>
      </c>
      <c r="C2821" t="s">
        <v>12384</v>
      </c>
      <c r="D2821" t="s">
        <v>12385</v>
      </c>
      <c r="E2821" t="s">
        <v>12386</v>
      </c>
      <c r="H2821" t="s">
        <v>590</v>
      </c>
      <c r="L2821" t="s">
        <v>1714</v>
      </c>
      <c r="M2821" t="s">
        <v>113</v>
      </c>
      <c r="R2821" t="s">
        <v>12384</v>
      </c>
      <c r="W2821" t="s">
        <v>12386</v>
      </c>
      <c r="X2821" t="s">
        <v>12387</v>
      </c>
      <c r="Y2821" t="s">
        <v>116</v>
      </c>
      <c r="Z2821" t="s">
        <v>117</v>
      </c>
      <c r="AA2821" t="str">
        <f>"14209-1912"</f>
        <v>14209-1912</v>
      </c>
      <c r="AB2821" t="s">
        <v>291</v>
      </c>
      <c r="AC2821" t="s">
        <v>119</v>
      </c>
      <c r="AD2821" t="s">
        <v>113</v>
      </c>
      <c r="AE2821" t="s">
        <v>120</v>
      </c>
      <c r="AG2821" t="s">
        <v>121</v>
      </c>
    </row>
    <row r="2822" spans="1:33" x14ac:dyDescent="0.25">
      <c r="A2822" t="str">
        <f>"1730166448"</f>
        <v>1730166448</v>
      </c>
      <c r="B2822" t="str">
        <f>"01665021"</f>
        <v>01665021</v>
      </c>
      <c r="C2822" t="s">
        <v>15995</v>
      </c>
      <c r="D2822" t="s">
        <v>15996</v>
      </c>
      <c r="E2822" t="s">
        <v>15997</v>
      </c>
      <c r="G2822" t="s">
        <v>330</v>
      </c>
      <c r="H2822" t="s">
        <v>15998</v>
      </c>
      <c r="J2822" t="s">
        <v>332</v>
      </c>
      <c r="L2822" t="s">
        <v>150</v>
      </c>
      <c r="M2822" t="s">
        <v>113</v>
      </c>
      <c r="R2822" t="s">
        <v>15999</v>
      </c>
      <c r="W2822" t="s">
        <v>15997</v>
      </c>
      <c r="X2822" t="s">
        <v>13523</v>
      </c>
      <c r="Y2822" t="s">
        <v>129</v>
      </c>
      <c r="Z2822" t="s">
        <v>117</v>
      </c>
      <c r="AA2822" t="str">
        <f>"14224-3352"</f>
        <v>14224-3352</v>
      </c>
      <c r="AB2822" t="s">
        <v>118</v>
      </c>
      <c r="AC2822" t="s">
        <v>119</v>
      </c>
      <c r="AD2822" t="s">
        <v>113</v>
      </c>
      <c r="AE2822" t="s">
        <v>120</v>
      </c>
      <c r="AG2822" t="s">
        <v>121</v>
      </c>
    </row>
    <row r="2823" spans="1:33" x14ac:dyDescent="0.25">
      <c r="A2823" t="str">
        <f>"1730168667"</f>
        <v>1730168667</v>
      </c>
      <c r="B2823" t="str">
        <f>"01012468"</f>
        <v>01012468</v>
      </c>
      <c r="C2823" t="s">
        <v>16000</v>
      </c>
      <c r="D2823" t="s">
        <v>16001</v>
      </c>
      <c r="E2823" t="s">
        <v>16002</v>
      </c>
      <c r="G2823" t="s">
        <v>16000</v>
      </c>
      <c r="H2823" t="s">
        <v>16003</v>
      </c>
      <c r="J2823" t="s">
        <v>16004</v>
      </c>
      <c r="L2823" t="s">
        <v>142</v>
      </c>
      <c r="M2823" t="s">
        <v>113</v>
      </c>
      <c r="R2823" t="s">
        <v>16005</v>
      </c>
      <c r="W2823" t="s">
        <v>16002</v>
      </c>
      <c r="X2823" t="s">
        <v>4176</v>
      </c>
      <c r="Y2823" t="s">
        <v>116</v>
      </c>
      <c r="Z2823" t="s">
        <v>117</v>
      </c>
      <c r="AA2823" t="str">
        <f>"14203-2209"</f>
        <v>14203-2209</v>
      </c>
      <c r="AB2823" t="s">
        <v>1755</v>
      </c>
      <c r="AC2823" t="s">
        <v>119</v>
      </c>
      <c r="AD2823" t="s">
        <v>113</v>
      </c>
      <c r="AE2823" t="s">
        <v>120</v>
      </c>
      <c r="AG2823" t="s">
        <v>121</v>
      </c>
    </row>
    <row r="2824" spans="1:33" x14ac:dyDescent="0.25">
      <c r="A2824" t="str">
        <f>"1730172776"</f>
        <v>1730172776</v>
      </c>
      <c r="B2824" t="str">
        <f>"01173293"</f>
        <v>01173293</v>
      </c>
      <c r="C2824" t="s">
        <v>16006</v>
      </c>
      <c r="D2824" t="s">
        <v>16007</v>
      </c>
      <c r="E2824" t="s">
        <v>16008</v>
      </c>
      <c r="G2824" t="s">
        <v>16006</v>
      </c>
      <c r="H2824" t="s">
        <v>1507</v>
      </c>
      <c r="J2824" t="s">
        <v>16009</v>
      </c>
      <c r="L2824" t="s">
        <v>728</v>
      </c>
      <c r="M2824" t="s">
        <v>113</v>
      </c>
      <c r="R2824" t="s">
        <v>16010</v>
      </c>
      <c r="W2824" t="s">
        <v>16008</v>
      </c>
      <c r="X2824" t="s">
        <v>784</v>
      </c>
      <c r="Y2824" t="s">
        <v>240</v>
      </c>
      <c r="Z2824" t="s">
        <v>117</v>
      </c>
      <c r="AA2824" t="str">
        <f>"14221-3698"</f>
        <v>14221-3698</v>
      </c>
      <c r="AB2824" t="s">
        <v>118</v>
      </c>
      <c r="AC2824" t="s">
        <v>119</v>
      </c>
      <c r="AD2824" t="s">
        <v>113</v>
      </c>
      <c r="AE2824" t="s">
        <v>120</v>
      </c>
      <c r="AG2824" t="s">
        <v>121</v>
      </c>
    </row>
    <row r="2825" spans="1:33" x14ac:dyDescent="0.25">
      <c r="A2825" t="str">
        <f>"1730175241"</f>
        <v>1730175241</v>
      </c>
      <c r="B2825" t="str">
        <f>"00632086"</f>
        <v>00632086</v>
      </c>
      <c r="C2825" t="s">
        <v>16011</v>
      </c>
      <c r="D2825" t="s">
        <v>16012</v>
      </c>
      <c r="E2825" t="s">
        <v>16013</v>
      </c>
      <c r="G2825" t="s">
        <v>16011</v>
      </c>
      <c r="H2825" t="s">
        <v>16014</v>
      </c>
      <c r="J2825" t="s">
        <v>16015</v>
      </c>
      <c r="L2825" t="s">
        <v>142</v>
      </c>
      <c r="M2825" t="s">
        <v>113</v>
      </c>
      <c r="R2825" t="s">
        <v>16016</v>
      </c>
      <c r="W2825" t="s">
        <v>16013</v>
      </c>
      <c r="Y2825" t="s">
        <v>880</v>
      </c>
      <c r="Z2825" t="s">
        <v>117</v>
      </c>
      <c r="AA2825" t="str">
        <f>"13203-1899"</f>
        <v>13203-1899</v>
      </c>
      <c r="AB2825" t="s">
        <v>118</v>
      </c>
      <c r="AC2825" t="s">
        <v>119</v>
      </c>
      <c r="AD2825" t="s">
        <v>113</v>
      </c>
      <c r="AE2825" t="s">
        <v>120</v>
      </c>
      <c r="AG2825" t="s">
        <v>121</v>
      </c>
    </row>
    <row r="2826" spans="1:33" x14ac:dyDescent="0.25">
      <c r="A2826" t="str">
        <f>"1184897258"</f>
        <v>1184897258</v>
      </c>
      <c r="B2826" t="str">
        <f>"03005281"</f>
        <v>03005281</v>
      </c>
      <c r="C2826" t="s">
        <v>5966</v>
      </c>
      <c r="D2826" t="s">
        <v>8957</v>
      </c>
      <c r="E2826" t="s">
        <v>8958</v>
      </c>
      <c r="G2826" t="s">
        <v>5968</v>
      </c>
      <c r="H2826" t="s">
        <v>5969</v>
      </c>
      <c r="I2826">
        <v>112</v>
      </c>
      <c r="J2826" t="s">
        <v>5970</v>
      </c>
      <c r="L2826" t="s">
        <v>7286</v>
      </c>
      <c r="M2826" t="s">
        <v>199</v>
      </c>
      <c r="R2826" t="s">
        <v>5966</v>
      </c>
      <c r="W2826" t="s">
        <v>8958</v>
      </c>
      <c r="X2826" t="s">
        <v>10447</v>
      </c>
      <c r="Y2826" t="s">
        <v>116</v>
      </c>
      <c r="Z2826" t="s">
        <v>117</v>
      </c>
      <c r="AA2826" t="str">
        <f>"14213-2116"</f>
        <v>14213-2116</v>
      </c>
      <c r="AB2826" t="s">
        <v>1146</v>
      </c>
      <c r="AC2826" t="s">
        <v>119</v>
      </c>
      <c r="AD2826" t="s">
        <v>113</v>
      </c>
      <c r="AE2826" t="s">
        <v>120</v>
      </c>
      <c r="AG2826" t="s">
        <v>121</v>
      </c>
    </row>
    <row r="2827" spans="1:33" x14ac:dyDescent="0.25">
      <c r="A2827" t="str">
        <f>"1528167384"</f>
        <v>1528167384</v>
      </c>
      <c r="B2827" t="str">
        <f>"00647865"</f>
        <v>00647865</v>
      </c>
      <c r="C2827" t="s">
        <v>16024</v>
      </c>
      <c r="D2827" t="s">
        <v>16025</v>
      </c>
      <c r="E2827" t="s">
        <v>16026</v>
      </c>
      <c r="G2827" t="s">
        <v>16024</v>
      </c>
      <c r="H2827" t="s">
        <v>16027</v>
      </c>
      <c r="L2827" t="s">
        <v>150</v>
      </c>
      <c r="M2827" t="s">
        <v>113</v>
      </c>
      <c r="R2827" t="s">
        <v>16028</v>
      </c>
      <c r="W2827" t="s">
        <v>16029</v>
      </c>
      <c r="X2827" t="s">
        <v>16030</v>
      </c>
      <c r="Y2827" t="s">
        <v>377</v>
      </c>
      <c r="Z2827" t="s">
        <v>117</v>
      </c>
      <c r="AA2827" t="str">
        <f>"14217-1356"</f>
        <v>14217-1356</v>
      </c>
      <c r="AB2827" t="s">
        <v>118</v>
      </c>
      <c r="AC2827" t="s">
        <v>119</v>
      </c>
      <c r="AD2827" t="s">
        <v>113</v>
      </c>
      <c r="AE2827" t="s">
        <v>120</v>
      </c>
      <c r="AG2827" t="s">
        <v>121</v>
      </c>
    </row>
    <row r="2828" spans="1:33" x14ac:dyDescent="0.25">
      <c r="A2828" t="str">
        <f>"1497967129"</f>
        <v>1497967129</v>
      </c>
      <c r="B2828" t="str">
        <f>"03005290"</f>
        <v>03005290</v>
      </c>
      <c r="C2828" t="s">
        <v>12400</v>
      </c>
      <c r="D2828" t="s">
        <v>8957</v>
      </c>
      <c r="E2828" t="s">
        <v>8958</v>
      </c>
      <c r="G2828" t="s">
        <v>5968</v>
      </c>
      <c r="H2828" t="s">
        <v>5969</v>
      </c>
      <c r="I2828">
        <v>112</v>
      </c>
      <c r="J2828" t="s">
        <v>5970</v>
      </c>
      <c r="L2828" t="s">
        <v>7286</v>
      </c>
      <c r="M2828" t="s">
        <v>199</v>
      </c>
      <c r="R2828" t="s">
        <v>12400</v>
      </c>
      <c r="W2828" t="s">
        <v>8958</v>
      </c>
      <c r="X2828" t="s">
        <v>10447</v>
      </c>
      <c r="Y2828" t="s">
        <v>116</v>
      </c>
      <c r="Z2828" t="s">
        <v>117</v>
      </c>
      <c r="AA2828" t="str">
        <f>"14213-2116"</f>
        <v>14213-2116</v>
      </c>
      <c r="AB2828" t="s">
        <v>1460</v>
      </c>
      <c r="AC2828" t="s">
        <v>119</v>
      </c>
      <c r="AD2828" t="s">
        <v>113</v>
      </c>
      <c r="AE2828" t="s">
        <v>120</v>
      </c>
      <c r="AG2828" t="s">
        <v>121</v>
      </c>
    </row>
    <row r="2829" spans="1:33" x14ac:dyDescent="0.25">
      <c r="A2829" t="str">
        <f>"1528208675"</f>
        <v>1528208675</v>
      </c>
      <c r="B2829" t="str">
        <f>"04349515"</f>
        <v>04349515</v>
      </c>
      <c r="C2829" t="s">
        <v>16038</v>
      </c>
      <c r="D2829" t="s">
        <v>16039</v>
      </c>
      <c r="E2829" t="s">
        <v>16040</v>
      </c>
      <c r="G2829" t="s">
        <v>16041</v>
      </c>
      <c r="H2829" t="s">
        <v>1964</v>
      </c>
      <c r="J2829" t="s">
        <v>16042</v>
      </c>
      <c r="L2829" t="s">
        <v>112</v>
      </c>
      <c r="M2829" t="s">
        <v>113</v>
      </c>
      <c r="R2829" t="s">
        <v>16043</v>
      </c>
      <c r="W2829" t="s">
        <v>16044</v>
      </c>
      <c r="X2829" t="s">
        <v>176</v>
      </c>
      <c r="Y2829" t="s">
        <v>116</v>
      </c>
      <c r="Z2829" t="s">
        <v>117</v>
      </c>
      <c r="AA2829" t="str">
        <f>"14203-1126"</f>
        <v>14203-1126</v>
      </c>
      <c r="AB2829" t="s">
        <v>118</v>
      </c>
      <c r="AC2829" t="s">
        <v>119</v>
      </c>
      <c r="AD2829" t="s">
        <v>113</v>
      </c>
      <c r="AE2829" t="s">
        <v>120</v>
      </c>
      <c r="AG2829" t="s">
        <v>121</v>
      </c>
    </row>
    <row r="2830" spans="1:33" x14ac:dyDescent="0.25">
      <c r="A2830" t="str">
        <f>"1528214301"</f>
        <v>1528214301</v>
      </c>
      <c r="B2830" t="str">
        <f>"03060193"</f>
        <v>03060193</v>
      </c>
      <c r="C2830" t="s">
        <v>16045</v>
      </c>
      <c r="D2830" t="s">
        <v>16046</v>
      </c>
      <c r="E2830" t="s">
        <v>16047</v>
      </c>
      <c r="G2830" t="s">
        <v>16045</v>
      </c>
      <c r="H2830" t="s">
        <v>16048</v>
      </c>
      <c r="J2830" t="s">
        <v>16049</v>
      </c>
      <c r="L2830" t="s">
        <v>142</v>
      </c>
      <c r="M2830" t="s">
        <v>113</v>
      </c>
      <c r="R2830" t="s">
        <v>16050</v>
      </c>
      <c r="W2830" t="s">
        <v>16047</v>
      </c>
      <c r="X2830" t="s">
        <v>176</v>
      </c>
      <c r="Y2830" t="s">
        <v>116</v>
      </c>
      <c r="Z2830" t="s">
        <v>117</v>
      </c>
      <c r="AA2830" t="str">
        <f>"14203-1126"</f>
        <v>14203-1126</v>
      </c>
      <c r="AB2830" t="s">
        <v>118</v>
      </c>
      <c r="AC2830" t="s">
        <v>119</v>
      </c>
      <c r="AD2830" t="s">
        <v>113</v>
      </c>
      <c r="AE2830" t="s">
        <v>120</v>
      </c>
      <c r="AG2830" t="s">
        <v>121</v>
      </c>
    </row>
    <row r="2831" spans="1:33" x14ac:dyDescent="0.25">
      <c r="A2831" t="str">
        <f>"1922210657"</f>
        <v>1922210657</v>
      </c>
      <c r="B2831" t="str">
        <f>"03005323"</f>
        <v>03005323</v>
      </c>
      <c r="C2831" t="s">
        <v>8956</v>
      </c>
      <c r="D2831" t="s">
        <v>8957</v>
      </c>
      <c r="E2831" t="s">
        <v>8958</v>
      </c>
      <c r="G2831" t="s">
        <v>13290</v>
      </c>
      <c r="H2831" t="s">
        <v>5969</v>
      </c>
      <c r="I2831">
        <v>112</v>
      </c>
      <c r="J2831" t="s">
        <v>5970</v>
      </c>
      <c r="L2831" t="s">
        <v>7286</v>
      </c>
      <c r="M2831" t="s">
        <v>199</v>
      </c>
      <c r="R2831" t="s">
        <v>8956</v>
      </c>
      <c r="W2831" t="s">
        <v>8958</v>
      </c>
      <c r="X2831" t="s">
        <v>10447</v>
      </c>
      <c r="Y2831" t="s">
        <v>116</v>
      </c>
      <c r="Z2831" t="s">
        <v>117</v>
      </c>
      <c r="AA2831" t="str">
        <f>"14213-2116"</f>
        <v>14213-2116</v>
      </c>
      <c r="AB2831" t="s">
        <v>1460</v>
      </c>
      <c r="AC2831" t="s">
        <v>119</v>
      </c>
      <c r="AD2831" t="s">
        <v>113</v>
      </c>
      <c r="AE2831" t="s">
        <v>120</v>
      </c>
      <c r="AG2831" t="s">
        <v>121</v>
      </c>
    </row>
    <row r="2832" spans="1:33" x14ac:dyDescent="0.25">
      <c r="A2832" t="str">
        <f>"1528220860"</f>
        <v>1528220860</v>
      </c>
      <c r="B2832" t="str">
        <f>"03219734"</f>
        <v>03219734</v>
      </c>
      <c r="C2832" t="s">
        <v>16052</v>
      </c>
      <c r="D2832" t="s">
        <v>16053</v>
      </c>
      <c r="E2832" t="s">
        <v>16054</v>
      </c>
      <c r="H2832" t="s">
        <v>16055</v>
      </c>
      <c r="L2832" t="s">
        <v>112</v>
      </c>
      <c r="M2832" t="s">
        <v>113</v>
      </c>
      <c r="R2832" t="s">
        <v>16056</v>
      </c>
      <c r="W2832" t="s">
        <v>16054</v>
      </c>
      <c r="X2832" t="s">
        <v>16057</v>
      </c>
      <c r="Y2832" t="s">
        <v>1545</v>
      </c>
      <c r="Z2832" t="s">
        <v>117</v>
      </c>
      <c r="AA2832" t="str">
        <f>"14218-1818"</f>
        <v>14218-1818</v>
      </c>
      <c r="AB2832" t="s">
        <v>634</v>
      </c>
      <c r="AC2832" t="s">
        <v>119</v>
      </c>
      <c r="AD2832" t="s">
        <v>113</v>
      </c>
      <c r="AE2832" t="s">
        <v>120</v>
      </c>
      <c r="AG2832" t="s">
        <v>121</v>
      </c>
    </row>
    <row r="2833" spans="1:33" x14ac:dyDescent="0.25">
      <c r="A2833" t="str">
        <f>"1528233616"</f>
        <v>1528233616</v>
      </c>
      <c r="B2833" t="str">
        <f>"03045416"</f>
        <v>03045416</v>
      </c>
      <c r="C2833" t="s">
        <v>3490</v>
      </c>
      <c r="D2833" t="s">
        <v>16058</v>
      </c>
      <c r="E2833" t="s">
        <v>16059</v>
      </c>
      <c r="H2833" t="s">
        <v>366</v>
      </c>
      <c r="L2833" t="s">
        <v>69</v>
      </c>
      <c r="M2833" t="s">
        <v>113</v>
      </c>
      <c r="R2833" t="s">
        <v>3490</v>
      </c>
      <c r="W2833" t="s">
        <v>16060</v>
      </c>
      <c r="X2833" t="s">
        <v>253</v>
      </c>
      <c r="Y2833" t="s">
        <v>116</v>
      </c>
      <c r="Z2833" t="s">
        <v>117</v>
      </c>
      <c r="AA2833" t="str">
        <f>"14215-3021"</f>
        <v>14215-3021</v>
      </c>
      <c r="AB2833" t="s">
        <v>1460</v>
      </c>
      <c r="AC2833" t="s">
        <v>119</v>
      </c>
      <c r="AD2833" t="s">
        <v>113</v>
      </c>
      <c r="AE2833" t="s">
        <v>120</v>
      </c>
      <c r="AG2833" t="s">
        <v>121</v>
      </c>
    </row>
    <row r="2834" spans="1:33" x14ac:dyDescent="0.25">
      <c r="A2834" t="str">
        <f>"1528235181"</f>
        <v>1528235181</v>
      </c>
      <c r="B2834" t="str">
        <f>"02990018"</f>
        <v>02990018</v>
      </c>
      <c r="C2834" t="s">
        <v>16061</v>
      </c>
      <c r="D2834" t="s">
        <v>16062</v>
      </c>
      <c r="E2834" t="s">
        <v>16063</v>
      </c>
      <c r="G2834" t="s">
        <v>16064</v>
      </c>
      <c r="H2834" t="s">
        <v>14293</v>
      </c>
      <c r="J2834" t="s">
        <v>16065</v>
      </c>
      <c r="L2834" t="s">
        <v>728</v>
      </c>
      <c r="M2834" t="s">
        <v>113</v>
      </c>
      <c r="R2834" t="s">
        <v>16063</v>
      </c>
      <c r="W2834" t="s">
        <v>16066</v>
      </c>
      <c r="X2834" t="s">
        <v>16067</v>
      </c>
      <c r="Y2834" t="s">
        <v>1312</v>
      </c>
      <c r="Z2834" t="s">
        <v>117</v>
      </c>
      <c r="AA2834" t="str">
        <f>"14226-3803"</f>
        <v>14226-3803</v>
      </c>
      <c r="AB2834" t="s">
        <v>118</v>
      </c>
      <c r="AC2834" t="s">
        <v>119</v>
      </c>
      <c r="AD2834" t="s">
        <v>113</v>
      </c>
      <c r="AE2834" t="s">
        <v>120</v>
      </c>
      <c r="AG2834" t="s">
        <v>121</v>
      </c>
    </row>
    <row r="2835" spans="1:33" x14ac:dyDescent="0.25">
      <c r="A2835" t="str">
        <f>"1528304300"</f>
        <v>1528304300</v>
      </c>
      <c r="B2835" t="str">
        <f>"03648868"</f>
        <v>03648868</v>
      </c>
      <c r="C2835" t="s">
        <v>16068</v>
      </c>
      <c r="D2835" t="s">
        <v>16069</v>
      </c>
      <c r="E2835" t="s">
        <v>16070</v>
      </c>
      <c r="G2835" t="s">
        <v>16068</v>
      </c>
      <c r="H2835" t="s">
        <v>16071</v>
      </c>
      <c r="J2835" t="s">
        <v>16072</v>
      </c>
      <c r="L2835" t="s">
        <v>142</v>
      </c>
      <c r="M2835" t="s">
        <v>113</v>
      </c>
      <c r="R2835" t="s">
        <v>16073</v>
      </c>
      <c r="W2835" t="s">
        <v>16070</v>
      </c>
      <c r="X2835" t="s">
        <v>1845</v>
      </c>
      <c r="Y2835" t="s">
        <v>816</v>
      </c>
      <c r="Z2835" t="s">
        <v>117</v>
      </c>
      <c r="AA2835" t="str">
        <f>"14120-6150"</f>
        <v>14120-6150</v>
      </c>
      <c r="AB2835" t="s">
        <v>118</v>
      </c>
      <c r="AC2835" t="s">
        <v>119</v>
      </c>
      <c r="AD2835" t="s">
        <v>113</v>
      </c>
      <c r="AE2835" t="s">
        <v>120</v>
      </c>
      <c r="AG2835" t="s">
        <v>121</v>
      </c>
    </row>
    <row r="2836" spans="1:33" x14ac:dyDescent="0.25">
      <c r="A2836" t="str">
        <f>"1528321353"</f>
        <v>1528321353</v>
      </c>
      <c r="C2836" t="s">
        <v>16074</v>
      </c>
      <c r="G2836" t="s">
        <v>16075</v>
      </c>
      <c r="H2836" t="s">
        <v>351</v>
      </c>
      <c r="J2836" t="s">
        <v>352</v>
      </c>
      <c r="K2836" t="s">
        <v>303</v>
      </c>
      <c r="L2836" t="s">
        <v>229</v>
      </c>
      <c r="M2836" t="s">
        <v>113</v>
      </c>
      <c r="R2836" t="s">
        <v>16076</v>
      </c>
      <c r="S2836" t="s">
        <v>354</v>
      </c>
      <c r="T2836" t="s">
        <v>116</v>
      </c>
      <c r="U2836" t="s">
        <v>117</v>
      </c>
      <c r="V2836" t="str">
        <f>"142152814"</f>
        <v>142152814</v>
      </c>
      <c r="AC2836" t="s">
        <v>119</v>
      </c>
      <c r="AD2836" t="s">
        <v>113</v>
      </c>
      <c r="AE2836" t="s">
        <v>306</v>
      </c>
      <c r="AG2836" t="s">
        <v>121</v>
      </c>
    </row>
    <row r="2837" spans="1:33" x14ac:dyDescent="0.25">
      <c r="A2837" t="str">
        <f>"1528323011"</f>
        <v>1528323011</v>
      </c>
      <c r="C2837" t="s">
        <v>16077</v>
      </c>
      <c r="G2837" t="s">
        <v>16077</v>
      </c>
      <c r="H2837" t="s">
        <v>16078</v>
      </c>
      <c r="J2837" t="s">
        <v>16079</v>
      </c>
      <c r="K2837" t="s">
        <v>303</v>
      </c>
      <c r="L2837" t="s">
        <v>229</v>
      </c>
      <c r="M2837" t="s">
        <v>113</v>
      </c>
      <c r="R2837" t="s">
        <v>16080</v>
      </c>
      <c r="S2837" t="s">
        <v>16081</v>
      </c>
      <c r="T2837" t="s">
        <v>16082</v>
      </c>
      <c r="U2837" t="s">
        <v>16083</v>
      </c>
      <c r="V2837" t="str">
        <f>"711034228"</f>
        <v>711034228</v>
      </c>
      <c r="AC2837" t="s">
        <v>119</v>
      </c>
      <c r="AD2837" t="s">
        <v>113</v>
      </c>
      <c r="AE2837" t="s">
        <v>306</v>
      </c>
      <c r="AG2837" t="s">
        <v>121</v>
      </c>
    </row>
    <row r="2838" spans="1:33" x14ac:dyDescent="0.25">
      <c r="A2838" t="str">
        <f>"1528371572"</f>
        <v>1528371572</v>
      </c>
      <c r="B2838" t="str">
        <f>"03897023"</f>
        <v>03897023</v>
      </c>
      <c r="C2838" t="s">
        <v>16084</v>
      </c>
      <c r="D2838" t="s">
        <v>16085</v>
      </c>
      <c r="E2838" t="s">
        <v>16086</v>
      </c>
      <c r="G2838" t="s">
        <v>16084</v>
      </c>
      <c r="H2838" t="s">
        <v>16087</v>
      </c>
      <c r="J2838" t="s">
        <v>16088</v>
      </c>
      <c r="L2838" t="s">
        <v>112</v>
      </c>
      <c r="M2838" t="s">
        <v>113</v>
      </c>
      <c r="R2838" t="s">
        <v>16089</v>
      </c>
      <c r="W2838" t="s">
        <v>16086</v>
      </c>
      <c r="X2838" t="s">
        <v>7792</v>
      </c>
      <c r="Y2838" t="s">
        <v>116</v>
      </c>
      <c r="Z2838" t="s">
        <v>117</v>
      </c>
      <c r="AA2838" t="str">
        <f>"14209-2102"</f>
        <v>14209-2102</v>
      </c>
      <c r="AB2838" t="s">
        <v>118</v>
      </c>
      <c r="AC2838" t="s">
        <v>119</v>
      </c>
      <c r="AD2838" t="s">
        <v>113</v>
      </c>
      <c r="AE2838" t="s">
        <v>120</v>
      </c>
      <c r="AG2838" t="s">
        <v>121</v>
      </c>
    </row>
    <row r="2839" spans="1:33" x14ac:dyDescent="0.25">
      <c r="A2839" t="str">
        <f>"1528398781"</f>
        <v>1528398781</v>
      </c>
      <c r="C2839" t="s">
        <v>16090</v>
      </c>
      <c r="G2839" t="s">
        <v>16091</v>
      </c>
      <c r="J2839" t="s">
        <v>352</v>
      </c>
      <c r="K2839" t="s">
        <v>303</v>
      </c>
      <c r="L2839" t="s">
        <v>112</v>
      </c>
      <c r="M2839" t="s">
        <v>113</v>
      </c>
      <c r="R2839" t="s">
        <v>16092</v>
      </c>
      <c r="S2839" t="s">
        <v>2800</v>
      </c>
      <c r="T2839" t="s">
        <v>116</v>
      </c>
      <c r="U2839" t="s">
        <v>117</v>
      </c>
      <c r="V2839" t="str">
        <f>"142254985"</f>
        <v>142254985</v>
      </c>
      <c r="AC2839" t="s">
        <v>119</v>
      </c>
      <c r="AD2839" t="s">
        <v>113</v>
      </c>
      <c r="AE2839" t="s">
        <v>306</v>
      </c>
      <c r="AG2839" t="s">
        <v>121</v>
      </c>
    </row>
    <row r="2840" spans="1:33" x14ac:dyDescent="0.25">
      <c r="A2840" t="str">
        <f>"1528400694"</f>
        <v>1528400694</v>
      </c>
      <c r="C2840" t="s">
        <v>16093</v>
      </c>
      <c r="G2840" t="s">
        <v>16093</v>
      </c>
      <c r="H2840" t="s">
        <v>2798</v>
      </c>
      <c r="J2840" t="s">
        <v>438</v>
      </c>
      <c r="K2840" t="s">
        <v>303</v>
      </c>
      <c r="L2840" t="s">
        <v>112</v>
      </c>
      <c r="M2840" t="s">
        <v>113</v>
      </c>
      <c r="R2840" t="s">
        <v>16094</v>
      </c>
      <c r="S2840" t="s">
        <v>3611</v>
      </c>
      <c r="T2840" t="s">
        <v>116</v>
      </c>
      <c r="U2840" t="s">
        <v>117</v>
      </c>
      <c r="V2840" t="str">
        <f>"142121501"</f>
        <v>142121501</v>
      </c>
      <c r="AC2840" t="s">
        <v>119</v>
      </c>
      <c r="AD2840" t="s">
        <v>113</v>
      </c>
      <c r="AE2840" t="s">
        <v>306</v>
      </c>
      <c r="AG2840" t="s">
        <v>121</v>
      </c>
    </row>
    <row r="2841" spans="1:33" x14ac:dyDescent="0.25">
      <c r="A2841" t="str">
        <f>"1528480969"</f>
        <v>1528480969</v>
      </c>
      <c r="C2841" t="s">
        <v>16095</v>
      </c>
      <c r="G2841" t="s">
        <v>16096</v>
      </c>
      <c r="H2841" t="s">
        <v>351</v>
      </c>
      <c r="J2841" t="s">
        <v>352</v>
      </c>
      <c r="K2841" t="s">
        <v>303</v>
      </c>
      <c r="L2841" t="s">
        <v>229</v>
      </c>
      <c r="M2841" t="s">
        <v>113</v>
      </c>
      <c r="R2841" t="s">
        <v>16097</v>
      </c>
      <c r="S2841" t="s">
        <v>354</v>
      </c>
      <c r="T2841" t="s">
        <v>116</v>
      </c>
      <c r="U2841" t="s">
        <v>117</v>
      </c>
      <c r="V2841" t="str">
        <f>"142152814"</f>
        <v>142152814</v>
      </c>
      <c r="AC2841" t="s">
        <v>119</v>
      </c>
      <c r="AD2841" t="s">
        <v>113</v>
      </c>
      <c r="AE2841" t="s">
        <v>306</v>
      </c>
      <c r="AG2841" t="s">
        <v>121</v>
      </c>
    </row>
    <row r="2842" spans="1:33" x14ac:dyDescent="0.25">
      <c r="A2842" t="str">
        <f>"1528492311"</f>
        <v>1528492311</v>
      </c>
      <c r="C2842" t="s">
        <v>16098</v>
      </c>
      <c r="G2842" t="s">
        <v>16098</v>
      </c>
      <c r="H2842" t="s">
        <v>1115</v>
      </c>
      <c r="J2842" t="s">
        <v>438</v>
      </c>
      <c r="K2842" t="s">
        <v>303</v>
      </c>
      <c r="L2842" t="s">
        <v>112</v>
      </c>
      <c r="M2842" t="s">
        <v>113</v>
      </c>
      <c r="R2842" t="s">
        <v>16099</v>
      </c>
      <c r="S2842" t="s">
        <v>2800</v>
      </c>
      <c r="T2842" t="s">
        <v>318</v>
      </c>
      <c r="U2842" t="s">
        <v>117</v>
      </c>
      <c r="V2842" t="str">
        <f>"142254985"</f>
        <v>142254985</v>
      </c>
      <c r="AC2842" t="s">
        <v>119</v>
      </c>
      <c r="AD2842" t="s">
        <v>113</v>
      </c>
      <c r="AE2842" t="s">
        <v>306</v>
      </c>
      <c r="AG2842" t="s">
        <v>121</v>
      </c>
    </row>
    <row r="2843" spans="1:33" x14ac:dyDescent="0.25">
      <c r="A2843" t="str">
        <f>"1528492394"</f>
        <v>1528492394</v>
      </c>
      <c r="B2843" t="str">
        <f>"03760845"</f>
        <v>03760845</v>
      </c>
      <c r="C2843" t="s">
        <v>16100</v>
      </c>
      <c r="D2843" t="s">
        <v>16101</v>
      </c>
      <c r="E2843" t="s">
        <v>16102</v>
      </c>
      <c r="G2843" t="s">
        <v>16100</v>
      </c>
      <c r="H2843" t="s">
        <v>16103</v>
      </c>
      <c r="J2843" t="s">
        <v>16104</v>
      </c>
      <c r="L2843" t="s">
        <v>112</v>
      </c>
      <c r="M2843" t="s">
        <v>113</v>
      </c>
      <c r="R2843" t="s">
        <v>16105</v>
      </c>
      <c r="W2843" t="s">
        <v>16102</v>
      </c>
      <c r="X2843" t="s">
        <v>176</v>
      </c>
      <c r="Y2843" t="s">
        <v>116</v>
      </c>
      <c r="Z2843" t="s">
        <v>117</v>
      </c>
      <c r="AA2843" t="str">
        <f>"14203-1126"</f>
        <v>14203-1126</v>
      </c>
      <c r="AB2843" t="s">
        <v>118</v>
      </c>
      <c r="AC2843" t="s">
        <v>119</v>
      </c>
      <c r="AD2843" t="s">
        <v>113</v>
      </c>
      <c r="AE2843" t="s">
        <v>120</v>
      </c>
      <c r="AG2843" t="s">
        <v>121</v>
      </c>
    </row>
    <row r="2844" spans="1:33" x14ac:dyDescent="0.25">
      <c r="A2844" t="str">
        <f>"1538100755"</f>
        <v>1538100755</v>
      </c>
      <c r="B2844" t="str">
        <f>"00832444"</f>
        <v>00832444</v>
      </c>
      <c r="C2844" t="s">
        <v>16106</v>
      </c>
      <c r="D2844" t="s">
        <v>16107</v>
      </c>
      <c r="E2844" t="s">
        <v>16108</v>
      </c>
      <c r="G2844" t="s">
        <v>16106</v>
      </c>
      <c r="H2844" t="s">
        <v>10230</v>
      </c>
      <c r="J2844" t="s">
        <v>16109</v>
      </c>
      <c r="L2844" t="s">
        <v>142</v>
      </c>
      <c r="M2844" t="s">
        <v>113</v>
      </c>
      <c r="R2844" t="s">
        <v>16110</v>
      </c>
      <c r="W2844" t="s">
        <v>16108</v>
      </c>
      <c r="X2844" t="s">
        <v>1648</v>
      </c>
      <c r="Y2844" t="s">
        <v>116</v>
      </c>
      <c r="Z2844" t="s">
        <v>117</v>
      </c>
      <c r="AA2844" t="str">
        <f>"14214-2648"</f>
        <v>14214-2648</v>
      </c>
      <c r="AB2844" t="s">
        <v>118</v>
      </c>
      <c r="AC2844" t="s">
        <v>119</v>
      </c>
      <c r="AD2844" t="s">
        <v>113</v>
      </c>
      <c r="AE2844" t="s">
        <v>120</v>
      </c>
      <c r="AG2844" t="s">
        <v>121</v>
      </c>
    </row>
    <row r="2845" spans="1:33" x14ac:dyDescent="0.25">
      <c r="A2845" t="str">
        <f>"1538113873"</f>
        <v>1538113873</v>
      </c>
      <c r="B2845" t="str">
        <f>"01530221"</f>
        <v>01530221</v>
      </c>
      <c r="C2845" t="s">
        <v>16111</v>
      </c>
      <c r="D2845" t="s">
        <v>16112</v>
      </c>
      <c r="E2845" t="s">
        <v>16113</v>
      </c>
      <c r="G2845" t="s">
        <v>16111</v>
      </c>
      <c r="H2845" t="s">
        <v>2628</v>
      </c>
      <c r="J2845" t="s">
        <v>16114</v>
      </c>
      <c r="L2845" t="s">
        <v>142</v>
      </c>
      <c r="M2845" t="s">
        <v>113</v>
      </c>
      <c r="R2845" t="s">
        <v>16115</v>
      </c>
      <c r="W2845" t="s">
        <v>16113</v>
      </c>
      <c r="X2845" t="s">
        <v>11910</v>
      </c>
      <c r="Y2845" t="s">
        <v>1562</v>
      </c>
      <c r="Z2845" t="s">
        <v>117</v>
      </c>
      <c r="AA2845" t="str">
        <f>"14047-9306"</f>
        <v>14047-9306</v>
      </c>
      <c r="AB2845" t="s">
        <v>118</v>
      </c>
      <c r="AC2845" t="s">
        <v>119</v>
      </c>
      <c r="AD2845" t="s">
        <v>113</v>
      </c>
      <c r="AE2845" t="s">
        <v>120</v>
      </c>
      <c r="AG2845" t="s">
        <v>121</v>
      </c>
    </row>
    <row r="2846" spans="1:33" x14ac:dyDescent="0.25">
      <c r="A2846" t="str">
        <f>"1538125869"</f>
        <v>1538125869</v>
      </c>
      <c r="B2846" t="str">
        <f>"01250875"</f>
        <v>01250875</v>
      </c>
      <c r="C2846" t="s">
        <v>16116</v>
      </c>
      <c r="D2846" t="s">
        <v>16117</v>
      </c>
      <c r="E2846" t="s">
        <v>16118</v>
      </c>
      <c r="G2846" t="s">
        <v>16119</v>
      </c>
      <c r="H2846" t="s">
        <v>8793</v>
      </c>
      <c r="J2846" t="s">
        <v>16120</v>
      </c>
      <c r="L2846" t="s">
        <v>150</v>
      </c>
      <c r="M2846" t="s">
        <v>113</v>
      </c>
      <c r="R2846" t="s">
        <v>16121</v>
      </c>
      <c r="W2846" t="s">
        <v>16118</v>
      </c>
      <c r="X2846" t="s">
        <v>14151</v>
      </c>
      <c r="Y2846" t="s">
        <v>9183</v>
      </c>
      <c r="Z2846" t="s">
        <v>117</v>
      </c>
      <c r="AA2846" t="str">
        <f>"14086-2143"</f>
        <v>14086-2143</v>
      </c>
      <c r="AB2846" t="s">
        <v>118</v>
      </c>
      <c r="AC2846" t="s">
        <v>119</v>
      </c>
      <c r="AD2846" t="s">
        <v>113</v>
      </c>
      <c r="AE2846" t="s">
        <v>120</v>
      </c>
      <c r="AG2846" t="s">
        <v>121</v>
      </c>
    </row>
    <row r="2847" spans="1:33" x14ac:dyDescent="0.25">
      <c r="A2847" t="str">
        <f>"1538127923"</f>
        <v>1538127923</v>
      </c>
      <c r="B2847" t="str">
        <f>"00891887"</f>
        <v>00891887</v>
      </c>
      <c r="C2847" t="s">
        <v>16122</v>
      </c>
      <c r="D2847" t="s">
        <v>16123</v>
      </c>
      <c r="E2847" t="s">
        <v>16124</v>
      </c>
      <c r="G2847" t="s">
        <v>16122</v>
      </c>
      <c r="H2847" t="s">
        <v>205</v>
      </c>
      <c r="J2847" t="s">
        <v>16125</v>
      </c>
      <c r="L2847" t="s">
        <v>142</v>
      </c>
      <c r="M2847" t="s">
        <v>113</v>
      </c>
      <c r="R2847" t="s">
        <v>16126</v>
      </c>
      <c r="W2847" t="s">
        <v>16124</v>
      </c>
      <c r="X2847" t="s">
        <v>6234</v>
      </c>
      <c r="Y2847" t="s">
        <v>240</v>
      </c>
      <c r="Z2847" t="s">
        <v>117</v>
      </c>
      <c r="AA2847" t="str">
        <f>"14221-5329"</f>
        <v>14221-5329</v>
      </c>
      <c r="AB2847" t="s">
        <v>118</v>
      </c>
      <c r="AC2847" t="s">
        <v>119</v>
      </c>
      <c r="AD2847" t="s">
        <v>113</v>
      </c>
      <c r="AE2847" t="s">
        <v>120</v>
      </c>
      <c r="AG2847" t="s">
        <v>121</v>
      </c>
    </row>
    <row r="2848" spans="1:33" x14ac:dyDescent="0.25">
      <c r="A2848" t="str">
        <f>"1538131230"</f>
        <v>1538131230</v>
      </c>
      <c r="B2848" t="str">
        <f>"01619887"</f>
        <v>01619887</v>
      </c>
      <c r="C2848" t="s">
        <v>16127</v>
      </c>
      <c r="D2848" t="s">
        <v>16128</v>
      </c>
      <c r="E2848" t="s">
        <v>16129</v>
      </c>
      <c r="G2848" t="s">
        <v>16127</v>
      </c>
      <c r="H2848" t="s">
        <v>3967</v>
      </c>
      <c r="J2848" t="s">
        <v>16130</v>
      </c>
      <c r="L2848" t="s">
        <v>142</v>
      </c>
      <c r="M2848" t="s">
        <v>113</v>
      </c>
      <c r="R2848" t="s">
        <v>16131</v>
      </c>
      <c r="W2848" t="s">
        <v>16129</v>
      </c>
      <c r="X2848" t="s">
        <v>216</v>
      </c>
      <c r="Y2848" t="s">
        <v>116</v>
      </c>
      <c r="Z2848" t="s">
        <v>117</v>
      </c>
      <c r="AA2848" t="str">
        <f>"14222-2006"</f>
        <v>14222-2006</v>
      </c>
      <c r="AB2848" t="s">
        <v>118</v>
      </c>
      <c r="AC2848" t="s">
        <v>119</v>
      </c>
      <c r="AD2848" t="s">
        <v>113</v>
      </c>
      <c r="AE2848" t="s">
        <v>120</v>
      </c>
      <c r="AG2848" t="s">
        <v>121</v>
      </c>
    </row>
    <row r="2849" spans="1:33" x14ac:dyDescent="0.25">
      <c r="A2849" t="str">
        <f>"1538131982"</f>
        <v>1538131982</v>
      </c>
      <c r="B2849" t="str">
        <f>"00561555"</f>
        <v>00561555</v>
      </c>
      <c r="C2849" t="s">
        <v>16132</v>
      </c>
      <c r="D2849" t="s">
        <v>16133</v>
      </c>
      <c r="E2849" t="s">
        <v>16134</v>
      </c>
      <c r="G2849" t="s">
        <v>16132</v>
      </c>
      <c r="H2849" t="s">
        <v>16135</v>
      </c>
      <c r="J2849" t="s">
        <v>16136</v>
      </c>
      <c r="L2849" t="s">
        <v>142</v>
      </c>
      <c r="M2849" t="s">
        <v>113</v>
      </c>
      <c r="R2849" t="s">
        <v>16137</v>
      </c>
      <c r="W2849" t="s">
        <v>16134</v>
      </c>
      <c r="X2849" t="s">
        <v>2196</v>
      </c>
      <c r="Y2849" t="s">
        <v>116</v>
      </c>
      <c r="Z2849" t="s">
        <v>117</v>
      </c>
      <c r="AA2849" t="str">
        <f>"14203"</f>
        <v>14203</v>
      </c>
      <c r="AB2849" t="s">
        <v>1755</v>
      </c>
      <c r="AC2849" t="s">
        <v>119</v>
      </c>
      <c r="AD2849" t="s">
        <v>113</v>
      </c>
      <c r="AE2849" t="s">
        <v>120</v>
      </c>
      <c r="AG2849" t="s">
        <v>121</v>
      </c>
    </row>
    <row r="2850" spans="1:33" x14ac:dyDescent="0.25">
      <c r="A2850" t="str">
        <f>"1033141957"</f>
        <v>1033141957</v>
      </c>
      <c r="B2850" t="str">
        <f>"02405154"</f>
        <v>02405154</v>
      </c>
      <c r="C2850" t="s">
        <v>16138</v>
      </c>
      <c r="D2850" t="s">
        <v>16139</v>
      </c>
      <c r="E2850" t="s">
        <v>16140</v>
      </c>
      <c r="G2850" t="s">
        <v>16141</v>
      </c>
      <c r="H2850" t="s">
        <v>1964</v>
      </c>
      <c r="J2850" t="s">
        <v>16142</v>
      </c>
      <c r="L2850" t="s">
        <v>112</v>
      </c>
      <c r="M2850" t="s">
        <v>113</v>
      </c>
      <c r="R2850" t="s">
        <v>16143</v>
      </c>
      <c r="W2850" t="s">
        <v>16140</v>
      </c>
      <c r="X2850" t="s">
        <v>3559</v>
      </c>
      <c r="Y2850" t="s">
        <v>847</v>
      </c>
      <c r="Z2850" t="s">
        <v>117</v>
      </c>
      <c r="AA2850" t="str">
        <f>"14569-1025"</f>
        <v>14569-1025</v>
      </c>
      <c r="AB2850" t="s">
        <v>118</v>
      </c>
      <c r="AC2850" t="s">
        <v>119</v>
      </c>
      <c r="AD2850" t="s">
        <v>113</v>
      </c>
      <c r="AE2850" t="s">
        <v>120</v>
      </c>
      <c r="AG2850" t="s">
        <v>121</v>
      </c>
    </row>
    <row r="2851" spans="1:33" x14ac:dyDescent="0.25">
      <c r="A2851" t="str">
        <f>"1033147400"</f>
        <v>1033147400</v>
      </c>
      <c r="B2851" t="str">
        <f>"02490119"</f>
        <v>02490119</v>
      </c>
      <c r="C2851" t="s">
        <v>16144</v>
      </c>
      <c r="D2851" t="s">
        <v>16145</v>
      </c>
      <c r="E2851" t="s">
        <v>16146</v>
      </c>
      <c r="G2851" t="s">
        <v>16144</v>
      </c>
      <c r="H2851" t="s">
        <v>693</v>
      </c>
      <c r="J2851" t="s">
        <v>16147</v>
      </c>
      <c r="L2851" t="s">
        <v>142</v>
      </c>
      <c r="M2851" t="s">
        <v>113</v>
      </c>
      <c r="R2851" t="s">
        <v>16148</v>
      </c>
      <c r="W2851" t="s">
        <v>16149</v>
      </c>
      <c r="X2851" t="s">
        <v>1353</v>
      </c>
      <c r="Y2851" t="s">
        <v>663</v>
      </c>
      <c r="Z2851" t="s">
        <v>117</v>
      </c>
      <c r="AA2851" t="str">
        <f>"14094-3201"</f>
        <v>14094-3201</v>
      </c>
      <c r="AB2851" t="s">
        <v>118</v>
      </c>
      <c r="AC2851" t="s">
        <v>119</v>
      </c>
      <c r="AD2851" t="s">
        <v>113</v>
      </c>
      <c r="AE2851" t="s">
        <v>120</v>
      </c>
      <c r="AG2851" t="s">
        <v>121</v>
      </c>
    </row>
    <row r="2852" spans="1:33" x14ac:dyDescent="0.25">
      <c r="A2852" t="str">
        <f>"1033147947"</f>
        <v>1033147947</v>
      </c>
      <c r="B2852" t="str">
        <f>"00607290"</f>
        <v>00607290</v>
      </c>
      <c r="C2852" t="s">
        <v>16150</v>
      </c>
      <c r="D2852" t="s">
        <v>16151</v>
      </c>
      <c r="E2852" t="s">
        <v>16152</v>
      </c>
      <c r="G2852" t="s">
        <v>16153</v>
      </c>
      <c r="H2852" t="s">
        <v>8070</v>
      </c>
      <c r="L2852" t="s">
        <v>150</v>
      </c>
      <c r="M2852" t="s">
        <v>113</v>
      </c>
      <c r="R2852" t="s">
        <v>16153</v>
      </c>
      <c r="W2852" t="s">
        <v>16154</v>
      </c>
      <c r="X2852" t="s">
        <v>16155</v>
      </c>
      <c r="Y2852" t="s">
        <v>14236</v>
      </c>
      <c r="Z2852" t="s">
        <v>117</v>
      </c>
      <c r="AA2852" t="str">
        <f>"14057-1104"</f>
        <v>14057-1104</v>
      </c>
      <c r="AB2852" t="s">
        <v>118</v>
      </c>
      <c r="AC2852" t="s">
        <v>119</v>
      </c>
      <c r="AD2852" t="s">
        <v>113</v>
      </c>
      <c r="AE2852" t="s">
        <v>120</v>
      </c>
      <c r="AG2852" t="s">
        <v>121</v>
      </c>
    </row>
    <row r="2853" spans="1:33" x14ac:dyDescent="0.25">
      <c r="A2853" t="str">
        <f>"1033160601"</f>
        <v>1033160601</v>
      </c>
      <c r="B2853" t="str">
        <f>"02200526"</f>
        <v>02200526</v>
      </c>
      <c r="C2853" t="s">
        <v>16156</v>
      </c>
      <c r="D2853" t="s">
        <v>16157</v>
      </c>
      <c r="E2853" t="s">
        <v>16158</v>
      </c>
      <c r="G2853" t="s">
        <v>16159</v>
      </c>
      <c r="H2853" t="s">
        <v>16160</v>
      </c>
      <c r="J2853" t="s">
        <v>16161</v>
      </c>
      <c r="L2853" t="s">
        <v>112</v>
      </c>
      <c r="M2853" t="s">
        <v>113</v>
      </c>
      <c r="R2853" t="s">
        <v>16162</v>
      </c>
      <c r="W2853" t="s">
        <v>16158</v>
      </c>
      <c r="X2853" t="s">
        <v>16163</v>
      </c>
      <c r="Y2853" t="s">
        <v>326</v>
      </c>
      <c r="Z2853" t="s">
        <v>117</v>
      </c>
      <c r="AA2853" t="str">
        <f>"14127-1835"</f>
        <v>14127-1835</v>
      </c>
      <c r="AB2853" t="s">
        <v>118</v>
      </c>
      <c r="AC2853" t="s">
        <v>119</v>
      </c>
      <c r="AD2853" t="s">
        <v>113</v>
      </c>
      <c r="AE2853" t="s">
        <v>120</v>
      </c>
      <c r="AG2853" t="s">
        <v>121</v>
      </c>
    </row>
    <row r="2854" spans="1:33" x14ac:dyDescent="0.25">
      <c r="A2854" t="str">
        <f>"1033174958"</f>
        <v>1033174958</v>
      </c>
      <c r="B2854" t="str">
        <f>"02334403"</f>
        <v>02334403</v>
      </c>
      <c r="C2854" t="s">
        <v>16164</v>
      </c>
      <c r="D2854" t="s">
        <v>16165</v>
      </c>
      <c r="E2854" t="s">
        <v>16166</v>
      </c>
      <c r="G2854" t="s">
        <v>16164</v>
      </c>
      <c r="H2854" t="s">
        <v>13633</v>
      </c>
      <c r="J2854" t="s">
        <v>16167</v>
      </c>
      <c r="L2854" t="s">
        <v>150</v>
      </c>
      <c r="M2854" t="s">
        <v>113</v>
      </c>
      <c r="R2854" t="s">
        <v>16168</v>
      </c>
      <c r="W2854" t="s">
        <v>16166</v>
      </c>
      <c r="X2854" t="s">
        <v>11009</v>
      </c>
      <c r="Y2854" t="s">
        <v>116</v>
      </c>
      <c r="Z2854" t="s">
        <v>117</v>
      </c>
      <c r="AA2854" t="str">
        <f>"14228-2044"</f>
        <v>14228-2044</v>
      </c>
      <c r="AB2854" t="s">
        <v>118</v>
      </c>
      <c r="AC2854" t="s">
        <v>119</v>
      </c>
      <c r="AD2854" t="s">
        <v>113</v>
      </c>
      <c r="AE2854" t="s">
        <v>120</v>
      </c>
      <c r="AG2854" t="s">
        <v>121</v>
      </c>
    </row>
    <row r="2855" spans="1:33" x14ac:dyDescent="0.25">
      <c r="A2855" t="str">
        <f>"1033177506"</f>
        <v>1033177506</v>
      </c>
      <c r="B2855" t="str">
        <f>"00593311"</f>
        <v>00593311</v>
      </c>
      <c r="C2855" t="s">
        <v>16169</v>
      </c>
      <c r="D2855" t="s">
        <v>16170</v>
      </c>
      <c r="E2855" t="s">
        <v>16171</v>
      </c>
      <c r="G2855" t="s">
        <v>16169</v>
      </c>
      <c r="H2855" t="s">
        <v>16172</v>
      </c>
      <c r="J2855" t="s">
        <v>16173</v>
      </c>
      <c r="L2855" t="s">
        <v>112</v>
      </c>
      <c r="M2855" t="s">
        <v>113</v>
      </c>
      <c r="R2855" t="s">
        <v>16174</v>
      </c>
      <c r="W2855" t="s">
        <v>16175</v>
      </c>
      <c r="X2855" t="s">
        <v>16176</v>
      </c>
      <c r="Y2855" t="s">
        <v>326</v>
      </c>
      <c r="Z2855" t="s">
        <v>117</v>
      </c>
      <c r="AA2855" t="str">
        <f>"14127-1835"</f>
        <v>14127-1835</v>
      </c>
      <c r="AB2855" t="s">
        <v>634</v>
      </c>
      <c r="AC2855" t="s">
        <v>119</v>
      </c>
      <c r="AD2855" t="s">
        <v>113</v>
      </c>
      <c r="AE2855" t="s">
        <v>120</v>
      </c>
      <c r="AG2855" t="s">
        <v>121</v>
      </c>
    </row>
    <row r="2856" spans="1:33" x14ac:dyDescent="0.25">
      <c r="A2856" t="str">
        <f>"1033181649"</f>
        <v>1033181649</v>
      </c>
      <c r="B2856" t="str">
        <f>"02416080"</f>
        <v>02416080</v>
      </c>
      <c r="C2856" t="s">
        <v>16177</v>
      </c>
      <c r="D2856" t="s">
        <v>16178</v>
      </c>
      <c r="E2856" t="s">
        <v>16179</v>
      </c>
      <c r="G2856" t="s">
        <v>16180</v>
      </c>
      <c r="H2856" t="s">
        <v>13426</v>
      </c>
      <c r="J2856" t="s">
        <v>16181</v>
      </c>
      <c r="L2856" t="s">
        <v>112</v>
      </c>
      <c r="M2856" t="s">
        <v>113</v>
      </c>
      <c r="R2856" t="s">
        <v>16182</v>
      </c>
      <c r="W2856" t="s">
        <v>16179</v>
      </c>
      <c r="X2856" t="s">
        <v>16183</v>
      </c>
      <c r="Y2856" t="s">
        <v>116</v>
      </c>
      <c r="Z2856" t="s">
        <v>117</v>
      </c>
      <c r="AA2856" t="str">
        <f>"14209-1194"</f>
        <v>14209-1194</v>
      </c>
      <c r="AB2856" t="s">
        <v>118</v>
      </c>
      <c r="AC2856" t="s">
        <v>119</v>
      </c>
      <c r="AD2856" t="s">
        <v>113</v>
      </c>
      <c r="AE2856" t="s">
        <v>120</v>
      </c>
      <c r="AG2856" t="s">
        <v>121</v>
      </c>
    </row>
    <row r="2857" spans="1:33" x14ac:dyDescent="0.25">
      <c r="A2857" t="str">
        <f>"1033181755"</f>
        <v>1033181755</v>
      </c>
      <c r="B2857" t="str">
        <f>"01449518"</f>
        <v>01449518</v>
      </c>
      <c r="C2857" t="s">
        <v>16184</v>
      </c>
      <c r="D2857" t="s">
        <v>16185</v>
      </c>
      <c r="E2857" t="s">
        <v>16186</v>
      </c>
      <c r="G2857" t="s">
        <v>330</v>
      </c>
      <c r="H2857" t="s">
        <v>10057</v>
      </c>
      <c r="J2857" t="s">
        <v>332</v>
      </c>
      <c r="L2857" t="s">
        <v>150</v>
      </c>
      <c r="M2857" t="s">
        <v>113</v>
      </c>
      <c r="R2857" t="s">
        <v>16187</v>
      </c>
      <c r="W2857" t="s">
        <v>16188</v>
      </c>
      <c r="X2857" t="s">
        <v>10061</v>
      </c>
      <c r="Y2857" t="s">
        <v>958</v>
      </c>
      <c r="Z2857" t="s">
        <v>117</v>
      </c>
      <c r="AA2857" t="str">
        <f>"14226-1018"</f>
        <v>14226-1018</v>
      </c>
      <c r="AB2857" t="s">
        <v>118</v>
      </c>
      <c r="AC2857" t="s">
        <v>119</v>
      </c>
      <c r="AD2857" t="s">
        <v>113</v>
      </c>
      <c r="AE2857" t="s">
        <v>120</v>
      </c>
      <c r="AG2857" t="s">
        <v>121</v>
      </c>
    </row>
    <row r="2858" spans="1:33" x14ac:dyDescent="0.25">
      <c r="A2858" t="str">
        <f>"1033183231"</f>
        <v>1033183231</v>
      </c>
      <c r="B2858" t="str">
        <f>"02273361"</f>
        <v>02273361</v>
      </c>
      <c r="C2858" t="s">
        <v>16189</v>
      </c>
      <c r="D2858" t="s">
        <v>16190</v>
      </c>
      <c r="E2858" t="s">
        <v>16191</v>
      </c>
      <c r="G2858" t="s">
        <v>16189</v>
      </c>
      <c r="H2858" t="s">
        <v>2591</v>
      </c>
      <c r="J2858" t="s">
        <v>16192</v>
      </c>
      <c r="L2858" t="s">
        <v>142</v>
      </c>
      <c r="M2858" t="s">
        <v>113</v>
      </c>
      <c r="R2858" t="s">
        <v>16193</v>
      </c>
      <c r="W2858" t="s">
        <v>16191</v>
      </c>
      <c r="X2858" t="s">
        <v>16194</v>
      </c>
      <c r="Y2858" t="s">
        <v>153</v>
      </c>
      <c r="Z2858" t="s">
        <v>117</v>
      </c>
      <c r="AA2858" t="str">
        <f>"14302"</f>
        <v>14302</v>
      </c>
      <c r="AB2858" t="s">
        <v>118</v>
      </c>
      <c r="AC2858" t="s">
        <v>119</v>
      </c>
      <c r="AD2858" t="s">
        <v>113</v>
      </c>
      <c r="AE2858" t="s">
        <v>120</v>
      </c>
      <c r="AG2858" t="s">
        <v>121</v>
      </c>
    </row>
    <row r="2859" spans="1:33" x14ac:dyDescent="0.25">
      <c r="A2859" t="str">
        <f>"1033189378"</f>
        <v>1033189378</v>
      </c>
      <c r="B2859" t="str">
        <f>"01247709"</f>
        <v>01247709</v>
      </c>
      <c r="C2859" t="s">
        <v>16195</v>
      </c>
      <c r="D2859" t="s">
        <v>16196</v>
      </c>
      <c r="E2859" t="s">
        <v>16197</v>
      </c>
      <c r="G2859" t="s">
        <v>16195</v>
      </c>
      <c r="H2859" t="s">
        <v>630</v>
      </c>
      <c r="J2859" t="s">
        <v>16198</v>
      </c>
      <c r="L2859" t="s">
        <v>142</v>
      </c>
      <c r="M2859" t="s">
        <v>113</v>
      </c>
      <c r="R2859" t="s">
        <v>16199</v>
      </c>
      <c r="W2859" t="s">
        <v>16197</v>
      </c>
      <c r="X2859" t="s">
        <v>253</v>
      </c>
      <c r="Y2859" t="s">
        <v>116</v>
      </c>
      <c r="Z2859" t="s">
        <v>117</v>
      </c>
      <c r="AA2859" t="str">
        <f>"14215-3021"</f>
        <v>14215-3021</v>
      </c>
      <c r="AB2859" t="s">
        <v>118</v>
      </c>
      <c r="AC2859" t="s">
        <v>119</v>
      </c>
      <c r="AD2859" t="s">
        <v>113</v>
      </c>
      <c r="AE2859" t="s">
        <v>120</v>
      </c>
      <c r="AG2859" t="s">
        <v>121</v>
      </c>
    </row>
    <row r="2860" spans="1:33" x14ac:dyDescent="0.25">
      <c r="A2860" t="str">
        <f>"1033193339"</f>
        <v>1033193339</v>
      </c>
      <c r="B2860" t="str">
        <f>"01753117"</f>
        <v>01753117</v>
      </c>
      <c r="C2860" t="s">
        <v>16200</v>
      </c>
      <c r="D2860" t="s">
        <v>16201</v>
      </c>
      <c r="E2860" t="s">
        <v>16202</v>
      </c>
      <c r="H2860" t="s">
        <v>16203</v>
      </c>
      <c r="L2860" t="s">
        <v>150</v>
      </c>
      <c r="M2860" t="s">
        <v>113</v>
      </c>
      <c r="R2860" t="s">
        <v>16204</v>
      </c>
      <c r="W2860" t="s">
        <v>16205</v>
      </c>
      <c r="X2860" t="s">
        <v>2306</v>
      </c>
      <c r="Y2860" t="s">
        <v>305</v>
      </c>
      <c r="Z2860" t="s">
        <v>117</v>
      </c>
      <c r="AA2860" t="str">
        <f>"14760-1598"</f>
        <v>14760-1598</v>
      </c>
      <c r="AB2860" t="s">
        <v>118</v>
      </c>
      <c r="AC2860" t="s">
        <v>119</v>
      </c>
      <c r="AD2860" t="s">
        <v>113</v>
      </c>
      <c r="AE2860" t="s">
        <v>120</v>
      </c>
      <c r="AG2860" t="s">
        <v>121</v>
      </c>
    </row>
    <row r="2861" spans="1:33" x14ac:dyDescent="0.25">
      <c r="A2861" t="str">
        <f>"1033198577"</f>
        <v>1033198577</v>
      </c>
      <c r="B2861" t="str">
        <f>"01604764"</f>
        <v>01604764</v>
      </c>
      <c r="C2861" t="s">
        <v>16206</v>
      </c>
      <c r="D2861" t="s">
        <v>16207</v>
      </c>
      <c r="E2861" t="s">
        <v>16208</v>
      </c>
      <c r="G2861" t="s">
        <v>16206</v>
      </c>
      <c r="H2861" t="s">
        <v>2280</v>
      </c>
      <c r="J2861" t="s">
        <v>16209</v>
      </c>
      <c r="L2861" t="s">
        <v>142</v>
      </c>
      <c r="M2861" t="s">
        <v>113</v>
      </c>
      <c r="R2861" t="s">
        <v>16210</v>
      </c>
      <c r="W2861" t="s">
        <v>16208</v>
      </c>
      <c r="X2861" t="s">
        <v>16211</v>
      </c>
      <c r="Y2861" t="s">
        <v>192</v>
      </c>
      <c r="Z2861" t="s">
        <v>117</v>
      </c>
      <c r="AA2861" t="str">
        <f>"14020-1631"</f>
        <v>14020-1631</v>
      </c>
      <c r="AB2861" t="s">
        <v>118</v>
      </c>
      <c r="AC2861" t="s">
        <v>119</v>
      </c>
      <c r="AD2861" t="s">
        <v>113</v>
      </c>
      <c r="AE2861" t="s">
        <v>120</v>
      </c>
      <c r="AG2861" t="s">
        <v>121</v>
      </c>
    </row>
    <row r="2862" spans="1:33" x14ac:dyDescent="0.25">
      <c r="A2862" t="str">
        <f>"1033200191"</f>
        <v>1033200191</v>
      </c>
      <c r="B2862" t="str">
        <f>"03012668"</f>
        <v>03012668</v>
      </c>
      <c r="C2862" t="s">
        <v>16212</v>
      </c>
      <c r="D2862" t="s">
        <v>16213</v>
      </c>
      <c r="E2862" t="s">
        <v>16214</v>
      </c>
      <c r="G2862" t="s">
        <v>16212</v>
      </c>
      <c r="H2862" t="s">
        <v>16215</v>
      </c>
      <c r="J2862" t="s">
        <v>16216</v>
      </c>
      <c r="L2862" t="s">
        <v>142</v>
      </c>
      <c r="M2862" t="s">
        <v>199</v>
      </c>
      <c r="R2862" t="s">
        <v>16217</v>
      </c>
      <c r="W2862" t="s">
        <v>16214</v>
      </c>
      <c r="X2862" t="s">
        <v>216</v>
      </c>
      <c r="Y2862" t="s">
        <v>116</v>
      </c>
      <c r="Z2862" t="s">
        <v>117</v>
      </c>
      <c r="AA2862" t="str">
        <f>"14222-2006"</f>
        <v>14222-2006</v>
      </c>
      <c r="AB2862" t="s">
        <v>118</v>
      </c>
      <c r="AC2862" t="s">
        <v>119</v>
      </c>
      <c r="AD2862" t="s">
        <v>113</v>
      </c>
      <c r="AE2862" t="s">
        <v>120</v>
      </c>
      <c r="AG2862" t="s">
        <v>121</v>
      </c>
    </row>
    <row r="2863" spans="1:33" x14ac:dyDescent="0.25">
      <c r="A2863" t="str">
        <f>"1033217666"</f>
        <v>1033217666</v>
      </c>
      <c r="B2863" t="str">
        <f>"01650600"</f>
        <v>01650600</v>
      </c>
      <c r="C2863" t="s">
        <v>16218</v>
      </c>
      <c r="D2863" t="s">
        <v>16219</v>
      </c>
      <c r="E2863" t="s">
        <v>16220</v>
      </c>
      <c r="G2863" t="s">
        <v>16218</v>
      </c>
      <c r="H2863" t="s">
        <v>10057</v>
      </c>
      <c r="J2863" t="s">
        <v>16221</v>
      </c>
      <c r="L2863" t="s">
        <v>150</v>
      </c>
      <c r="M2863" t="s">
        <v>199</v>
      </c>
      <c r="R2863" t="s">
        <v>16222</v>
      </c>
      <c r="W2863" t="s">
        <v>16223</v>
      </c>
      <c r="X2863" t="s">
        <v>966</v>
      </c>
      <c r="Y2863" t="s">
        <v>116</v>
      </c>
      <c r="Z2863" t="s">
        <v>117</v>
      </c>
      <c r="AA2863" t="str">
        <f>"14207-1816"</f>
        <v>14207-1816</v>
      </c>
      <c r="AB2863" t="s">
        <v>118</v>
      </c>
      <c r="AC2863" t="s">
        <v>119</v>
      </c>
      <c r="AD2863" t="s">
        <v>113</v>
      </c>
      <c r="AE2863" t="s">
        <v>120</v>
      </c>
      <c r="AG2863" t="s">
        <v>121</v>
      </c>
    </row>
    <row r="2864" spans="1:33" x14ac:dyDescent="0.25">
      <c r="A2864" t="str">
        <f>"1033218144"</f>
        <v>1033218144</v>
      </c>
      <c r="C2864" t="s">
        <v>16224</v>
      </c>
      <c r="G2864" t="s">
        <v>16225</v>
      </c>
      <c r="H2864" t="s">
        <v>2120</v>
      </c>
      <c r="J2864" t="s">
        <v>352</v>
      </c>
      <c r="K2864" t="s">
        <v>303</v>
      </c>
      <c r="L2864" t="s">
        <v>229</v>
      </c>
      <c r="M2864" t="s">
        <v>113</v>
      </c>
      <c r="R2864" t="s">
        <v>16226</v>
      </c>
      <c r="S2864" t="s">
        <v>409</v>
      </c>
      <c r="T2864" t="s">
        <v>116</v>
      </c>
      <c r="U2864" t="s">
        <v>117</v>
      </c>
      <c r="V2864" t="str">
        <f>"142152814"</f>
        <v>142152814</v>
      </c>
      <c r="AC2864" t="s">
        <v>119</v>
      </c>
      <c r="AD2864" t="s">
        <v>113</v>
      </c>
      <c r="AE2864" t="s">
        <v>306</v>
      </c>
      <c r="AG2864" t="s">
        <v>121</v>
      </c>
    </row>
    <row r="2865" spans="1:33" x14ac:dyDescent="0.25">
      <c r="A2865" t="str">
        <f>"1033226899"</f>
        <v>1033226899</v>
      </c>
      <c r="B2865" t="str">
        <f>"02810355"</f>
        <v>02810355</v>
      </c>
      <c r="C2865" t="s">
        <v>16227</v>
      </c>
      <c r="D2865" t="s">
        <v>16228</v>
      </c>
      <c r="E2865" t="s">
        <v>16229</v>
      </c>
      <c r="G2865" t="s">
        <v>16230</v>
      </c>
      <c r="H2865" t="s">
        <v>366</v>
      </c>
      <c r="L2865" t="s">
        <v>728</v>
      </c>
      <c r="M2865" t="s">
        <v>113</v>
      </c>
      <c r="R2865" t="s">
        <v>16230</v>
      </c>
      <c r="W2865" t="s">
        <v>16229</v>
      </c>
      <c r="X2865" t="s">
        <v>152</v>
      </c>
      <c r="Y2865" t="s">
        <v>153</v>
      </c>
      <c r="Z2865" t="s">
        <v>117</v>
      </c>
      <c r="AA2865" t="str">
        <f>"14301-1813"</f>
        <v>14301-1813</v>
      </c>
      <c r="AB2865" t="s">
        <v>118</v>
      </c>
      <c r="AC2865" t="s">
        <v>119</v>
      </c>
      <c r="AD2865" t="s">
        <v>113</v>
      </c>
      <c r="AE2865" t="s">
        <v>120</v>
      </c>
      <c r="AG2865" t="s">
        <v>121</v>
      </c>
    </row>
    <row r="2866" spans="1:33" x14ac:dyDescent="0.25">
      <c r="A2866" t="str">
        <f>"1033250881"</f>
        <v>1033250881</v>
      </c>
      <c r="B2866" t="str">
        <f>"02348823"</f>
        <v>02348823</v>
      </c>
      <c r="C2866" t="s">
        <v>16231</v>
      </c>
      <c r="D2866" t="s">
        <v>16232</v>
      </c>
      <c r="E2866" t="s">
        <v>16233</v>
      </c>
      <c r="G2866" t="s">
        <v>16231</v>
      </c>
      <c r="H2866" t="s">
        <v>7255</v>
      </c>
      <c r="J2866" t="s">
        <v>16234</v>
      </c>
      <c r="L2866" t="s">
        <v>150</v>
      </c>
      <c r="M2866" t="s">
        <v>113</v>
      </c>
      <c r="R2866" t="s">
        <v>16235</v>
      </c>
      <c r="W2866" t="s">
        <v>16233</v>
      </c>
      <c r="X2866" t="s">
        <v>16236</v>
      </c>
      <c r="Y2866" t="s">
        <v>116</v>
      </c>
      <c r="Z2866" t="s">
        <v>117</v>
      </c>
      <c r="AA2866" t="str">
        <f>"14222-2006"</f>
        <v>14222-2006</v>
      </c>
      <c r="AB2866" t="s">
        <v>118</v>
      </c>
      <c r="AC2866" t="s">
        <v>119</v>
      </c>
      <c r="AD2866" t="s">
        <v>113</v>
      </c>
      <c r="AE2866" t="s">
        <v>120</v>
      </c>
      <c r="AG2866" t="s">
        <v>121</v>
      </c>
    </row>
    <row r="2867" spans="1:33" x14ac:dyDescent="0.25">
      <c r="A2867" t="str">
        <f>"1033259221"</f>
        <v>1033259221</v>
      </c>
      <c r="B2867" t="str">
        <f>"03822960"</f>
        <v>03822960</v>
      </c>
      <c r="C2867" t="s">
        <v>16237</v>
      </c>
      <c r="D2867" t="s">
        <v>16238</v>
      </c>
      <c r="E2867" t="s">
        <v>16239</v>
      </c>
      <c r="G2867" t="s">
        <v>16237</v>
      </c>
      <c r="H2867" t="s">
        <v>16240</v>
      </c>
      <c r="J2867" t="s">
        <v>16241</v>
      </c>
      <c r="L2867" t="s">
        <v>142</v>
      </c>
      <c r="M2867" t="s">
        <v>113</v>
      </c>
      <c r="R2867" t="s">
        <v>16242</v>
      </c>
      <c r="W2867" t="s">
        <v>16239</v>
      </c>
      <c r="X2867" t="s">
        <v>216</v>
      </c>
      <c r="Y2867" t="s">
        <v>116</v>
      </c>
      <c r="Z2867" t="s">
        <v>117</v>
      </c>
      <c r="AA2867" t="str">
        <f>"14222-2006"</f>
        <v>14222-2006</v>
      </c>
      <c r="AB2867" t="s">
        <v>118</v>
      </c>
      <c r="AC2867" t="s">
        <v>119</v>
      </c>
      <c r="AD2867" t="s">
        <v>113</v>
      </c>
      <c r="AE2867" t="s">
        <v>120</v>
      </c>
      <c r="AG2867" t="s">
        <v>121</v>
      </c>
    </row>
    <row r="2868" spans="1:33" x14ac:dyDescent="0.25">
      <c r="A2868" t="str">
        <f>"1033262852"</f>
        <v>1033262852</v>
      </c>
      <c r="B2868" t="str">
        <f>"01430473"</f>
        <v>01430473</v>
      </c>
      <c r="C2868" t="s">
        <v>16243</v>
      </c>
      <c r="D2868" t="s">
        <v>16244</v>
      </c>
      <c r="E2868" t="s">
        <v>16245</v>
      </c>
      <c r="H2868" t="s">
        <v>13230</v>
      </c>
      <c r="L2868" t="s">
        <v>229</v>
      </c>
      <c r="M2868" t="s">
        <v>113</v>
      </c>
      <c r="R2868" t="s">
        <v>16243</v>
      </c>
      <c r="W2868" t="s">
        <v>16246</v>
      </c>
      <c r="X2868" t="s">
        <v>16247</v>
      </c>
      <c r="Y2868" t="s">
        <v>116</v>
      </c>
      <c r="Z2868" t="s">
        <v>117</v>
      </c>
      <c r="AA2868" t="str">
        <f>"14202-3904"</f>
        <v>14202-3904</v>
      </c>
      <c r="AB2868" t="s">
        <v>1146</v>
      </c>
      <c r="AC2868" t="s">
        <v>119</v>
      </c>
      <c r="AD2868" t="s">
        <v>113</v>
      </c>
      <c r="AE2868" t="s">
        <v>120</v>
      </c>
      <c r="AG2868" t="s">
        <v>121</v>
      </c>
    </row>
    <row r="2869" spans="1:33" x14ac:dyDescent="0.25">
      <c r="A2869" t="str">
        <f>"1033265897"</f>
        <v>1033265897</v>
      </c>
      <c r="B2869" t="str">
        <f>"01025869"</f>
        <v>01025869</v>
      </c>
      <c r="C2869" t="s">
        <v>16248</v>
      </c>
      <c r="D2869" t="s">
        <v>16249</v>
      </c>
      <c r="E2869" t="s">
        <v>16250</v>
      </c>
      <c r="G2869" t="s">
        <v>16248</v>
      </c>
      <c r="H2869" t="s">
        <v>3814</v>
      </c>
      <c r="J2869" t="s">
        <v>16251</v>
      </c>
      <c r="L2869" t="s">
        <v>142</v>
      </c>
      <c r="M2869" t="s">
        <v>113</v>
      </c>
      <c r="R2869" t="s">
        <v>16252</v>
      </c>
      <c r="W2869" t="s">
        <v>16250</v>
      </c>
      <c r="X2869" t="s">
        <v>8346</v>
      </c>
      <c r="Y2869" t="s">
        <v>116</v>
      </c>
      <c r="Z2869" t="s">
        <v>117</v>
      </c>
      <c r="AA2869" t="str">
        <f>"14203-1154"</f>
        <v>14203-1154</v>
      </c>
      <c r="AB2869" t="s">
        <v>118</v>
      </c>
      <c r="AC2869" t="s">
        <v>119</v>
      </c>
      <c r="AD2869" t="s">
        <v>113</v>
      </c>
      <c r="AE2869" t="s">
        <v>120</v>
      </c>
      <c r="AG2869" t="s">
        <v>121</v>
      </c>
    </row>
    <row r="2870" spans="1:33" x14ac:dyDescent="0.25">
      <c r="A2870" t="str">
        <f>"1033291323"</f>
        <v>1033291323</v>
      </c>
      <c r="B2870" t="str">
        <f>"01268831"</f>
        <v>01268831</v>
      </c>
      <c r="C2870" t="s">
        <v>16253</v>
      </c>
      <c r="D2870" t="s">
        <v>16254</v>
      </c>
      <c r="E2870" t="s">
        <v>16255</v>
      </c>
      <c r="G2870" t="s">
        <v>16253</v>
      </c>
      <c r="H2870" t="s">
        <v>16256</v>
      </c>
      <c r="J2870" t="s">
        <v>16257</v>
      </c>
      <c r="L2870" t="s">
        <v>142</v>
      </c>
      <c r="M2870" t="s">
        <v>113</v>
      </c>
      <c r="R2870" t="s">
        <v>16258</v>
      </c>
      <c r="W2870" t="s">
        <v>16258</v>
      </c>
      <c r="X2870" t="s">
        <v>16259</v>
      </c>
      <c r="Y2870" t="s">
        <v>16260</v>
      </c>
      <c r="Z2870" t="s">
        <v>16261</v>
      </c>
      <c r="AA2870" t="str">
        <f>"97221-1835"</f>
        <v>97221-1835</v>
      </c>
      <c r="AB2870" t="s">
        <v>118</v>
      </c>
      <c r="AC2870" t="s">
        <v>119</v>
      </c>
      <c r="AD2870" t="s">
        <v>113</v>
      </c>
      <c r="AE2870" t="s">
        <v>120</v>
      </c>
      <c r="AG2870" t="s">
        <v>121</v>
      </c>
    </row>
    <row r="2871" spans="1:33" x14ac:dyDescent="0.25">
      <c r="A2871" t="str">
        <f>"1033292453"</f>
        <v>1033292453</v>
      </c>
      <c r="B2871" t="str">
        <f>"01018235"</f>
        <v>01018235</v>
      </c>
      <c r="C2871" t="s">
        <v>16262</v>
      </c>
      <c r="D2871" t="s">
        <v>16263</v>
      </c>
      <c r="E2871" t="s">
        <v>16264</v>
      </c>
      <c r="G2871" t="s">
        <v>16265</v>
      </c>
      <c r="H2871" t="s">
        <v>213</v>
      </c>
      <c r="J2871" t="s">
        <v>16266</v>
      </c>
      <c r="L2871" t="s">
        <v>142</v>
      </c>
      <c r="M2871" t="s">
        <v>113</v>
      </c>
      <c r="R2871" t="s">
        <v>16267</v>
      </c>
      <c r="W2871" t="s">
        <v>16264</v>
      </c>
      <c r="X2871" t="s">
        <v>216</v>
      </c>
      <c r="Y2871" t="s">
        <v>116</v>
      </c>
      <c r="Z2871" t="s">
        <v>117</v>
      </c>
      <c r="AA2871" t="str">
        <f>"14222-2006"</f>
        <v>14222-2006</v>
      </c>
      <c r="AB2871" t="s">
        <v>118</v>
      </c>
      <c r="AC2871" t="s">
        <v>119</v>
      </c>
      <c r="AD2871" t="s">
        <v>113</v>
      </c>
      <c r="AE2871" t="s">
        <v>120</v>
      </c>
      <c r="AG2871" t="s">
        <v>121</v>
      </c>
    </row>
    <row r="2872" spans="1:33" x14ac:dyDescent="0.25">
      <c r="A2872" t="str">
        <f>"1033304431"</f>
        <v>1033304431</v>
      </c>
      <c r="B2872" t="str">
        <f>"03922956"</f>
        <v>03922956</v>
      </c>
      <c r="C2872" t="s">
        <v>16268</v>
      </c>
      <c r="D2872" t="s">
        <v>16269</v>
      </c>
      <c r="E2872" t="s">
        <v>16270</v>
      </c>
      <c r="G2872" t="s">
        <v>16271</v>
      </c>
      <c r="H2872" t="s">
        <v>9164</v>
      </c>
      <c r="J2872" t="s">
        <v>16272</v>
      </c>
      <c r="L2872" t="s">
        <v>142</v>
      </c>
      <c r="M2872" t="s">
        <v>113</v>
      </c>
      <c r="R2872" t="s">
        <v>16270</v>
      </c>
      <c r="W2872" t="s">
        <v>16270</v>
      </c>
      <c r="X2872" t="s">
        <v>176</v>
      </c>
      <c r="Y2872" t="s">
        <v>116</v>
      </c>
      <c r="Z2872" t="s">
        <v>117</v>
      </c>
      <c r="AA2872" t="str">
        <f>"14203-1126"</f>
        <v>14203-1126</v>
      </c>
      <c r="AB2872" t="s">
        <v>118</v>
      </c>
      <c r="AC2872" t="s">
        <v>119</v>
      </c>
      <c r="AD2872" t="s">
        <v>113</v>
      </c>
      <c r="AE2872" t="s">
        <v>120</v>
      </c>
      <c r="AG2872" t="s">
        <v>121</v>
      </c>
    </row>
    <row r="2873" spans="1:33" x14ac:dyDescent="0.25">
      <c r="A2873" t="str">
        <f>"1033304803"</f>
        <v>1033304803</v>
      </c>
      <c r="B2873" t="str">
        <f>"03215083"</f>
        <v>03215083</v>
      </c>
      <c r="C2873" t="s">
        <v>16273</v>
      </c>
      <c r="D2873" t="s">
        <v>16274</v>
      </c>
      <c r="E2873" t="s">
        <v>16275</v>
      </c>
      <c r="L2873" t="s">
        <v>150</v>
      </c>
      <c r="M2873" t="s">
        <v>199</v>
      </c>
      <c r="R2873" t="s">
        <v>16273</v>
      </c>
      <c r="W2873" t="s">
        <v>16275</v>
      </c>
      <c r="X2873" t="s">
        <v>6935</v>
      </c>
      <c r="Y2873" t="s">
        <v>2007</v>
      </c>
      <c r="Z2873" t="s">
        <v>117</v>
      </c>
      <c r="AA2873" t="str">
        <f>"14727-1317"</f>
        <v>14727-1317</v>
      </c>
      <c r="AB2873" t="s">
        <v>118</v>
      </c>
      <c r="AC2873" t="s">
        <v>119</v>
      </c>
      <c r="AD2873" t="s">
        <v>113</v>
      </c>
      <c r="AE2873" t="s">
        <v>120</v>
      </c>
      <c r="AG2873" t="s">
        <v>121</v>
      </c>
    </row>
    <row r="2874" spans="1:33" x14ac:dyDescent="0.25">
      <c r="A2874" t="str">
        <f>"1144369125"</f>
        <v>1144369125</v>
      </c>
      <c r="B2874" t="str">
        <f>"03876895"</f>
        <v>03876895</v>
      </c>
      <c r="C2874" t="s">
        <v>16276</v>
      </c>
      <c r="D2874" t="s">
        <v>16277</v>
      </c>
      <c r="E2874" t="s">
        <v>16278</v>
      </c>
      <c r="G2874" t="s">
        <v>16279</v>
      </c>
      <c r="H2874" t="s">
        <v>2037</v>
      </c>
      <c r="J2874" t="s">
        <v>16280</v>
      </c>
      <c r="L2874" t="s">
        <v>142</v>
      </c>
      <c r="M2874" t="s">
        <v>113</v>
      </c>
      <c r="R2874" t="s">
        <v>16281</v>
      </c>
      <c r="W2874" t="s">
        <v>16278</v>
      </c>
      <c r="X2874" t="s">
        <v>16282</v>
      </c>
      <c r="Y2874" t="s">
        <v>116</v>
      </c>
      <c r="Z2874" t="s">
        <v>117</v>
      </c>
      <c r="AA2874" t="str">
        <f>"14209-2308"</f>
        <v>14209-2308</v>
      </c>
      <c r="AB2874" t="s">
        <v>634</v>
      </c>
      <c r="AC2874" t="s">
        <v>119</v>
      </c>
      <c r="AD2874" t="s">
        <v>113</v>
      </c>
      <c r="AE2874" t="s">
        <v>120</v>
      </c>
      <c r="AG2874" t="s">
        <v>121</v>
      </c>
    </row>
    <row r="2875" spans="1:33" x14ac:dyDescent="0.25">
      <c r="A2875" t="str">
        <f>"1144381831"</f>
        <v>1144381831</v>
      </c>
      <c r="B2875" t="str">
        <f>"01566123"</f>
        <v>01566123</v>
      </c>
      <c r="C2875" t="s">
        <v>16283</v>
      </c>
      <c r="D2875" t="s">
        <v>16284</v>
      </c>
      <c r="E2875" t="s">
        <v>16285</v>
      </c>
      <c r="G2875" t="s">
        <v>16283</v>
      </c>
      <c r="H2875" t="s">
        <v>1227</v>
      </c>
      <c r="J2875" t="s">
        <v>16286</v>
      </c>
      <c r="L2875" t="s">
        <v>142</v>
      </c>
      <c r="M2875" t="s">
        <v>113</v>
      </c>
      <c r="R2875" t="s">
        <v>16287</v>
      </c>
      <c r="W2875" t="s">
        <v>16285</v>
      </c>
      <c r="X2875" t="s">
        <v>689</v>
      </c>
      <c r="Y2875" t="s">
        <v>116</v>
      </c>
      <c r="Z2875" t="s">
        <v>117</v>
      </c>
      <c r="AA2875" t="str">
        <f>"14221-3706"</f>
        <v>14221-3706</v>
      </c>
      <c r="AB2875" t="s">
        <v>118</v>
      </c>
      <c r="AC2875" t="s">
        <v>119</v>
      </c>
      <c r="AD2875" t="s">
        <v>113</v>
      </c>
      <c r="AE2875" t="s">
        <v>120</v>
      </c>
      <c r="AG2875" t="s">
        <v>121</v>
      </c>
    </row>
    <row r="2876" spans="1:33" x14ac:dyDescent="0.25">
      <c r="A2876" t="str">
        <f>"1043257462"</f>
        <v>1043257462</v>
      </c>
      <c r="B2876" t="str">
        <f>"02413041"</f>
        <v>02413041</v>
      </c>
      <c r="C2876" t="s">
        <v>16288</v>
      </c>
      <c r="D2876" t="s">
        <v>16289</v>
      </c>
      <c r="E2876" t="s">
        <v>16290</v>
      </c>
      <c r="G2876" t="s">
        <v>16288</v>
      </c>
      <c r="H2876" t="s">
        <v>10230</v>
      </c>
      <c r="J2876" t="s">
        <v>16291</v>
      </c>
      <c r="L2876" t="s">
        <v>142</v>
      </c>
      <c r="M2876" t="s">
        <v>113</v>
      </c>
      <c r="R2876" t="s">
        <v>16292</v>
      </c>
      <c r="W2876" t="s">
        <v>16290</v>
      </c>
      <c r="X2876" t="s">
        <v>16293</v>
      </c>
      <c r="Y2876" t="s">
        <v>377</v>
      </c>
      <c r="Z2876" t="s">
        <v>117</v>
      </c>
      <c r="AA2876" t="str">
        <f>"14217-1039"</f>
        <v>14217-1039</v>
      </c>
      <c r="AB2876" t="s">
        <v>118</v>
      </c>
      <c r="AC2876" t="s">
        <v>119</v>
      </c>
      <c r="AD2876" t="s">
        <v>113</v>
      </c>
      <c r="AE2876" t="s">
        <v>120</v>
      </c>
      <c r="AG2876" t="s">
        <v>121</v>
      </c>
    </row>
    <row r="2877" spans="1:33" x14ac:dyDescent="0.25">
      <c r="A2877" t="str">
        <f>"1043260664"</f>
        <v>1043260664</v>
      </c>
      <c r="B2877" t="str">
        <f>"01209778"</f>
        <v>01209778</v>
      </c>
      <c r="C2877" t="s">
        <v>16294</v>
      </c>
      <c r="D2877" t="s">
        <v>16295</v>
      </c>
      <c r="E2877" t="s">
        <v>16296</v>
      </c>
      <c r="G2877" t="s">
        <v>16294</v>
      </c>
      <c r="H2877" t="s">
        <v>205</v>
      </c>
      <c r="J2877" t="s">
        <v>16297</v>
      </c>
      <c r="L2877" t="s">
        <v>142</v>
      </c>
      <c r="M2877" t="s">
        <v>113</v>
      </c>
      <c r="R2877" t="s">
        <v>16298</v>
      </c>
      <c r="W2877" t="s">
        <v>16299</v>
      </c>
      <c r="X2877" t="s">
        <v>136</v>
      </c>
      <c r="Y2877" t="s">
        <v>116</v>
      </c>
      <c r="Z2877" t="s">
        <v>117</v>
      </c>
      <c r="AA2877" t="str">
        <f>"14209-1120"</f>
        <v>14209-1120</v>
      </c>
      <c r="AB2877" t="s">
        <v>118</v>
      </c>
      <c r="AC2877" t="s">
        <v>119</v>
      </c>
      <c r="AD2877" t="s">
        <v>113</v>
      </c>
      <c r="AE2877" t="s">
        <v>120</v>
      </c>
      <c r="AG2877" t="s">
        <v>121</v>
      </c>
    </row>
    <row r="2878" spans="1:33" x14ac:dyDescent="0.25">
      <c r="A2878" t="str">
        <f>"1043262827"</f>
        <v>1043262827</v>
      </c>
      <c r="B2878" t="str">
        <f>"02273201"</f>
        <v>02273201</v>
      </c>
      <c r="C2878" t="s">
        <v>16300</v>
      </c>
      <c r="D2878" t="s">
        <v>16301</v>
      </c>
      <c r="E2878" t="s">
        <v>16302</v>
      </c>
      <c r="G2878" t="s">
        <v>16303</v>
      </c>
      <c r="H2878" t="s">
        <v>16304</v>
      </c>
      <c r="J2878" t="s">
        <v>16305</v>
      </c>
      <c r="L2878" t="s">
        <v>142</v>
      </c>
      <c r="M2878" t="s">
        <v>113</v>
      </c>
      <c r="R2878" t="s">
        <v>16306</v>
      </c>
      <c r="W2878" t="s">
        <v>16302</v>
      </c>
      <c r="X2878" t="s">
        <v>916</v>
      </c>
      <c r="Y2878" t="s">
        <v>116</v>
      </c>
      <c r="Z2878" t="s">
        <v>117</v>
      </c>
      <c r="AA2878" t="str">
        <f>"14203-1154"</f>
        <v>14203-1154</v>
      </c>
      <c r="AB2878" t="s">
        <v>118</v>
      </c>
      <c r="AC2878" t="s">
        <v>119</v>
      </c>
      <c r="AD2878" t="s">
        <v>113</v>
      </c>
      <c r="AE2878" t="s">
        <v>120</v>
      </c>
      <c r="AG2878" t="s">
        <v>121</v>
      </c>
    </row>
    <row r="2879" spans="1:33" x14ac:dyDescent="0.25">
      <c r="A2879" t="str">
        <f>"1043269269"</f>
        <v>1043269269</v>
      </c>
      <c r="B2879" t="str">
        <f>"01209067"</f>
        <v>01209067</v>
      </c>
      <c r="C2879" t="s">
        <v>16307</v>
      </c>
      <c r="D2879" t="s">
        <v>16308</v>
      </c>
      <c r="E2879" t="s">
        <v>16309</v>
      </c>
      <c r="G2879" t="s">
        <v>16307</v>
      </c>
      <c r="H2879" t="s">
        <v>11471</v>
      </c>
      <c r="J2879" t="s">
        <v>16310</v>
      </c>
      <c r="L2879" t="s">
        <v>150</v>
      </c>
      <c r="M2879" t="s">
        <v>113</v>
      </c>
      <c r="R2879" t="s">
        <v>16311</v>
      </c>
      <c r="W2879" t="s">
        <v>16312</v>
      </c>
      <c r="Y2879" t="s">
        <v>116</v>
      </c>
      <c r="Z2879" t="s">
        <v>117</v>
      </c>
      <c r="AA2879" t="str">
        <f>"14209-2027"</f>
        <v>14209-2027</v>
      </c>
      <c r="AB2879" t="s">
        <v>118</v>
      </c>
      <c r="AC2879" t="s">
        <v>119</v>
      </c>
      <c r="AD2879" t="s">
        <v>113</v>
      </c>
      <c r="AE2879" t="s">
        <v>120</v>
      </c>
      <c r="AG2879" t="s">
        <v>121</v>
      </c>
    </row>
    <row r="2880" spans="1:33" x14ac:dyDescent="0.25">
      <c r="A2880" t="str">
        <f>"1275720542"</f>
        <v>1275720542</v>
      </c>
      <c r="B2880" t="str">
        <f>"02918330"</f>
        <v>02918330</v>
      </c>
      <c r="C2880" t="s">
        <v>16313</v>
      </c>
      <c r="D2880" t="s">
        <v>16314</v>
      </c>
      <c r="E2880" t="s">
        <v>16315</v>
      </c>
      <c r="G2880" t="s">
        <v>16313</v>
      </c>
      <c r="H2880" t="s">
        <v>707</v>
      </c>
      <c r="J2880" t="s">
        <v>16316</v>
      </c>
      <c r="L2880" t="s">
        <v>112</v>
      </c>
      <c r="M2880" t="s">
        <v>113</v>
      </c>
      <c r="R2880" t="s">
        <v>16317</v>
      </c>
      <c r="W2880" t="s">
        <v>16315</v>
      </c>
      <c r="X2880" t="s">
        <v>709</v>
      </c>
      <c r="Y2880" t="s">
        <v>116</v>
      </c>
      <c r="Z2880" t="s">
        <v>117</v>
      </c>
      <c r="AA2880" t="str">
        <f>"14263-0001"</f>
        <v>14263-0001</v>
      </c>
      <c r="AB2880" t="s">
        <v>118</v>
      </c>
      <c r="AC2880" t="s">
        <v>119</v>
      </c>
      <c r="AD2880" t="s">
        <v>113</v>
      </c>
      <c r="AE2880" t="s">
        <v>120</v>
      </c>
      <c r="AG2880" t="s">
        <v>121</v>
      </c>
    </row>
    <row r="2881" spans="1:33" x14ac:dyDescent="0.25">
      <c r="A2881" t="str">
        <f>"1275745143"</f>
        <v>1275745143</v>
      </c>
      <c r="B2881" t="str">
        <f>"01655509"</f>
        <v>01655509</v>
      </c>
      <c r="C2881" t="s">
        <v>16318</v>
      </c>
      <c r="D2881" t="s">
        <v>16319</v>
      </c>
      <c r="E2881" t="s">
        <v>16320</v>
      </c>
      <c r="G2881" t="s">
        <v>16318</v>
      </c>
      <c r="H2881" t="s">
        <v>16321</v>
      </c>
      <c r="J2881" t="s">
        <v>16322</v>
      </c>
      <c r="L2881" t="s">
        <v>112</v>
      </c>
      <c r="M2881" t="s">
        <v>113</v>
      </c>
      <c r="R2881" t="s">
        <v>16323</v>
      </c>
      <c r="W2881" t="s">
        <v>16320</v>
      </c>
      <c r="X2881" t="s">
        <v>16324</v>
      </c>
      <c r="Y2881" t="s">
        <v>240</v>
      </c>
      <c r="Z2881" t="s">
        <v>117</v>
      </c>
      <c r="AA2881" t="str">
        <f>"14221-7460"</f>
        <v>14221-7460</v>
      </c>
      <c r="AB2881" t="s">
        <v>634</v>
      </c>
      <c r="AC2881" t="s">
        <v>119</v>
      </c>
      <c r="AD2881" t="s">
        <v>113</v>
      </c>
      <c r="AE2881" t="s">
        <v>120</v>
      </c>
      <c r="AG2881" t="s">
        <v>121</v>
      </c>
    </row>
    <row r="2882" spans="1:33" x14ac:dyDescent="0.25">
      <c r="A2882" t="str">
        <f>"1275766651"</f>
        <v>1275766651</v>
      </c>
      <c r="B2882" t="str">
        <f>"03142972"</f>
        <v>03142972</v>
      </c>
      <c r="C2882" t="s">
        <v>16325</v>
      </c>
      <c r="D2882" t="s">
        <v>16326</v>
      </c>
      <c r="E2882" t="s">
        <v>16327</v>
      </c>
      <c r="G2882" t="s">
        <v>16328</v>
      </c>
      <c r="H2882" t="s">
        <v>1659</v>
      </c>
      <c r="J2882" t="s">
        <v>1660</v>
      </c>
      <c r="L2882" t="s">
        <v>142</v>
      </c>
      <c r="M2882" t="s">
        <v>113</v>
      </c>
      <c r="R2882" t="s">
        <v>16329</v>
      </c>
      <c r="W2882" t="s">
        <v>16327</v>
      </c>
      <c r="X2882" t="s">
        <v>16330</v>
      </c>
      <c r="Y2882" t="s">
        <v>116</v>
      </c>
      <c r="Z2882" t="s">
        <v>117</v>
      </c>
      <c r="AA2882" t="str">
        <f>"14215-3021"</f>
        <v>14215-3021</v>
      </c>
      <c r="AB2882" t="s">
        <v>118</v>
      </c>
      <c r="AC2882" t="s">
        <v>119</v>
      </c>
      <c r="AD2882" t="s">
        <v>113</v>
      </c>
      <c r="AE2882" t="s">
        <v>120</v>
      </c>
      <c r="AG2882" t="s">
        <v>121</v>
      </c>
    </row>
    <row r="2883" spans="1:33" x14ac:dyDescent="0.25">
      <c r="A2883" t="str">
        <f>"1275767725"</f>
        <v>1275767725</v>
      </c>
      <c r="B2883" t="str">
        <f>"02263972"</f>
        <v>02263972</v>
      </c>
      <c r="C2883" t="s">
        <v>16331</v>
      </c>
      <c r="D2883" t="s">
        <v>16332</v>
      </c>
      <c r="E2883" t="s">
        <v>16333</v>
      </c>
      <c r="G2883" t="s">
        <v>16331</v>
      </c>
      <c r="H2883" t="s">
        <v>16334</v>
      </c>
      <c r="J2883" t="s">
        <v>16335</v>
      </c>
      <c r="L2883" t="s">
        <v>142</v>
      </c>
      <c r="M2883" t="s">
        <v>113</v>
      </c>
      <c r="R2883" t="s">
        <v>16336</v>
      </c>
      <c r="W2883" t="s">
        <v>16337</v>
      </c>
      <c r="X2883" t="s">
        <v>3559</v>
      </c>
      <c r="Y2883" t="s">
        <v>847</v>
      </c>
      <c r="Z2883" t="s">
        <v>117</v>
      </c>
      <c r="AA2883" t="str">
        <f>"14569-1025"</f>
        <v>14569-1025</v>
      </c>
      <c r="AB2883" t="s">
        <v>118</v>
      </c>
      <c r="AC2883" t="s">
        <v>119</v>
      </c>
      <c r="AD2883" t="s">
        <v>113</v>
      </c>
      <c r="AE2883" t="s">
        <v>120</v>
      </c>
      <c r="AG2883" t="s">
        <v>121</v>
      </c>
    </row>
    <row r="2884" spans="1:33" x14ac:dyDescent="0.25">
      <c r="A2884" t="str">
        <f>"1043288426"</f>
        <v>1043288426</v>
      </c>
      <c r="B2884" t="str">
        <f>"01915860"</f>
        <v>01915860</v>
      </c>
      <c r="C2884" t="s">
        <v>16338</v>
      </c>
      <c r="D2884" t="s">
        <v>16339</v>
      </c>
      <c r="E2884" t="s">
        <v>16340</v>
      </c>
      <c r="G2884" t="s">
        <v>16338</v>
      </c>
      <c r="H2884" t="s">
        <v>3028</v>
      </c>
      <c r="J2884" t="s">
        <v>16341</v>
      </c>
      <c r="L2884" t="s">
        <v>142</v>
      </c>
      <c r="M2884" t="s">
        <v>199</v>
      </c>
      <c r="R2884" t="s">
        <v>16342</v>
      </c>
      <c r="W2884" t="s">
        <v>16340</v>
      </c>
      <c r="X2884" t="s">
        <v>216</v>
      </c>
      <c r="Y2884" t="s">
        <v>116</v>
      </c>
      <c r="Z2884" t="s">
        <v>117</v>
      </c>
      <c r="AA2884" t="str">
        <f>"14222-2006"</f>
        <v>14222-2006</v>
      </c>
      <c r="AB2884" t="s">
        <v>118</v>
      </c>
      <c r="AC2884" t="s">
        <v>119</v>
      </c>
      <c r="AD2884" t="s">
        <v>113</v>
      </c>
      <c r="AE2884" t="s">
        <v>120</v>
      </c>
      <c r="AG2884" t="s">
        <v>121</v>
      </c>
    </row>
    <row r="2885" spans="1:33" x14ac:dyDescent="0.25">
      <c r="A2885" t="str">
        <f>"1043295843"</f>
        <v>1043295843</v>
      </c>
      <c r="B2885" t="str">
        <f>"01998627"</f>
        <v>01998627</v>
      </c>
      <c r="C2885" t="s">
        <v>16343</v>
      </c>
      <c r="D2885" t="s">
        <v>16344</v>
      </c>
      <c r="E2885" t="s">
        <v>16345</v>
      </c>
      <c r="G2885" t="s">
        <v>16346</v>
      </c>
      <c r="H2885" t="s">
        <v>449</v>
      </c>
      <c r="J2885" t="s">
        <v>16347</v>
      </c>
      <c r="L2885" t="s">
        <v>142</v>
      </c>
      <c r="M2885" t="s">
        <v>113</v>
      </c>
      <c r="R2885" t="s">
        <v>16348</v>
      </c>
      <c r="W2885" t="s">
        <v>16345</v>
      </c>
      <c r="X2885" t="s">
        <v>11779</v>
      </c>
      <c r="Y2885" t="s">
        <v>129</v>
      </c>
      <c r="Z2885" t="s">
        <v>117</v>
      </c>
      <c r="AA2885" t="str">
        <f>"14224-2654"</f>
        <v>14224-2654</v>
      </c>
      <c r="AB2885" t="s">
        <v>118</v>
      </c>
      <c r="AC2885" t="s">
        <v>119</v>
      </c>
      <c r="AD2885" t="s">
        <v>113</v>
      </c>
      <c r="AE2885" t="s">
        <v>120</v>
      </c>
      <c r="AG2885" t="s">
        <v>121</v>
      </c>
    </row>
    <row r="2886" spans="1:33" x14ac:dyDescent="0.25">
      <c r="A2886" t="str">
        <f>"1043296759"</f>
        <v>1043296759</v>
      </c>
      <c r="B2886" t="str">
        <f>"00963722"</f>
        <v>00963722</v>
      </c>
      <c r="C2886" t="s">
        <v>16349</v>
      </c>
      <c r="D2886" t="s">
        <v>16350</v>
      </c>
      <c r="E2886" t="s">
        <v>16351</v>
      </c>
      <c r="G2886" t="s">
        <v>16349</v>
      </c>
      <c r="H2886" t="s">
        <v>398</v>
      </c>
      <c r="J2886" t="s">
        <v>16352</v>
      </c>
      <c r="L2886" t="s">
        <v>150</v>
      </c>
      <c r="M2886" t="s">
        <v>113</v>
      </c>
      <c r="R2886" t="s">
        <v>16353</v>
      </c>
      <c r="W2886" t="s">
        <v>16351</v>
      </c>
      <c r="X2886" t="s">
        <v>13067</v>
      </c>
      <c r="Y2886" t="s">
        <v>116</v>
      </c>
      <c r="Z2886" t="s">
        <v>117</v>
      </c>
      <c r="AA2886" t="str">
        <f>"14209-1603"</f>
        <v>14209-1603</v>
      </c>
      <c r="AB2886" t="s">
        <v>118</v>
      </c>
      <c r="AC2886" t="s">
        <v>119</v>
      </c>
      <c r="AD2886" t="s">
        <v>113</v>
      </c>
      <c r="AE2886" t="s">
        <v>120</v>
      </c>
      <c r="AG2886" t="s">
        <v>121</v>
      </c>
    </row>
    <row r="2887" spans="1:33" x14ac:dyDescent="0.25">
      <c r="A2887" t="str">
        <f>"1043312093"</f>
        <v>1043312093</v>
      </c>
      <c r="B2887" t="str">
        <f>"01047772"</f>
        <v>01047772</v>
      </c>
      <c r="C2887" t="s">
        <v>16354</v>
      </c>
      <c r="D2887" t="s">
        <v>16355</v>
      </c>
      <c r="E2887" t="s">
        <v>16356</v>
      </c>
      <c r="G2887" t="s">
        <v>16354</v>
      </c>
      <c r="H2887" t="s">
        <v>16357</v>
      </c>
      <c r="J2887" t="s">
        <v>16358</v>
      </c>
      <c r="L2887" t="s">
        <v>112</v>
      </c>
      <c r="M2887" t="s">
        <v>113</v>
      </c>
      <c r="R2887" t="s">
        <v>16359</v>
      </c>
      <c r="W2887" t="s">
        <v>16356</v>
      </c>
      <c r="X2887" t="s">
        <v>4737</v>
      </c>
      <c r="Y2887" t="s">
        <v>512</v>
      </c>
      <c r="Z2887" t="s">
        <v>117</v>
      </c>
      <c r="AA2887" t="str">
        <f>"14092-2149"</f>
        <v>14092-2149</v>
      </c>
      <c r="AB2887" t="s">
        <v>118</v>
      </c>
      <c r="AC2887" t="s">
        <v>119</v>
      </c>
      <c r="AD2887" t="s">
        <v>113</v>
      </c>
      <c r="AE2887" t="s">
        <v>120</v>
      </c>
      <c r="AG2887" t="s">
        <v>121</v>
      </c>
    </row>
    <row r="2888" spans="1:33" x14ac:dyDescent="0.25">
      <c r="A2888" t="str">
        <f>"1083672240"</f>
        <v>1083672240</v>
      </c>
      <c r="B2888" t="str">
        <f>"02094902"</f>
        <v>02094902</v>
      </c>
      <c r="C2888" t="s">
        <v>16360</v>
      </c>
      <c r="D2888" t="s">
        <v>16361</v>
      </c>
      <c r="E2888" t="s">
        <v>16362</v>
      </c>
      <c r="G2888" t="s">
        <v>16363</v>
      </c>
      <c r="H2888" t="s">
        <v>16364</v>
      </c>
      <c r="J2888" t="s">
        <v>16365</v>
      </c>
      <c r="L2888" t="s">
        <v>112</v>
      </c>
      <c r="M2888" t="s">
        <v>113</v>
      </c>
      <c r="R2888" t="s">
        <v>16366</v>
      </c>
      <c r="W2888" t="s">
        <v>16367</v>
      </c>
      <c r="X2888" t="s">
        <v>176</v>
      </c>
      <c r="Y2888" t="s">
        <v>116</v>
      </c>
      <c r="Z2888" t="s">
        <v>117</v>
      </c>
      <c r="AA2888" t="str">
        <f>"14203-1126"</f>
        <v>14203-1126</v>
      </c>
      <c r="AB2888" t="s">
        <v>118</v>
      </c>
      <c r="AC2888" t="s">
        <v>119</v>
      </c>
      <c r="AD2888" t="s">
        <v>113</v>
      </c>
      <c r="AE2888" t="s">
        <v>120</v>
      </c>
      <c r="AG2888" t="s">
        <v>121</v>
      </c>
    </row>
    <row r="2889" spans="1:33" x14ac:dyDescent="0.25">
      <c r="A2889" t="str">
        <f>"1083672554"</f>
        <v>1083672554</v>
      </c>
      <c r="B2889" t="str">
        <f>"01059672"</f>
        <v>01059672</v>
      </c>
      <c r="C2889" t="s">
        <v>16368</v>
      </c>
      <c r="D2889" t="s">
        <v>16369</v>
      </c>
      <c r="E2889" t="s">
        <v>16370</v>
      </c>
      <c r="G2889" t="s">
        <v>16368</v>
      </c>
      <c r="J2889" t="s">
        <v>16371</v>
      </c>
      <c r="L2889" t="s">
        <v>142</v>
      </c>
      <c r="M2889" t="s">
        <v>113</v>
      </c>
      <c r="R2889" t="s">
        <v>16372</v>
      </c>
      <c r="W2889" t="s">
        <v>16370</v>
      </c>
      <c r="Y2889" t="s">
        <v>16373</v>
      </c>
      <c r="Z2889" t="s">
        <v>117</v>
      </c>
      <c r="AA2889" t="str">
        <f>"12401-4692"</f>
        <v>12401-4692</v>
      </c>
      <c r="AB2889" t="s">
        <v>118</v>
      </c>
      <c r="AC2889" t="s">
        <v>119</v>
      </c>
      <c r="AD2889" t="s">
        <v>113</v>
      </c>
      <c r="AE2889" t="s">
        <v>120</v>
      </c>
      <c r="AG2889" t="s">
        <v>121</v>
      </c>
    </row>
    <row r="2890" spans="1:33" x14ac:dyDescent="0.25">
      <c r="A2890" t="str">
        <f>"1083682298"</f>
        <v>1083682298</v>
      </c>
      <c r="B2890" t="str">
        <f>"01982365"</f>
        <v>01982365</v>
      </c>
      <c r="C2890" t="s">
        <v>16374</v>
      </c>
      <c r="D2890" t="s">
        <v>16375</v>
      </c>
      <c r="E2890" t="s">
        <v>16376</v>
      </c>
      <c r="G2890" t="s">
        <v>16374</v>
      </c>
      <c r="H2890" t="s">
        <v>3807</v>
      </c>
      <c r="J2890" t="s">
        <v>16377</v>
      </c>
      <c r="L2890" t="s">
        <v>112</v>
      </c>
      <c r="M2890" t="s">
        <v>113</v>
      </c>
      <c r="R2890" t="s">
        <v>16376</v>
      </c>
      <c r="W2890" t="s">
        <v>16376</v>
      </c>
      <c r="X2890" t="s">
        <v>933</v>
      </c>
      <c r="Y2890" t="s">
        <v>116</v>
      </c>
      <c r="Z2890" t="s">
        <v>117</v>
      </c>
      <c r="AA2890" t="str">
        <f>"14222-2006"</f>
        <v>14222-2006</v>
      </c>
      <c r="AB2890" t="s">
        <v>118</v>
      </c>
      <c r="AC2890" t="s">
        <v>119</v>
      </c>
      <c r="AD2890" t="s">
        <v>113</v>
      </c>
      <c r="AE2890" t="s">
        <v>120</v>
      </c>
      <c r="AG2890" t="s">
        <v>121</v>
      </c>
    </row>
    <row r="2891" spans="1:33" x14ac:dyDescent="0.25">
      <c r="A2891" t="str">
        <f>"1083689384"</f>
        <v>1083689384</v>
      </c>
      <c r="B2891" t="str">
        <f>"01647754"</f>
        <v>01647754</v>
      </c>
      <c r="C2891" t="s">
        <v>16378</v>
      </c>
      <c r="D2891" t="s">
        <v>16379</v>
      </c>
      <c r="E2891" t="s">
        <v>16380</v>
      </c>
      <c r="G2891" t="s">
        <v>16378</v>
      </c>
      <c r="H2891" t="s">
        <v>2280</v>
      </c>
      <c r="J2891" t="s">
        <v>16381</v>
      </c>
      <c r="L2891" t="s">
        <v>142</v>
      </c>
      <c r="M2891" t="s">
        <v>113</v>
      </c>
      <c r="R2891" t="s">
        <v>16382</v>
      </c>
      <c r="W2891" t="s">
        <v>16380</v>
      </c>
      <c r="X2891" t="s">
        <v>216</v>
      </c>
      <c r="Y2891" t="s">
        <v>116</v>
      </c>
      <c r="Z2891" t="s">
        <v>117</v>
      </c>
      <c r="AA2891" t="str">
        <f>"14222-2006"</f>
        <v>14222-2006</v>
      </c>
      <c r="AB2891" t="s">
        <v>118</v>
      </c>
      <c r="AC2891" t="s">
        <v>119</v>
      </c>
      <c r="AD2891" t="s">
        <v>113</v>
      </c>
      <c r="AE2891" t="s">
        <v>120</v>
      </c>
      <c r="AG2891" t="s">
        <v>121</v>
      </c>
    </row>
    <row r="2892" spans="1:33" x14ac:dyDescent="0.25">
      <c r="A2892" t="str">
        <f>"1083689418"</f>
        <v>1083689418</v>
      </c>
      <c r="B2892" t="str">
        <f>"02422580"</f>
        <v>02422580</v>
      </c>
      <c r="C2892" t="s">
        <v>16383</v>
      </c>
      <c r="D2892" t="s">
        <v>16384</v>
      </c>
      <c r="E2892" t="s">
        <v>16385</v>
      </c>
      <c r="G2892" t="s">
        <v>16383</v>
      </c>
      <c r="H2892" t="s">
        <v>16386</v>
      </c>
      <c r="J2892" t="s">
        <v>16387</v>
      </c>
      <c r="L2892" t="s">
        <v>142</v>
      </c>
      <c r="M2892" t="s">
        <v>113</v>
      </c>
      <c r="R2892" t="s">
        <v>16385</v>
      </c>
      <c r="W2892" t="s">
        <v>16385</v>
      </c>
      <c r="X2892" t="s">
        <v>16385</v>
      </c>
      <c r="Y2892" t="s">
        <v>116</v>
      </c>
      <c r="Z2892" t="s">
        <v>117</v>
      </c>
      <c r="AA2892" t="str">
        <f>"14209-1120"</f>
        <v>14209-1120</v>
      </c>
      <c r="AB2892" t="s">
        <v>118</v>
      </c>
      <c r="AC2892" t="s">
        <v>119</v>
      </c>
      <c r="AD2892" t="s">
        <v>113</v>
      </c>
      <c r="AE2892" t="s">
        <v>120</v>
      </c>
      <c r="AG2892" t="s">
        <v>121</v>
      </c>
    </row>
    <row r="2893" spans="1:33" x14ac:dyDescent="0.25">
      <c r="A2893" t="str">
        <f>"1083695001"</f>
        <v>1083695001</v>
      </c>
      <c r="B2893" t="str">
        <f>"01510778"</f>
        <v>01510778</v>
      </c>
      <c r="C2893" t="s">
        <v>16388</v>
      </c>
      <c r="D2893" t="s">
        <v>16389</v>
      </c>
      <c r="E2893" t="s">
        <v>16390</v>
      </c>
      <c r="G2893" t="s">
        <v>16388</v>
      </c>
      <c r="H2893" t="s">
        <v>707</v>
      </c>
      <c r="J2893" t="s">
        <v>16391</v>
      </c>
      <c r="L2893" t="s">
        <v>142</v>
      </c>
      <c r="M2893" t="s">
        <v>113</v>
      </c>
      <c r="W2893" t="s">
        <v>16390</v>
      </c>
      <c r="X2893" t="s">
        <v>16392</v>
      </c>
      <c r="Y2893" t="s">
        <v>116</v>
      </c>
      <c r="Z2893" t="s">
        <v>117</v>
      </c>
      <c r="AA2893" t="str">
        <f>"14263-0001"</f>
        <v>14263-0001</v>
      </c>
      <c r="AB2893" t="s">
        <v>118</v>
      </c>
      <c r="AC2893" t="s">
        <v>119</v>
      </c>
      <c r="AD2893" t="s">
        <v>113</v>
      </c>
      <c r="AE2893" t="s">
        <v>120</v>
      </c>
      <c r="AG2893" t="s">
        <v>121</v>
      </c>
    </row>
    <row r="2894" spans="1:33" x14ac:dyDescent="0.25">
      <c r="A2894" t="str">
        <f>"1083696280"</f>
        <v>1083696280</v>
      </c>
      <c r="B2894" t="str">
        <f>"02273238"</f>
        <v>02273238</v>
      </c>
      <c r="C2894" t="s">
        <v>16393</v>
      </c>
      <c r="D2894" t="s">
        <v>16394</v>
      </c>
      <c r="E2894" t="s">
        <v>16395</v>
      </c>
      <c r="G2894" t="s">
        <v>16393</v>
      </c>
      <c r="H2894" t="s">
        <v>1308</v>
      </c>
      <c r="J2894" t="s">
        <v>16396</v>
      </c>
      <c r="L2894" t="s">
        <v>142</v>
      </c>
      <c r="M2894" t="s">
        <v>113</v>
      </c>
      <c r="R2894" t="s">
        <v>16395</v>
      </c>
      <c r="W2894" t="s">
        <v>16395</v>
      </c>
      <c r="X2894" t="s">
        <v>16395</v>
      </c>
      <c r="Y2894" t="s">
        <v>663</v>
      </c>
      <c r="Z2894" t="s">
        <v>117</v>
      </c>
      <c r="AA2894" t="str">
        <f>"14094-5370"</f>
        <v>14094-5370</v>
      </c>
      <c r="AB2894" t="s">
        <v>118</v>
      </c>
      <c r="AC2894" t="s">
        <v>119</v>
      </c>
      <c r="AD2894" t="s">
        <v>113</v>
      </c>
      <c r="AE2894" t="s">
        <v>120</v>
      </c>
      <c r="AG2894" t="s">
        <v>121</v>
      </c>
    </row>
    <row r="2895" spans="1:33" x14ac:dyDescent="0.25">
      <c r="A2895" t="str">
        <f>"1083699508"</f>
        <v>1083699508</v>
      </c>
      <c r="B2895" t="str">
        <f>"02887070"</f>
        <v>02887070</v>
      </c>
      <c r="C2895" t="s">
        <v>16397</v>
      </c>
      <c r="D2895" t="s">
        <v>16398</v>
      </c>
      <c r="E2895" t="s">
        <v>16399</v>
      </c>
      <c r="G2895" t="s">
        <v>16397</v>
      </c>
      <c r="H2895" t="s">
        <v>227</v>
      </c>
      <c r="J2895" t="s">
        <v>16400</v>
      </c>
      <c r="L2895" t="s">
        <v>142</v>
      </c>
      <c r="M2895" t="s">
        <v>113</v>
      </c>
      <c r="R2895" t="s">
        <v>16401</v>
      </c>
      <c r="W2895" t="s">
        <v>16399</v>
      </c>
      <c r="X2895" t="s">
        <v>16402</v>
      </c>
      <c r="Y2895" t="s">
        <v>16403</v>
      </c>
      <c r="Z2895" t="s">
        <v>16404</v>
      </c>
      <c r="AA2895" t="str">
        <f>"80424"</f>
        <v>80424</v>
      </c>
      <c r="AB2895" t="s">
        <v>118</v>
      </c>
      <c r="AC2895" t="s">
        <v>119</v>
      </c>
      <c r="AD2895" t="s">
        <v>113</v>
      </c>
      <c r="AE2895" t="s">
        <v>120</v>
      </c>
      <c r="AG2895" t="s">
        <v>121</v>
      </c>
    </row>
    <row r="2896" spans="1:33" x14ac:dyDescent="0.25">
      <c r="A2896" t="str">
        <f>"1083705776"</f>
        <v>1083705776</v>
      </c>
      <c r="B2896" t="str">
        <f>"00653470"</f>
        <v>00653470</v>
      </c>
      <c r="C2896" t="s">
        <v>16405</v>
      </c>
      <c r="D2896" t="s">
        <v>16406</v>
      </c>
      <c r="E2896" t="s">
        <v>16407</v>
      </c>
      <c r="G2896" t="s">
        <v>16405</v>
      </c>
      <c r="H2896" t="s">
        <v>16408</v>
      </c>
      <c r="J2896" t="s">
        <v>16409</v>
      </c>
      <c r="L2896" t="s">
        <v>112</v>
      </c>
      <c r="M2896" t="s">
        <v>113</v>
      </c>
      <c r="R2896" t="s">
        <v>16410</v>
      </c>
      <c r="W2896" t="s">
        <v>16407</v>
      </c>
      <c r="X2896" t="s">
        <v>16411</v>
      </c>
      <c r="Y2896" t="s">
        <v>16412</v>
      </c>
      <c r="Z2896" t="s">
        <v>117</v>
      </c>
      <c r="AA2896" t="str">
        <f>"14226-2201"</f>
        <v>14226-2201</v>
      </c>
      <c r="AB2896" t="s">
        <v>118</v>
      </c>
      <c r="AC2896" t="s">
        <v>119</v>
      </c>
      <c r="AD2896" t="s">
        <v>113</v>
      </c>
      <c r="AE2896" t="s">
        <v>120</v>
      </c>
      <c r="AG2896" t="s">
        <v>121</v>
      </c>
    </row>
    <row r="2897" spans="1:33" x14ac:dyDescent="0.25">
      <c r="A2897" t="str">
        <f>"1083717524"</f>
        <v>1083717524</v>
      </c>
      <c r="B2897" t="str">
        <f>"00685281"</f>
        <v>00685281</v>
      </c>
      <c r="C2897" t="s">
        <v>16413</v>
      </c>
      <c r="D2897" t="s">
        <v>16414</v>
      </c>
      <c r="E2897" t="s">
        <v>16415</v>
      </c>
      <c r="G2897" t="s">
        <v>16413</v>
      </c>
      <c r="H2897" t="s">
        <v>16416</v>
      </c>
      <c r="J2897" t="s">
        <v>16417</v>
      </c>
      <c r="L2897" t="s">
        <v>229</v>
      </c>
      <c r="M2897" t="s">
        <v>113</v>
      </c>
      <c r="R2897" t="s">
        <v>16418</v>
      </c>
      <c r="W2897" t="s">
        <v>16415</v>
      </c>
      <c r="X2897" t="s">
        <v>16419</v>
      </c>
      <c r="Y2897" t="s">
        <v>116</v>
      </c>
      <c r="Z2897" t="s">
        <v>117</v>
      </c>
      <c r="AA2897" t="str">
        <f>"14214"</f>
        <v>14214</v>
      </c>
      <c r="AB2897" t="s">
        <v>118</v>
      </c>
      <c r="AC2897" t="s">
        <v>119</v>
      </c>
      <c r="AD2897" t="s">
        <v>113</v>
      </c>
      <c r="AE2897" t="s">
        <v>120</v>
      </c>
      <c r="AG2897" t="s">
        <v>121</v>
      </c>
    </row>
    <row r="2898" spans="1:33" x14ac:dyDescent="0.25">
      <c r="A2898" t="str">
        <f>"1194715870"</f>
        <v>1194715870</v>
      </c>
      <c r="B2898" t="str">
        <f>"00356345"</f>
        <v>00356345</v>
      </c>
      <c r="C2898" t="s">
        <v>23999</v>
      </c>
      <c r="D2898" t="s">
        <v>24000</v>
      </c>
      <c r="E2898" t="s">
        <v>23999</v>
      </c>
      <c r="G2898" t="s">
        <v>24001</v>
      </c>
      <c r="H2898" t="s">
        <v>24002</v>
      </c>
      <c r="J2898" t="s">
        <v>24003</v>
      </c>
      <c r="L2898" t="s">
        <v>19</v>
      </c>
      <c r="M2898" t="s">
        <v>199</v>
      </c>
      <c r="R2898" t="s">
        <v>24004</v>
      </c>
      <c r="W2898" t="s">
        <v>23999</v>
      </c>
      <c r="X2898" t="s">
        <v>24005</v>
      </c>
      <c r="Y2898" t="s">
        <v>24006</v>
      </c>
      <c r="Z2898" t="s">
        <v>117</v>
      </c>
      <c r="AA2898" t="str">
        <f>"14482-8933"</f>
        <v>14482-8933</v>
      </c>
      <c r="AB2898" t="s">
        <v>282</v>
      </c>
      <c r="AC2898" t="s">
        <v>119</v>
      </c>
      <c r="AD2898" t="s">
        <v>113</v>
      </c>
      <c r="AE2898" t="s">
        <v>120</v>
      </c>
      <c r="AG2898" t="s">
        <v>121</v>
      </c>
    </row>
    <row r="2899" spans="1:33" x14ac:dyDescent="0.25">
      <c r="A2899" t="str">
        <f>"1245237288"</f>
        <v>1245237288</v>
      </c>
      <c r="B2899" t="str">
        <f>"00613474"</f>
        <v>00613474</v>
      </c>
      <c r="C2899" t="s">
        <v>16424</v>
      </c>
      <c r="D2899" t="s">
        <v>16425</v>
      </c>
      <c r="E2899" t="s">
        <v>16426</v>
      </c>
      <c r="G2899" t="s">
        <v>16424</v>
      </c>
      <c r="H2899" t="s">
        <v>3068</v>
      </c>
      <c r="J2899" t="s">
        <v>16427</v>
      </c>
      <c r="L2899" t="s">
        <v>112</v>
      </c>
      <c r="M2899" t="s">
        <v>113</v>
      </c>
      <c r="R2899" t="s">
        <v>16428</v>
      </c>
      <c r="W2899" t="s">
        <v>16426</v>
      </c>
      <c r="X2899" t="s">
        <v>16429</v>
      </c>
      <c r="Y2899" t="s">
        <v>377</v>
      </c>
      <c r="Z2899" t="s">
        <v>117</v>
      </c>
      <c r="AA2899" t="str">
        <f>"14217-1234"</f>
        <v>14217-1234</v>
      </c>
      <c r="AB2899" t="s">
        <v>118</v>
      </c>
      <c r="AC2899" t="s">
        <v>119</v>
      </c>
      <c r="AD2899" t="s">
        <v>113</v>
      </c>
      <c r="AE2899" t="s">
        <v>120</v>
      </c>
      <c r="AG2899" t="s">
        <v>121</v>
      </c>
    </row>
    <row r="2900" spans="1:33" x14ac:dyDescent="0.25">
      <c r="A2900" t="str">
        <f>"1245256502"</f>
        <v>1245256502</v>
      </c>
      <c r="B2900" t="str">
        <f>"00773533"</f>
        <v>00773533</v>
      </c>
      <c r="C2900" t="s">
        <v>16430</v>
      </c>
      <c r="D2900" t="s">
        <v>16431</v>
      </c>
      <c r="E2900" t="s">
        <v>16432</v>
      </c>
      <c r="G2900" t="s">
        <v>16430</v>
      </c>
      <c r="H2900" t="s">
        <v>16433</v>
      </c>
      <c r="J2900" t="s">
        <v>16434</v>
      </c>
      <c r="L2900" t="s">
        <v>150</v>
      </c>
      <c r="M2900" t="s">
        <v>113</v>
      </c>
      <c r="R2900" t="s">
        <v>16435</v>
      </c>
      <c r="W2900" t="s">
        <v>16432</v>
      </c>
      <c r="X2900" t="s">
        <v>260</v>
      </c>
      <c r="Y2900" t="s">
        <v>116</v>
      </c>
      <c r="Z2900" t="s">
        <v>117</v>
      </c>
      <c r="AA2900" t="str">
        <f>"14209-1194"</f>
        <v>14209-1194</v>
      </c>
      <c r="AB2900" t="s">
        <v>118</v>
      </c>
      <c r="AC2900" t="s">
        <v>119</v>
      </c>
      <c r="AD2900" t="s">
        <v>113</v>
      </c>
      <c r="AE2900" t="s">
        <v>120</v>
      </c>
      <c r="AG2900" t="s">
        <v>121</v>
      </c>
    </row>
    <row r="2901" spans="1:33" x14ac:dyDescent="0.25">
      <c r="A2901" t="str">
        <f>"1245262955"</f>
        <v>1245262955</v>
      </c>
      <c r="B2901" t="str">
        <f>"02776227"</f>
        <v>02776227</v>
      </c>
      <c r="C2901" t="s">
        <v>16436</v>
      </c>
      <c r="D2901" t="s">
        <v>16437</v>
      </c>
      <c r="E2901" t="s">
        <v>16438</v>
      </c>
      <c r="G2901" t="s">
        <v>16439</v>
      </c>
      <c r="H2901" t="s">
        <v>366</v>
      </c>
      <c r="J2901" t="s">
        <v>16440</v>
      </c>
      <c r="L2901" t="s">
        <v>112</v>
      </c>
      <c r="M2901" t="s">
        <v>113</v>
      </c>
      <c r="R2901" t="s">
        <v>16441</v>
      </c>
      <c r="W2901" t="s">
        <v>16442</v>
      </c>
      <c r="X2901" t="s">
        <v>253</v>
      </c>
      <c r="Y2901" t="s">
        <v>116</v>
      </c>
      <c r="Z2901" t="s">
        <v>117</v>
      </c>
      <c r="AA2901" t="str">
        <f>"14215-3021"</f>
        <v>14215-3021</v>
      </c>
      <c r="AB2901" t="s">
        <v>118</v>
      </c>
      <c r="AC2901" t="s">
        <v>119</v>
      </c>
      <c r="AD2901" t="s">
        <v>113</v>
      </c>
      <c r="AE2901" t="s">
        <v>120</v>
      </c>
      <c r="AG2901" t="s">
        <v>121</v>
      </c>
    </row>
    <row r="2902" spans="1:33" x14ac:dyDescent="0.25">
      <c r="A2902" t="str">
        <f>"1245270388"</f>
        <v>1245270388</v>
      </c>
      <c r="B2902" t="str">
        <f>"00983784"</f>
        <v>00983784</v>
      </c>
      <c r="C2902" t="s">
        <v>16443</v>
      </c>
      <c r="D2902" t="s">
        <v>16444</v>
      </c>
      <c r="E2902" t="s">
        <v>16445</v>
      </c>
      <c r="G2902" t="s">
        <v>16443</v>
      </c>
      <c r="H2902" t="s">
        <v>16446</v>
      </c>
      <c r="J2902" t="s">
        <v>16447</v>
      </c>
      <c r="L2902" t="s">
        <v>142</v>
      </c>
      <c r="M2902" t="s">
        <v>113</v>
      </c>
      <c r="R2902" t="s">
        <v>16448</v>
      </c>
      <c r="W2902" t="s">
        <v>16445</v>
      </c>
      <c r="X2902" t="s">
        <v>784</v>
      </c>
      <c r="Y2902" t="s">
        <v>116</v>
      </c>
      <c r="Z2902" t="s">
        <v>117</v>
      </c>
      <c r="AA2902" t="str">
        <f>"14209-1194"</f>
        <v>14209-1194</v>
      </c>
      <c r="AB2902" t="s">
        <v>118</v>
      </c>
      <c r="AC2902" t="s">
        <v>119</v>
      </c>
      <c r="AD2902" t="s">
        <v>113</v>
      </c>
      <c r="AE2902" t="s">
        <v>120</v>
      </c>
      <c r="AG2902" t="s">
        <v>121</v>
      </c>
    </row>
    <row r="2903" spans="1:33" x14ac:dyDescent="0.25">
      <c r="A2903" t="str">
        <f>"1245275445"</f>
        <v>1245275445</v>
      </c>
      <c r="B2903" t="str">
        <f>"01196107"</f>
        <v>01196107</v>
      </c>
      <c r="C2903" t="s">
        <v>16449</v>
      </c>
      <c r="D2903" t="s">
        <v>16450</v>
      </c>
      <c r="E2903" t="s">
        <v>16451</v>
      </c>
      <c r="G2903" t="s">
        <v>16449</v>
      </c>
      <c r="H2903" t="s">
        <v>16452</v>
      </c>
      <c r="J2903" t="s">
        <v>16453</v>
      </c>
      <c r="L2903" t="s">
        <v>112</v>
      </c>
      <c r="M2903" t="s">
        <v>113</v>
      </c>
      <c r="R2903" t="s">
        <v>16451</v>
      </c>
      <c r="W2903" t="s">
        <v>16451</v>
      </c>
      <c r="X2903" t="s">
        <v>3705</v>
      </c>
      <c r="Y2903" t="s">
        <v>958</v>
      </c>
      <c r="Z2903" t="s">
        <v>117</v>
      </c>
      <c r="AA2903" t="str">
        <f>"14226-1727"</f>
        <v>14226-1727</v>
      </c>
      <c r="AB2903" t="s">
        <v>118</v>
      </c>
      <c r="AC2903" t="s">
        <v>119</v>
      </c>
      <c r="AD2903" t="s">
        <v>113</v>
      </c>
      <c r="AE2903" t="s">
        <v>120</v>
      </c>
      <c r="AG2903" t="s">
        <v>121</v>
      </c>
    </row>
    <row r="2904" spans="1:33" x14ac:dyDescent="0.25">
      <c r="A2904" t="str">
        <f>"1245276203"</f>
        <v>1245276203</v>
      </c>
      <c r="B2904" t="str">
        <f>"01121562"</f>
        <v>01121562</v>
      </c>
      <c r="C2904" t="s">
        <v>16454</v>
      </c>
      <c r="D2904" t="s">
        <v>16455</v>
      </c>
      <c r="E2904" t="s">
        <v>16456</v>
      </c>
      <c r="G2904" t="s">
        <v>16454</v>
      </c>
      <c r="H2904" t="s">
        <v>16457</v>
      </c>
      <c r="J2904" t="s">
        <v>16458</v>
      </c>
      <c r="L2904" t="s">
        <v>142</v>
      </c>
      <c r="M2904" t="s">
        <v>113</v>
      </c>
      <c r="R2904" t="s">
        <v>16459</v>
      </c>
      <c r="W2904" t="s">
        <v>16456</v>
      </c>
      <c r="X2904" t="s">
        <v>16460</v>
      </c>
      <c r="Y2904" t="s">
        <v>116</v>
      </c>
      <c r="Z2904" t="s">
        <v>117</v>
      </c>
      <c r="AA2904" t="str">
        <f>"14203-1126"</f>
        <v>14203-1126</v>
      </c>
      <c r="AB2904" t="s">
        <v>118</v>
      </c>
      <c r="AC2904" t="s">
        <v>119</v>
      </c>
      <c r="AD2904" t="s">
        <v>113</v>
      </c>
      <c r="AE2904" t="s">
        <v>120</v>
      </c>
      <c r="AG2904" t="s">
        <v>121</v>
      </c>
    </row>
    <row r="2905" spans="1:33" x14ac:dyDescent="0.25">
      <c r="A2905" t="str">
        <f>"1245279801"</f>
        <v>1245279801</v>
      </c>
      <c r="B2905" t="str">
        <f>"02775386"</f>
        <v>02775386</v>
      </c>
      <c r="C2905" t="s">
        <v>16461</v>
      </c>
      <c r="D2905" t="s">
        <v>16462</v>
      </c>
      <c r="E2905" t="s">
        <v>16463</v>
      </c>
      <c r="G2905" t="s">
        <v>16461</v>
      </c>
      <c r="H2905" t="s">
        <v>630</v>
      </c>
      <c r="J2905" t="s">
        <v>16464</v>
      </c>
      <c r="L2905" t="s">
        <v>142</v>
      </c>
      <c r="M2905" t="s">
        <v>113</v>
      </c>
      <c r="R2905" t="s">
        <v>16465</v>
      </c>
      <c r="W2905" t="s">
        <v>16463</v>
      </c>
      <c r="X2905" t="s">
        <v>253</v>
      </c>
      <c r="Y2905" t="s">
        <v>116</v>
      </c>
      <c r="Z2905" t="s">
        <v>117</v>
      </c>
      <c r="AA2905" t="str">
        <f>"14215-3021"</f>
        <v>14215-3021</v>
      </c>
      <c r="AB2905" t="s">
        <v>118</v>
      </c>
      <c r="AC2905" t="s">
        <v>119</v>
      </c>
      <c r="AD2905" t="s">
        <v>113</v>
      </c>
      <c r="AE2905" t="s">
        <v>120</v>
      </c>
      <c r="AG2905" t="s">
        <v>121</v>
      </c>
    </row>
    <row r="2906" spans="1:33" x14ac:dyDescent="0.25">
      <c r="A2906" t="str">
        <f>"1245280288"</f>
        <v>1245280288</v>
      </c>
      <c r="B2906" t="str">
        <f>"02777324"</f>
        <v>02777324</v>
      </c>
      <c r="C2906" t="s">
        <v>16466</v>
      </c>
      <c r="D2906" t="s">
        <v>16467</v>
      </c>
      <c r="E2906" t="s">
        <v>16468</v>
      </c>
      <c r="G2906" t="s">
        <v>16469</v>
      </c>
      <c r="H2906" t="s">
        <v>213</v>
      </c>
      <c r="J2906" t="s">
        <v>16470</v>
      </c>
      <c r="L2906" t="s">
        <v>142</v>
      </c>
      <c r="M2906" t="s">
        <v>199</v>
      </c>
      <c r="R2906" t="s">
        <v>16468</v>
      </c>
      <c r="W2906" t="s">
        <v>16468</v>
      </c>
      <c r="X2906" t="s">
        <v>216</v>
      </c>
      <c r="Y2906" t="s">
        <v>116</v>
      </c>
      <c r="Z2906" t="s">
        <v>117</v>
      </c>
      <c r="AA2906" t="str">
        <f>"14222-2006"</f>
        <v>14222-2006</v>
      </c>
      <c r="AB2906" t="s">
        <v>118</v>
      </c>
      <c r="AC2906" t="s">
        <v>119</v>
      </c>
      <c r="AD2906" t="s">
        <v>113</v>
      </c>
      <c r="AE2906" t="s">
        <v>120</v>
      </c>
      <c r="AG2906" t="s">
        <v>121</v>
      </c>
    </row>
    <row r="2907" spans="1:33" x14ac:dyDescent="0.25">
      <c r="A2907" t="str">
        <f>"1245288612"</f>
        <v>1245288612</v>
      </c>
      <c r="B2907" t="str">
        <f>"01572334"</f>
        <v>01572334</v>
      </c>
      <c r="C2907" t="s">
        <v>16471</v>
      </c>
      <c r="D2907" t="s">
        <v>16472</v>
      </c>
      <c r="E2907" t="s">
        <v>16473</v>
      </c>
      <c r="G2907" t="s">
        <v>16471</v>
      </c>
      <c r="H2907" t="s">
        <v>205</v>
      </c>
      <c r="J2907" t="s">
        <v>16474</v>
      </c>
      <c r="L2907" t="s">
        <v>150</v>
      </c>
      <c r="M2907" t="s">
        <v>113</v>
      </c>
      <c r="R2907" t="s">
        <v>16475</v>
      </c>
      <c r="W2907" t="s">
        <v>16473</v>
      </c>
      <c r="X2907" t="s">
        <v>16476</v>
      </c>
      <c r="Y2907" t="s">
        <v>326</v>
      </c>
      <c r="Z2907" t="s">
        <v>117</v>
      </c>
      <c r="AA2907" t="str">
        <f>"14127-2640"</f>
        <v>14127-2640</v>
      </c>
      <c r="AB2907" t="s">
        <v>118</v>
      </c>
      <c r="AC2907" t="s">
        <v>119</v>
      </c>
      <c r="AD2907" t="s">
        <v>113</v>
      </c>
      <c r="AE2907" t="s">
        <v>120</v>
      </c>
      <c r="AG2907" t="s">
        <v>121</v>
      </c>
    </row>
    <row r="2908" spans="1:33" x14ac:dyDescent="0.25">
      <c r="A2908" t="str">
        <f>"1285730614"</f>
        <v>1285730614</v>
      </c>
      <c r="B2908" t="str">
        <f>"03731133"</f>
        <v>03731133</v>
      </c>
      <c r="C2908" t="s">
        <v>16477</v>
      </c>
      <c r="D2908" t="s">
        <v>16478</v>
      </c>
      <c r="E2908" t="s">
        <v>16479</v>
      </c>
      <c r="G2908" t="s">
        <v>16480</v>
      </c>
      <c r="H2908" t="s">
        <v>437</v>
      </c>
      <c r="J2908" t="s">
        <v>438</v>
      </c>
      <c r="L2908" t="s">
        <v>112</v>
      </c>
      <c r="M2908" t="s">
        <v>113</v>
      </c>
      <c r="R2908" t="s">
        <v>16481</v>
      </c>
      <c r="W2908" t="s">
        <v>16479</v>
      </c>
      <c r="X2908" t="s">
        <v>1218</v>
      </c>
      <c r="Y2908" t="s">
        <v>318</v>
      </c>
      <c r="Z2908" t="s">
        <v>117</v>
      </c>
      <c r="AA2908" t="str">
        <f>"14225-4985"</f>
        <v>14225-4985</v>
      </c>
      <c r="AB2908" t="s">
        <v>621</v>
      </c>
      <c r="AC2908" t="s">
        <v>119</v>
      </c>
      <c r="AD2908" t="s">
        <v>113</v>
      </c>
      <c r="AE2908" t="s">
        <v>120</v>
      </c>
      <c r="AG2908" t="s">
        <v>121</v>
      </c>
    </row>
    <row r="2909" spans="1:33" x14ac:dyDescent="0.25">
      <c r="A2909" t="str">
        <f>"1285733014"</f>
        <v>1285733014</v>
      </c>
      <c r="B2909" t="str">
        <f>"01873532"</f>
        <v>01873532</v>
      </c>
      <c r="C2909" t="s">
        <v>16482</v>
      </c>
      <c r="D2909" t="s">
        <v>16483</v>
      </c>
      <c r="E2909" t="s">
        <v>16484</v>
      </c>
      <c r="G2909" t="s">
        <v>16485</v>
      </c>
      <c r="H2909" t="s">
        <v>16486</v>
      </c>
      <c r="J2909" t="s">
        <v>16487</v>
      </c>
      <c r="L2909" t="s">
        <v>112</v>
      </c>
      <c r="M2909" t="s">
        <v>199</v>
      </c>
      <c r="R2909" t="s">
        <v>16488</v>
      </c>
      <c r="W2909" t="s">
        <v>16484</v>
      </c>
      <c r="X2909" t="s">
        <v>16489</v>
      </c>
      <c r="Y2909" t="s">
        <v>232</v>
      </c>
      <c r="Z2909" t="s">
        <v>117</v>
      </c>
      <c r="AA2909" t="str">
        <f>"10019-8022"</f>
        <v>10019-8022</v>
      </c>
      <c r="AB2909" t="s">
        <v>118</v>
      </c>
      <c r="AC2909" t="s">
        <v>119</v>
      </c>
      <c r="AD2909" t="s">
        <v>113</v>
      </c>
      <c r="AE2909" t="s">
        <v>120</v>
      </c>
      <c r="AG2909" t="s">
        <v>121</v>
      </c>
    </row>
    <row r="2910" spans="1:33" x14ac:dyDescent="0.25">
      <c r="A2910" t="str">
        <f>"1225180052"</f>
        <v>1225180052</v>
      </c>
      <c r="B2910" t="str">
        <f>"00357855"</f>
        <v>00357855</v>
      </c>
      <c r="C2910" t="s">
        <v>1710</v>
      </c>
      <c r="D2910" t="s">
        <v>1711</v>
      </c>
      <c r="E2910" t="s">
        <v>1712</v>
      </c>
      <c r="G2910" t="s">
        <v>16490</v>
      </c>
      <c r="H2910" t="s">
        <v>471</v>
      </c>
      <c r="L2910" t="s">
        <v>1714</v>
      </c>
      <c r="M2910" t="s">
        <v>199</v>
      </c>
      <c r="R2910" t="s">
        <v>1710</v>
      </c>
      <c r="W2910" t="s">
        <v>1712</v>
      </c>
      <c r="X2910" t="s">
        <v>1715</v>
      </c>
      <c r="Y2910" t="s">
        <v>116</v>
      </c>
      <c r="Z2910" t="s">
        <v>117</v>
      </c>
      <c r="AA2910" t="str">
        <f>"14214-1316"</f>
        <v>14214-1316</v>
      </c>
      <c r="AB2910" t="s">
        <v>1146</v>
      </c>
      <c r="AC2910" t="s">
        <v>119</v>
      </c>
      <c r="AD2910" t="s">
        <v>113</v>
      </c>
      <c r="AE2910" t="s">
        <v>120</v>
      </c>
      <c r="AG2910" t="s">
        <v>121</v>
      </c>
    </row>
    <row r="2911" spans="1:33" x14ac:dyDescent="0.25">
      <c r="A2911" t="str">
        <f>"1225189640"</f>
        <v>1225189640</v>
      </c>
      <c r="B2911" t="str">
        <f>"02938076"</f>
        <v>02938076</v>
      </c>
      <c r="C2911" t="s">
        <v>16491</v>
      </c>
      <c r="D2911" t="s">
        <v>16492</v>
      </c>
      <c r="E2911" t="s">
        <v>16493</v>
      </c>
      <c r="G2911" t="s">
        <v>16494</v>
      </c>
      <c r="H2911" t="s">
        <v>16495</v>
      </c>
      <c r="J2911" t="s">
        <v>16496</v>
      </c>
      <c r="L2911" t="s">
        <v>112</v>
      </c>
      <c r="M2911" t="s">
        <v>113</v>
      </c>
      <c r="R2911" t="s">
        <v>16493</v>
      </c>
      <c r="W2911" t="s">
        <v>16497</v>
      </c>
      <c r="X2911" t="s">
        <v>176</v>
      </c>
      <c r="Y2911" t="s">
        <v>116</v>
      </c>
      <c r="Z2911" t="s">
        <v>117</v>
      </c>
      <c r="AA2911" t="str">
        <f>"14203-1126"</f>
        <v>14203-1126</v>
      </c>
      <c r="AB2911" t="s">
        <v>118</v>
      </c>
      <c r="AC2911" t="s">
        <v>119</v>
      </c>
      <c r="AD2911" t="s">
        <v>113</v>
      </c>
      <c r="AE2911" t="s">
        <v>120</v>
      </c>
      <c r="AG2911" t="s">
        <v>121</v>
      </c>
    </row>
    <row r="2912" spans="1:33" x14ac:dyDescent="0.25">
      <c r="A2912" t="str">
        <f>"1225191307"</f>
        <v>1225191307</v>
      </c>
      <c r="B2912" t="str">
        <f>"00703686"</f>
        <v>00703686</v>
      </c>
      <c r="C2912" t="s">
        <v>4751</v>
      </c>
      <c r="D2912" t="s">
        <v>16498</v>
      </c>
      <c r="E2912" t="s">
        <v>16499</v>
      </c>
      <c r="F2912">
        <v>160968914</v>
      </c>
      <c r="H2912" t="s">
        <v>7977</v>
      </c>
      <c r="L2912" t="s">
        <v>69</v>
      </c>
      <c r="M2912" t="s">
        <v>113</v>
      </c>
      <c r="R2912" t="s">
        <v>4757</v>
      </c>
      <c r="W2912" t="s">
        <v>16499</v>
      </c>
      <c r="X2912" t="s">
        <v>16500</v>
      </c>
      <c r="Y2912" t="s">
        <v>986</v>
      </c>
      <c r="Z2912" t="s">
        <v>117</v>
      </c>
      <c r="AA2912" t="str">
        <f>"14701-9524"</f>
        <v>14701-9524</v>
      </c>
      <c r="AB2912" t="s">
        <v>282</v>
      </c>
      <c r="AC2912" t="s">
        <v>119</v>
      </c>
      <c r="AD2912" t="s">
        <v>113</v>
      </c>
      <c r="AE2912" t="s">
        <v>120</v>
      </c>
      <c r="AG2912" t="s">
        <v>121</v>
      </c>
    </row>
    <row r="2913" spans="1:33" x14ac:dyDescent="0.25">
      <c r="A2913" t="str">
        <f>"1083771505"</f>
        <v>1083771505</v>
      </c>
      <c r="B2913" t="str">
        <f>"01152721"</f>
        <v>01152721</v>
      </c>
      <c r="C2913" t="s">
        <v>16420</v>
      </c>
      <c r="D2913" t="s">
        <v>16421</v>
      </c>
      <c r="E2913" t="s">
        <v>16422</v>
      </c>
      <c r="H2913" t="s">
        <v>8103</v>
      </c>
      <c r="L2913" t="s">
        <v>67</v>
      </c>
      <c r="M2913" t="s">
        <v>199</v>
      </c>
      <c r="R2913" t="s">
        <v>16420</v>
      </c>
      <c r="W2913" t="s">
        <v>16422</v>
      </c>
      <c r="X2913" t="s">
        <v>16423</v>
      </c>
      <c r="Y2913" t="s">
        <v>663</v>
      </c>
      <c r="Z2913" t="s">
        <v>117</v>
      </c>
      <c r="AA2913" t="str">
        <f>"14094-1421"</f>
        <v>14094-1421</v>
      </c>
      <c r="AB2913" t="s">
        <v>291</v>
      </c>
      <c r="AC2913" t="s">
        <v>119</v>
      </c>
      <c r="AD2913" t="s">
        <v>113</v>
      </c>
      <c r="AE2913" t="s">
        <v>120</v>
      </c>
      <c r="AG2913" t="s">
        <v>121</v>
      </c>
    </row>
    <row r="2914" spans="1:33" x14ac:dyDescent="0.25">
      <c r="A2914" t="str">
        <f>"1225224082"</f>
        <v>1225224082</v>
      </c>
      <c r="B2914" t="str">
        <f>"03135426"</f>
        <v>03135426</v>
      </c>
      <c r="C2914" t="s">
        <v>16505</v>
      </c>
      <c r="D2914" t="s">
        <v>16506</v>
      </c>
      <c r="E2914" t="s">
        <v>16507</v>
      </c>
      <c r="G2914" t="s">
        <v>16508</v>
      </c>
      <c r="H2914" t="s">
        <v>579</v>
      </c>
      <c r="L2914" t="s">
        <v>112</v>
      </c>
      <c r="M2914" t="s">
        <v>113</v>
      </c>
      <c r="R2914" t="s">
        <v>16508</v>
      </c>
      <c r="W2914" t="s">
        <v>16507</v>
      </c>
      <c r="X2914" t="s">
        <v>152</v>
      </c>
      <c r="Y2914" t="s">
        <v>153</v>
      </c>
      <c r="Z2914" t="s">
        <v>117</v>
      </c>
      <c r="AA2914" t="str">
        <f>"14301-1813"</f>
        <v>14301-1813</v>
      </c>
      <c r="AB2914" t="s">
        <v>118</v>
      </c>
      <c r="AC2914" t="s">
        <v>119</v>
      </c>
      <c r="AD2914" t="s">
        <v>113</v>
      </c>
      <c r="AE2914" t="s">
        <v>120</v>
      </c>
      <c r="AG2914" t="s">
        <v>121</v>
      </c>
    </row>
    <row r="2915" spans="1:33" x14ac:dyDescent="0.25">
      <c r="A2915" t="str">
        <f>"1265438667"</f>
        <v>1265438667</v>
      </c>
      <c r="B2915" t="str">
        <f>"02626066"</f>
        <v>02626066</v>
      </c>
      <c r="C2915" t="s">
        <v>16509</v>
      </c>
      <c r="D2915" t="s">
        <v>16510</v>
      </c>
      <c r="E2915" t="s">
        <v>16511</v>
      </c>
      <c r="G2915" t="s">
        <v>16509</v>
      </c>
      <c r="H2915" t="s">
        <v>16512</v>
      </c>
      <c r="J2915" t="s">
        <v>16513</v>
      </c>
      <c r="L2915" t="s">
        <v>112</v>
      </c>
      <c r="M2915" t="s">
        <v>113</v>
      </c>
      <c r="R2915" t="s">
        <v>16514</v>
      </c>
      <c r="W2915" t="s">
        <v>16511</v>
      </c>
      <c r="X2915" t="s">
        <v>11206</v>
      </c>
      <c r="Y2915" t="s">
        <v>318</v>
      </c>
      <c r="Z2915" t="s">
        <v>117</v>
      </c>
      <c r="AA2915" t="str">
        <f>"14227-2234"</f>
        <v>14227-2234</v>
      </c>
      <c r="AB2915" t="s">
        <v>118</v>
      </c>
      <c r="AC2915" t="s">
        <v>119</v>
      </c>
      <c r="AD2915" t="s">
        <v>113</v>
      </c>
      <c r="AE2915" t="s">
        <v>120</v>
      </c>
      <c r="AG2915" t="s">
        <v>121</v>
      </c>
    </row>
    <row r="2916" spans="1:33" x14ac:dyDescent="0.25">
      <c r="A2916" t="str">
        <f>"1265452262"</f>
        <v>1265452262</v>
      </c>
      <c r="B2916" t="str">
        <f>"00616055"</f>
        <v>00616055</v>
      </c>
      <c r="C2916" t="s">
        <v>16515</v>
      </c>
      <c r="D2916" t="s">
        <v>16516</v>
      </c>
      <c r="E2916" t="s">
        <v>16517</v>
      </c>
      <c r="G2916" t="s">
        <v>16518</v>
      </c>
      <c r="H2916" t="s">
        <v>16519</v>
      </c>
      <c r="L2916" t="s">
        <v>150</v>
      </c>
      <c r="M2916" t="s">
        <v>113</v>
      </c>
      <c r="R2916" t="s">
        <v>16518</v>
      </c>
      <c r="W2916" t="s">
        <v>16517</v>
      </c>
      <c r="X2916" t="s">
        <v>16520</v>
      </c>
      <c r="Y2916" t="s">
        <v>153</v>
      </c>
      <c r="Z2916" t="s">
        <v>117</v>
      </c>
      <c r="AA2916" t="str">
        <f>"14304-4365"</f>
        <v>14304-4365</v>
      </c>
      <c r="AB2916" t="s">
        <v>118</v>
      </c>
      <c r="AC2916" t="s">
        <v>119</v>
      </c>
      <c r="AD2916" t="s">
        <v>113</v>
      </c>
      <c r="AE2916" t="s">
        <v>120</v>
      </c>
      <c r="AG2916" t="s">
        <v>121</v>
      </c>
    </row>
    <row r="2917" spans="1:33" x14ac:dyDescent="0.25">
      <c r="A2917" t="str">
        <f>"1265469126"</f>
        <v>1265469126</v>
      </c>
      <c r="B2917" t="str">
        <f>"01885161"</f>
        <v>01885161</v>
      </c>
      <c r="C2917" t="s">
        <v>16521</v>
      </c>
      <c r="D2917" t="s">
        <v>16522</v>
      </c>
      <c r="E2917" t="s">
        <v>16523</v>
      </c>
      <c r="G2917" t="s">
        <v>16521</v>
      </c>
      <c r="H2917" t="s">
        <v>15643</v>
      </c>
      <c r="J2917" t="s">
        <v>16524</v>
      </c>
      <c r="L2917" t="s">
        <v>142</v>
      </c>
      <c r="M2917" t="s">
        <v>113</v>
      </c>
      <c r="R2917" t="s">
        <v>16525</v>
      </c>
      <c r="W2917" t="s">
        <v>16523</v>
      </c>
      <c r="X2917" t="s">
        <v>15646</v>
      </c>
      <c r="Y2917" t="s">
        <v>116</v>
      </c>
      <c r="Z2917" t="s">
        <v>117</v>
      </c>
      <c r="AA2917" t="str">
        <f>"14226-3800"</f>
        <v>14226-3800</v>
      </c>
      <c r="AB2917" t="s">
        <v>118</v>
      </c>
      <c r="AC2917" t="s">
        <v>119</v>
      </c>
      <c r="AD2917" t="s">
        <v>113</v>
      </c>
      <c r="AE2917" t="s">
        <v>120</v>
      </c>
      <c r="AG2917" t="s">
        <v>121</v>
      </c>
    </row>
    <row r="2918" spans="1:33" x14ac:dyDescent="0.25">
      <c r="A2918" t="str">
        <f>"1265471767"</f>
        <v>1265471767</v>
      </c>
      <c r="B2918" t="str">
        <f>"00611803"</f>
        <v>00611803</v>
      </c>
      <c r="C2918" t="s">
        <v>16526</v>
      </c>
      <c r="D2918" t="s">
        <v>16527</v>
      </c>
      <c r="E2918" t="s">
        <v>16528</v>
      </c>
      <c r="G2918" t="s">
        <v>330</v>
      </c>
      <c r="H2918" t="s">
        <v>16529</v>
      </c>
      <c r="J2918" t="s">
        <v>332</v>
      </c>
      <c r="L2918" t="s">
        <v>142</v>
      </c>
      <c r="M2918" t="s">
        <v>113</v>
      </c>
      <c r="R2918" t="s">
        <v>16530</v>
      </c>
      <c r="W2918" t="s">
        <v>16528</v>
      </c>
      <c r="X2918" t="s">
        <v>14379</v>
      </c>
      <c r="Y2918" t="s">
        <v>116</v>
      </c>
      <c r="Z2918" t="s">
        <v>117</v>
      </c>
      <c r="AA2918" t="str">
        <f>"14214-2693"</f>
        <v>14214-2693</v>
      </c>
      <c r="AB2918" t="s">
        <v>118</v>
      </c>
      <c r="AC2918" t="s">
        <v>119</v>
      </c>
      <c r="AD2918" t="s">
        <v>113</v>
      </c>
      <c r="AE2918" t="s">
        <v>120</v>
      </c>
      <c r="AG2918" t="s">
        <v>121</v>
      </c>
    </row>
    <row r="2919" spans="1:33" x14ac:dyDescent="0.25">
      <c r="A2919" t="str">
        <f>"1265477491"</f>
        <v>1265477491</v>
      </c>
      <c r="B2919" t="str">
        <f>"00657034"</f>
        <v>00657034</v>
      </c>
      <c r="C2919" t="s">
        <v>16531</v>
      </c>
      <c r="D2919" t="s">
        <v>16532</v>
      </c>
      <c r="E2919" t="s">
        <v>16533</v>
      </c>
      <c r="G2919" t="s">
        <v>16531</v>
      </c>
      <c r="H2919" t="s">
        <v>16534</v>
      </c>
      <c r="J2919" t="s">
        <v>16535</v>
      </c>
      <c r="L2919" t="s">
        <v>142</v>
      </c>
      <c r="M2919" t="s">
        <v>113</v>
      </c>
      <c r="R2919" t="s">
        <v>16536</v>
      </c>
      <c r="W2919" t="s">
        <v>16537</v>
      </c>
      <c r="X2919" t="s">
        <v>16538</v>
      </c>
      <c r="Y2919" t="s">
        <v>318</v>
      </c>
      <c r="Z2919" t="s">
        <v>117</v>
      </c>
      <c r="AA2919" t="str">
        <f>"14225-2001"</f>
        <v>14225-2001</v>
      </c>
      <c r="AB2919" t="s">
        <v>118</v>
      </c>
      <c r="AC2919" t="s">
        <v>119</v>
      </c>
      <c r="AD2919" t="s">
        <v>113</v>
      </c>
      <c r="AE2919" t="s">
        <v>120</v>
      </c>
      <c r="AG2919" t="s">
        <v>121</v>
      </c>
    </row>
    <row r="2920" spans="1:33" x14ac:dyDescent="0.25">
      <c r="A2920" t="str">
        <f>"1265499008"</f>
        <v>1265499008</v>
      </c>
      <c r="B2920" t="str">
        <f>"00751193"</f>
        <v>00751193</v>
      </c>
      <c r="C2920" t="s">
        <v>16539</v>
      </c>
      <c r="D2920" t="s">
        <v>16540</v>
      </c>
      <c r="E2920" t="s">
        <v>16541</v>
      </c>
      <c r="G2920" t="s">
        <v>16539</v>
      </c>
      <c r="H2920" t="s">
        <v>16542</v>
      </c>
      <c r="J2920" t="s">
        <v>16543</v>
      </c>
      <c r="L2920" t="s">
        <v>150</v>
      </c>
      <c r="M2920" t="s">
        <v>113</v>
      </c>
      <c r="R2920" t="s">
        <v>16544</v>
      </c>
      <c r="W2920" t="s">
        <v>16545</v>
      </c>
      <c r="X2920" t="s">
        <v>16546</v>
      </c>
      <c r="Y2920" t="s">
        <v>2786</v>
      </c>
      <c r="Z2920" t="s">
        <v>117</v>
      </c>
      <c r="AA2920" t="str">
        <f>"14026-1038"</f>
        <v>14026-1038</v>
      </c>
      <c r="AB2920" t="s">
        <v>118</v>
      </c>
      <c r="AC2920" t="s">
        <v>119</v>
      </c>
      <c r="AD2920" t="s">
        <v>113</v>
      </c>
      <c r="AE2920" t="s">
        <v>120</v>
      </c>
      <c r="AG2920" t="s">
        <v>121</v>
      </c>
    </row>
    <row r="2921" spans="1:33" x14ac:dyDescent="0.25">
      <c r="A2921" t="str">
        <f>"1265507099"</f>
        <v>1265507099</v>
      </c>
      <c r="B2921" t="str">
        <f>"01597557"</f>
        <v>01597557</v>
      </c>
      <c r="C2921" t="s">
        <v>16547</v>
      </c>
      <c r="D2921" t="s">
        <v>16548</v>
      </c>
      <c r="E2921" t="s">
        <v>16549</v>
      </c>
      <c r="G2921" t="s">
        <v>16547</v>
      </c>
      <c r="H2921" t="s">
        <v>2037</v>
      </c>
      <c r="J2921" t="s">
        <v>16550</v>
      </c>
      <c r="L2921" t="s">
        <v>112</v>
      </c>
      <c r="M2921" t="s">
        <v>113</v>
      </c>
      <c r="R2921" t="s">
        <v>16551</v>
      </c>
      <c r="W2921" t="s">
        <v>16552</v>
      </c>
      <c r="X2921" t="s">
        <v>216</v>
      </c>
      <c r="Y2921" t="s">
        <v>116</v>
      </c>
      <c r="Z2921" t="s">
        <v>117</v>
      </c>
      <c r="AA2921" t="str">
        <f>"14222-2006"</f>
        <v>14222-2006</v>
      </c>
      <c r="AB2921" t="s">
        <v>634</v>
      </c>
      <c r="AC2921" t="s">
        <v>119</v>
      </c>
      <c r="AD2921" t="s">
        <v>113</v>
      </c>
      <c r="AE2921" t="s">
        <v>120</v>
      </c>
      <c r="AG2921" t="s">
        <v>121</v>
      </c>
    </row>
    <row r="2922" spans="1:33" x14ac:dyDescent="0.25">
      <c r="A2922" t="str">
        <f>"1275844540"</f>
        <v>1275844540</v>
      </c>
      <c r="B2922" t="str">
        <f>"03264651"</f>
        <v>03264651</v>
      </c>
      <c r="C2922" t="s">
        <v>16553</v>
      </c>
      <c r="D2922" t="s">
        <v>16554</v>
      </c>
      <c r="E2922" t="s">
        <v>16555</v>
      </c>
      <c r="G2922" t="s">
        <v>16553</v>
      </c>
      <c r="H2922" t="s">
        <v>419</v>
      </c>
      <c r="J2922" t="s">
        <v>16556</v>
      </c>
      <c r="L2922" t="s">
        <v>142</v>
      </c>
      <c r="M2922" t="s">
        <v>113</v>
      </c>
      <c r="R2922" t="s">
        <v>16557</v>
      </c>
      <c r="W2922" t="s">
        <v>16558</v>
      </c>
      <c r="X2922" t="s">
        <v>422</v>
      </c>
      <c r="Y2922" t="s">
        <v>129</v>
      </c>
      <c r="Z2922" t="s">
        <v>117</v>
      </c>
      <c r="AA2922" t="str">
        <f>"14224-4658"</f>
        <v>14224-4658</v>
      </c>
      <c r="AB2922" t="s">
        <v>118</v>
      </c>
      <c r="AC2922" t="s">
        <v>119</v>
      </c>
      <c r="AD2922" t="s">
        <v>113</v>
      </c>
      <c r="AE2922" t="s">
        <v>120</v>
      </c>
      <c r="AG2922" t="s">
        <v>121</v>
      </c>
    </row>
    <row r="2923" spans="1:33" x14ac:dyDescent="0.25">
      <c r="A2923" t="str">
        <f>"1275863060"</f>
        <v>1275863060</v>
      </c>
      <c r="C2923" t="s">
        <v>16559</v>
      </c>
      <c r="G2923" t="s">
        <v>16560</v>
      </c>
      <c r="J2923" t="s">
        <v>352</v>
      </c>
      <c r="K2923" t="s">
        <v>303</v>
      </c>
      <c r="L2923" t="s">
        <v>112</v>
      </c>
      <c r="M2923" t="s">
        <v>113</v>
      </c>
      <c r="R2923" t="s">
        <v>16561</v>
      </c>
      <c r="S2923" t="s">
        <v>405</v>
      </c>
      <c r="T2923" t="s">
        <v>116</v>
      </c>
      <c r="U2923" t="s">
        <v>117</v>
      </c>
      <c r="V2923" t="str">
        <f>"142151139"</f>
        <v>142151139</v>
      </c>
      <c r="AC2923" t="s">
        <v>119</v>
      </c>
      <c r="AD2923" t="s">
        <v>113</v>
      </c>
      <c r="AE2923" t="s">
        <v>306</v>
      </c>
      <c r="AG2923" t="s">
        <v>121</v>
      </c>
    </row>
    <row r="2924" spans="1:33" x14ac:dyDescent="0.25">
      <c r="A2924" t="str">
        <f>"1275879231"</f>
        <v>1275879231</v>
      </c>
      <c r="B2924" t="str">
        <f>"03638093"</f>
        <v>03638093</v>
      </c>
      <c r="C2924" t="s">
        <v>16562</v>
      </c>
      <c r="D2924" t="s">
        <v>16563</v>
      </c>
      <c r="E2924" t="s">
        <v>16564</v>
      </c>
      <c r="G2924" t="s">
        <v>16565</v>
      </c>
      <c r="H2924" t="s">
        <v>16566</v>
      </c>
      <c r="J2924" t="s">
        <v>16567</v>
      </c>
      <c r="L2924" t="s">
        <v>112</v>
      </c>
      <c r="M2924" t="s">
        <v>113</v>
      </c>
      <c r="R2924" t="s">
        <v>16568</v>
      </c>
      <c r="W2924" t="s">
        <v>16564</v>
      </c>
      <c r="X2924" t="s">
        <v>216</v>
      </c>
      <c r="Y2924" t="s">
        <v>116</v>
      </c>
      <c r="Z2924" t="s">
        <v>117</v>
      </c>
      <c r="AA2924" t="str">
        <f>"14222-2006"</f>
        <v>14222-2006</v>
      </c>
      <c r="AB2924" t="s">
        <v>118</v>
      </c>
      <c r="AC2924" t="s">
        <v>119</v>
      </c>
      <c r="AD2924" t="s">
        <v>113</v>
      </c>
      <c r="AE2924" t="s">
        <v>120</v>
      </c>
      <c r="AG2924" t="s">
        <v>121</v>
      </c>
    </row>
    <row r="2925" spans="1:33" x14ac:dyDescent="0.25">
      <c r="A2925" t="str">
        <f>"1275890279"</f>
        <v>1275890279</v>
      </c>
      <c r="B2925" t="str">
        <f>"03454657"</f>
        <v>03454657</v>
      </c>
      <c r="C2925" t="s">
        <v>16569</v>
      </c>
      <c r="D2925" t="s">
        <v>16570</v>
      </c>
      <c r="E2925" t="s">
        <v>16571</v>
      </c>
      <c r="G2925" t="s">
        <v>16569</v>
      </c>
      <c r="H2925" t="s">
        <v>16572</v>
      </c>
      <c r="J2925" t="s">
        <v>16573</v>
      </c>
      <c r="L2925" t="s">
        <v>112</v>
      </c>
      <c r="M2925" t="s">
        <v>113</v>
      </c>
      <c r="R2925" t="s">
        <v>16574</v>
      </c>
      <c r="W2925" t="s">
        <v>16571</v>
      </c>
      <c r="X2925" t="s">
        <v>176</v>
      </c>
      <c r="Y2925" t="s">
        <v>116</v>
      </c>
      <c r="Z2925" t="s">
        <v>117</v>
      </c>
      <c r="AA2925" t="str">
        <f>"14203-1126"</f>
        <v>14203-1126</v>
      </c>
      <c r="AB2925" t="s">
        <v>118</v>
      </c>
      <c r="AC2925" t="s">
        <v>119</v>
      </c>
      <c r="AD2925" t="s">
        <v>113</v>
      </c>
      <c r="AE2925" t="s">
        <v>120</v>
      </c>
      <c r="AG2925" t="s">
        <v>121</v>
      </c>
    </row>
    <row r="2926" spans="1:33" x14ac:dyDescent="0.25">
      <c r="A2926" t="str">
        <f>"1316035843"</f>
        <v>1316035843</v>
      </c>
      <c r="C2926" t="s">
        <v>16575</v>
      </c>
      <c r="G2926" t="s">
        <v>16576</v>
      </c>
      <c r="H2926" t="s">
        <v>3483</v>
      </c>
      <c r="J2926" t="s">
        <v>352</v>
      </c>
      <c r="K2926" t="s">
        <v>303</v>
      </c>
      <c r="L2926" t="s">
        <v>229</v>
      </c>
      <c r="M2926" t="s">
        <v>113</v>
      </c>
      <c r="R2926" t="s">
        <v>16577</v>
      </c>
      <c r="S2926" t="s">
        <v>740</v>
      </c>
      <c r="T2926" t="s">
        <v>116</v>
      </c>
      <c r="U2926" t="s">
        <v>117</v>
      </c>
      <c r="V2926" t="str">
        <f>"142021804"</f>
        <v>142021804</v>
      </c>
      <c r="AC2926" t="s">
        <v>119</v>
      </c>
      <c r="AD2926" t="s">
        <v>113</v>
      </c>
      <c r="AE2926" t="s">
        <v>306</v>
      </c>
      <c r="AG2926" t="s">
        <v>121</v>
      </c>
    </row>
    <row r="2927" spans="1:33" x14ac:dyDescent="0.25">
      <c r="A2927" t="str">
        <f>"1316040686"</f>
        <v>1316040686</v>
      </c>
      <c r="B2927" t="str">
        <f>"00817083"</f>
        <v>00817083</v>
      </c>
      <c r="C2927" t="s">
        <v>16578</v>
      </c>
      <c r="D2927" t="s">
        <v>16579</v>
      </c>
      <c r="E2927" t="s">
        <v>16580</v>
      </c>
      <c r="G2927" t="s">
        <v>16578</v>
      </c>
      <c r="H2927" t="s">
        <v>16581</v>
      </c>
      <c r="J2927" t="s">
        <v>16582</v>
      </c>
      <c r="L2927" t="s">
        <v>112</v>
      </c>
      <c r="M2927" t="s">
        <v>113</v>
      </c>
      <c r="R2927" t="s">
        <v>16583</v>
      </c>
      <c r="W2927" t="s">
        <v>16584</v>
      </c>
      <c r="X2927" t="s">
        <v>16585</v>
      </c>
      <c r="Y2927" t="s">
        <v>318</v>
      </c>
      <c r="Z2927" t="s">
        <v>117</v>
      </c>
      <c r="AA2927" t="str">
        <f>"14225-2021"</f>
        <v>14225-2021</v>
      </c>
      <c r="AB2927" t="s">
        <v>118</v>
      </c>
      <c r="AC2927" t="s">
        <v>119</v>
      </c>
      <c r="AD2927" t="s">
        <v>113</v>
      </c>
      <c r="AE2927" t="s">
        <v>120</v>
      </c>
      <c r="AG2927" t="s">
        <v>121</v>
      </c>
    </row>
    <row r="2928" spans="1:33" x14ac:dyDescent="0.25">
      <c r="A2928" t="str">
        <f>"1316046055"</f>
        <v>1316046055</v>
      </c>
      <c r="B2928" t="str">
        <f>"02672017"</f>
        <v>02672017</v>
      </c>
      <c r="C2928" t="s">
        <v>16586</v>
      </c>
      <c r="D2928" t="s">
        <v>16587</v>
      </c>
      <c r="E2928" t="s">
        <v>16588</v>
      </c>
      <c r="G2928" t="s">
        <v>16589</v>
      </c>
      <c r="H2928" t="s">
        <v>213</v>
      </c>
      <c r="J2928" t="s">
        <v>16590</v>
      </c>
      <c r="L2928" t="s">
        <v>728</v>
      </c>
      <c r="M2928" t="s">
        <v>113</v>
      </c>
      <c r="R2928" t="s">
        <v>16591</v>
      </c>
      <c r="W2928" t="s">
        <v>16588</v>
      </c>
      <c r="X2928" t="s">
        <v>216</v>
      </c>
      <c r="Y2928" t="s">
        <v>116</v>
      </c>
      <c r="Z2928" t="s">
        <v>117</v>
      </c>
      <c r="AA2928" t="str">
        <f>"14222-2006"</f>
        <v>14222-2006</v>
      </c>
      <c r="AB2928" t="s">
        <v>118</v>
      </c>
      <c r="AC2928" t="s">
        <v>119</v>
      </c>
      <c r="AD2928" t="s">
        <v>113</v>
      </c>
      <c r="AE2928" t="s">
        <v>120</v>
      </c>
      <c r="AG2928" t="s">
        <v>121</v>
      </c>
    </row>
    <row r="2929" spans="1:33" x14ac:dyDescent="0.25">
      <c r="A2929" t="str">
        <f>"1316067499"</f>
        <v>1316067499</v>
      </c>
      <c r="B2929" t="str">
        <f>"00774016"</f>
        <v>00774016</v>
      </c>
      <c r="C2929" t="s">
        <v>16592</v>
      </c>
      <c r="D2929" t="s">
        <v>16593</v>
      </c>
      <c r="E2929" t="s">
        <v>16594</v>
      </c>
      <c r="G2929" t="s">
        <v>16592</v>
      </c>
      <c r="H2929" t="s">
        <v>7677</v>
      </c>
      <c r="J2929" t="s">
        <v>16595</v>
      </c>
      <c r="L2929" t="s">
        <v>112</v>
      </c>
      <c r="M2929" t="s">
        <v>113</v>
      </c>
      <c r="R2929" t="s">
        <v>16596</v>
      </c>
      <c r="W2929" t="s">
        <v>16594</v>
      </c>
      <c r="X2929" t="s">
        <v>1024</v>
      </c>
      <c r="Y2929" t="s">
        <v>116</v>
      </c>
      <c r="Z2929" t="s">
        <v>117</v>
      </c>
      <c r="AA2929" t="str">
        <f>"14209-2412"</f>
        <v>14209-2412</v>
      </c>
      <c r="AB2929" t="s">
        <v>118</v>
      </c>
      <c r="AC2929" t="s">
        <v>119</v>
      </c>
      <c r="AD2929" t="s">
        <v>113</v>
      </c>
      <c r="AE2929" t="s">
        <v>120</v>
      </c>
      <c r="AG2929" t="s">
        <v>121</v>
      </c>
    </row>
    <row r="2930" spans="1:33" x14ac:dyDescent="0.25">
      <c r="A2930" t="str">
        <f>"1316071749"</f>
        <v>1316071749</v>
      </c>
      <c r="B2930" t="str">
        <f>"01474937"</f>
        <v>01474937</v>
      </c>
      <c r="C2930" t="s">
        <v>16597</v>
      </c>
      <c r="D2930" t="s">
        <v>16598</v>
      </c>
      <c r="E2930" t="s">
        <v>16599</v>
      </c>
      <c r="G2930" t="s">
        <v>16597</v>
      </c>
      <c r="H2930" t="s">
        <v>16600</v>
      </c>
      <c r="J2930" t="s">
        <v>16601</v>
      </c>
      <c r="L2930" t="s">
        <v>1033</v>
      </c>
      <c r="M2930" t="s">
        <v>113</v>
      </c>
      <c r="R2930" t="s">
        <v>16602</v>
      </c>
      <c r="W2930" t="s">
        <v>16603</v>
      </c>
      <c r="X2930" t="s">
        <v>16604</v>
      </c>
      <c r="Y2930" t="s">
        <v>958</v>
      </c>
      <c r="Z2930" t="s">
        <v>117</v>
      </c>
      <c r="AA2930" t="str">
        <f>"14226-1206"</f>
        <v>14226-1206</v>
      </c>
      <c r="AB2930" t="s">
        <v>2359</v>
      </c>
      <c r="AC2930" t="s">
        <v>119</v>
      </c>
      <c r="AD2930" t="s">
        <v>113</v>
      </c>
      <c r="AE2930" t="s">
        <v>120</v>
      </c>
      <c r="AG2930" t="s">
        <v>121</v>
      </c>
    </row>
    <row r="2931" spans="1:33" x14ac:dyDescent="0.25">
      <c r="A2931" t="str">
        <f>"1316077878"</f>
        <v>1316077878</v>
      </c>
      <c r="B2931" t="str">
        <f>"02852904"</f>
        <v>02852904</v>
      </c>
      <c r="C2931" t="s">
        <v>16605</v>
      </c>
      <c r="D2931" t="s">
        <v>16606</v>
      </c>
      <c r="E2931" t="s">
        <v>16607</v>
      </c>
      <c r="G2931" t="s">
        <v>16608</v>
      </c>
      <c r="H2931" t="s">
        <v>3807</v>
      </c>
      <c r="J2931" t="s">
        <v>16609</v>
      </c>
      <c r="L2931" t="s">
        <v>142</v>
      </c>
      <c r="M2931" t="s">
        <v>113</v>
      </c>
      <c r="R2931" t="s">
        <v>16610</v>
      </c>
      <c r="W2931" t="s">
        <v>16607</v>
      </c>
      <c r="X2931" t="s">
        <v>1304</v>
      </c>
      <c r="Y2931" t="s">
        <v>116</v>
      </c>
      <c r="Z2931" t="s">
        <v>117</v>
      </c>
      <c r="AA2931" t="str">
        <f>"14220-2039"</f>
        <v>14220-2039</v>
      </c>
      <c r="AB2931" t="s">
        <v>118</v>
      </c>
      <c r="AC2931" t="s">
        <v>119</v>
      </c>
      <c r="AD2931" t="s">
        <v>113</v>
      </c>
      <c r="AE2931" t="s">
        <v>120</v>
      </c>
      <c r="AG2931" t="s">
        <v>121</v>
      </c>
    </row>
    <row r="2932" spans="1:33" x14ac:dyDescent="0.25">
      <c r="A2932" t="str">
        <f>"1316083207"</f>
        <v>1316083207</v>
      </c>
      <c r="B2932" t="str">
        <f>"02343584"</f>
        <v>02343584</v>
      </c>
      <c r="C2932" t="s">
        <v>16611</v>
      </c>
      <c r="D2932" t="s">
        <v>16612</v>
      </c>
      <c r="E2932" t="s">
        <v>16613</v>
      </c>
      <c r="G2932" t="s">
        <v>16614</v>
      </c>
      <c r="H2932" t="s">
        <v>4132</v>
      </c>
      <c r="J2932" t="s">
        <v>16615</v>
      </c>
      <c r="L2932" t="s">
        <v>112</v>
      </c>
      <c r="M2932" t="s">
        <v>113</v>
      </c>
      <c r="R2932" t="s">
        <v>16613</v>
      </c>
      <c r="W2932" t="s">
        <v>16613</v>
      </c>
      <c r="X2932" t="s">
        <v>216</v>
      </c>
      <c r="Y2932" t="s">
        <v>116</v>
      </c>
      <c r="Z2932" t="s">
        <v>117</v>
      </c>
      <c r="AA2932" t="str">
        <f>"14222-2006"</f>
        <v>14222-2006</v>
      </c>
      <c r="AB2932" t="s">
        <v>118</v>
      </c>
      <c r="AC2932" t="s">
        <v>119</v>
      </c>
      <c r="AD2932" t="s">
        <v>113</v>
      </c>
      <c r="AE2932" t="s">
        <v>120</v>
      </c>
      <c r="AG2932" t="s">
        <v>121</v>
      </c>
    </row>
    <row r="2933" spans="1:33" x14ac:dyDescent="0.25">
      <c r="A2933" t="str">
        <f>"1316093412"</f>
        <v>1316093412</v>
      </c>
      <c r="B2933" t="str">
        <f>"00841323"</f>
        <v>00841323</v>
      </c>
      <c r="C2933" t="s">
        <v>16616</v>
      </c>
      <c r="D2933" t="s">
        <v>16617</v>
      </c>
      <c r="E2933" t="s">
        <v>16618</v>
      </c>
      <c r="G2933" t="s">
        <v>16619</v>
      </c>
      <c r="H2933" t="s">
        <v>16620</v>
      </c>
      <c r="J2933" t="s">
        <v>16621</v>
      </c>
      <c r="L2933" t="s">
        <v>142</v>
      </c>
      <c r="M2933" t="s">
        <v>113</v>
      </c>
      <c r="R2933" t="s">
        <v>16622</v>
      </c>
      <c r="W2933" t="s">
        <v>16623</v>
      </c>
      <c r="X2933" t="s">
        <v>16624</v>
      </c>
      <c r="Y2933" t="s">
        <v>153</v>
      </c>
      <c r="Z2933" t="s">
        <v>117</v>
      </c>
      <c r="AA2933" t="str">
        <f>"14301-1028"</f>
        <v>14301-1028</v>
      </c>
      <c r="AB2933" t="s">
        <v>118</v>
      </c>
      <c r="AC2933" t="s">
        <v>119</v>
      </c>
      <c r="AD2933" t="s">
        <v>113</v>
      </c>
      <c r="AE2933" t="s">
        <v>120</v>
      </c>
      <c r="AG2933" t="s">
        <v>121</v>
      </c>
    </row>
    <row r="2934" spans="1:33" x14ac:dyDescent="0.25">
      <c r="A2934" t="str">
        <f>"1316094873"</f>
        <v>1316094873</v>
      </c>
      <c r="C2934" t="s">
        <v>16625</v>
      </c>
      <c r="G2934" t="s">
        <v>16625</v>
      </c>
      <c r="H2934" t="s">
        <v>937</v>
      </c>
      <c r="J2934" t="s">
        <v>16626</v>
      </c>
      <c r="K2934" t="s">
        <v>303</v>
      </c>
      <c r="L2934" t="s">
        <v>229</v>
      </c>
      <c r="M2934" t="s">
        <v>113</v>
      </c>
      <c r="R2934" t="s">
        <v>16627</v>
      </c>
      <c r="S2934" t="s">
        <v>3739</v>
      </c>
      <c r="T2934" t="s">
        <v>240</v>
      </c>
      <c r="U2934" t="s">
        <v>117</v>
      </c>
      <c r="V2934" t="str">
        <f>"142216728"</f>
        <v>142216728</v>
      </c>
      <c r="AC2934" t="s">
        <v>119</v>
      </c>
      <c r="AD2934" t="s">
        <v>113</v>
      </c>
      <c r="AE2934" t="s">
        <v>306</v>
      </c>
      <c r="AG2934" t="s">
        <v>121</v>
      </c>
    </row>
    <row r="2935" spans="1:33" x14ac:dyDescent="0.25">
      <c r="A2935" t="str">
        <f>"1316099096"</f>
        <v>1316099096</v>
      </c>
      <c r="B2935" t="str">
        <f>"02342529"</f>
        <v>02342529</v>
      </c>
      <c r="C2935" t="s">
        <v>16628</v>
      </c>
      <c r="D2935" t="s">
        <v>16629</v>
      </c>
      <c r="E2935" t="s">
        <v>16630</v>
      </c>
      <c r="G2935" t="s">
        <v>16631</v>
      </c>
      <c r="H2935" t="s">
        <v>9293</v>
      </c>
      <c r="J2935" t="s">
        <v>16632</v>
      </c>
      <c r="L2935" t="s">
        <v>1033</v>
      </c>
      <c r="M2935" t="s">
        <v>113</v>
      </c>
      <c r="R2935" t="s">
        <v>16633</v>
      </c>
      <c r="W2935" t="s">
        <v>16634</v>
      </c>
      <c r="X2935" t="s">
        <v>16630</v>
      </c>
      <c r="Y2935" t="s">
        <v>2946</v>
      </c>
      <c r="Z2935" t="s">
        <v>117</v>
      </c>
      <c r="AA2935" t="str">
        <f>"14075-4905"</f>
        <v>14075-4905</v>
      </c>
      <c r="AB2935" t="s">
        <v>2359</v>
      </c>
      <c r="AC2935" t="s">
        <v>119</v>
      </c>
      <c r="AD2935" t="s">
        <v>113</v>
      </c>
      <c r="AE2935" t="s">
        <v>120</v>
      </c>
      <c r="AG2935" t="s">
        <v>121</v>
      </c>
    </row>
    <row r="2936" spans="1:33" x14ac:dyDescent="0.25">
      <c r="A2936" t="str">
        <f>"1316099146"</f>
        <v>1316099146</v>
      </c>
      <c r="B2936" t="str">
        <f>"03002288"</f>
        <v>03002288</v>
      </c>
      <c r="C2936" t="s">
        <v>1710</v>
      </c>
      <c r="D2936" t="s">
        <v>1711</v>
      </c>
      <c r="E2936" t="s">
        <v>1712</v>
      </c>
      <c r="G2936" t="s">
        <v>16635</v>
      </c>
      <c r="H2936" t="s">
        <v>471</v>
      </c>
      <c r="L2936" t="s">
        <v>1714</v>
      </c>
      <c r="M2936" t="s">
        <v>199</v>
      </c>
      <c r="R2936" t="s">
        <v>1710</v>
      </c>
      <c r="W2936" t="s">
        <v>1712</v>
      </c>
      <c r="X2936" t="s">
        <v>1715</v>
      </c>
      <c r="Y2936" t="s">
        <v>116</v>
      </c>
      <c r="Z2936" t="s">
        <v>117</v>
      </c>
      <c r="AA2936" t="str">
        <f>"14214-1316"</f>
        <v>14214-1316</v>
      </c>
      <c r="AB2936" t="s">
        <v>1146</v>
      </c>
      <c r="AC2936" t="s">
        <v>119</v>
      </c>
      <c r="AD2936" t="s">
        <v>113</v>
      </c>
      <c r="AE2936" t="s">
        <v>120</v>
      </c>
      <c r="AG2936" t="s">
        <v>121</v>
      </c>
    </row>
    <row r="2937" spans="1:33" x14ac:dyDescent="0.25">
      <c r="A2937" t="str">
        <f>"1316101934"</f>
        <v>1316101934</v>
      </c>
      <c r="B2937" t="str">
        <f>"03146352"</f>
        <v>03146352</v>
      </c>
      <c r="C2937" t="s">
        <v>16636</v>
      </c>
      <c r="D2937" t="s">
        <v>16637</v>
      </c>
      <c r="E2937" t="s">
        <v>16638</v>
      </c>
      <c r="G2937" t="s">
        <v>16636</v>
      </c>
      <c r="H2937" t="s">
        <v>16639</v>
      </c>
      <c r="J2937" t="s">
        <v>16640</v>
      </c>
      <c r="L2937" t="s">
        <v>142</v>
      </c>
      <c r="M2937" t="s">
        <v>113</v>
      </c>
      <c r="R2937" t="s">
        <v>16641</v>
      </c>
      <c r="W2937" t="s">
        <v>16642</v>
      </c>
      <c r="X2937" t="s">
        <v>16643</v>
      </c>
      <c r="Y2937" t="s">
        <v>958</v>
      </c>
      <c r="Z2937" t="s">
        <v>117</v>
      </c>
      <c r="AA2937" t="str">
        <f>"14228-2795"</f>
        <v>14228-2795</v>
      </c>
      <c r="AB2937" t="s">
        <v>118</v>
      </c>
      <c r="AC2937" t="s">
        <v>119</v>
      </c>
      <c r="AD2937" t="s">
        <v>113</v>
      </c>
      <c r="AE2937" t="s">
        <v>120</v>
      </c>
      <c r="AG2937" t="s">
        <v>121</v>
      </c>
    </row>
    <row r="2938" spans="1:33" x14ac:dyDescent="0.25">
      <c r="A2938" t="str">
        <f>"1316105687"</f>
        <v>1316105687</v>
      </c>
      <c r="C2938" t="s">
        <v>16644</v>
      </c>
      <c r="G2938" t="s">
        <v>16645</v>
      </c>
      <c r="J2938" t="s">
        <v>16646</v>
      </c>
      <c r="K2938" t="s">
        <v>303</v>
      </c>
      <c r="L2938" t="s">
        <v>112</v>
      </c>
      <c r="M2938" t="s">
        <v>113</v>
      </c>
      <c r="R2938" t="s">
        <v>16647</v>
      </c>
      <c r="S2938" t="s">
        <v>474</v>
      </c>
      <c r="T2938" t="s">
        <v>116</v>
      </c>
      <c r="U2938" t="s">
        <v>117</v>
      </c>
      <c r="V2938" t="str">
        <f>"142141316"</f>
        <v>142141316</v>
      </c>
      <c r="AC2938" t="s">
        <v>119</v>
      </c>
      <c r="AD2938" t="s">
        <v>113</v>
      </c>
      <c r="AE2938" t="s">
        <v>306</v>
      </c>
      <c r="AG2938" t="s">
        <v>121</v>
      </c>
    </row>
    <row r="2939" spans="1:33" x14ac:dyDescent="0.25">
      <c r="A2939" t="str">
        <f>"1679595896"</f>
        <v>1679595896</v>
      </c>
      <c r="B2939" t="str">
        <f>"02775804"</f>
        <v>02775804</v>
      </c>
      <c r="C2939" t="s">
        <v>16648</v>
      </c>
      <c r="D2939" t="s">
        <v>16649</v>
      </c>
      <c r="E2939" t="s">
        <v>16650</v>
      </c>
      <c r="G2939" t="s">
        <v>16648</v>
      </c>
      <c r="H2939" t="s">
        <v>16651</v>
      </c>
      <c r="J2939" t="s">
        <v>16652</v>
      </c>
      <c r="L2939" t="s">
        <v>112</v>
      </c>
      <c r="M2939" t="s">
        <v>199</v>
      </c>
      <c r="R2939" t="s">
        <v>16653</v>
      </c>
      <c r="W2939" t="s">
        <v>16654</v>
      </c>
      <c r="X2939" t="s">
        <v>1167</v>
      </c>
      <c r="Y2939" t="s">
        <v>1168</v>
      </c>
      <c r="Z2939" t="s">
        <v>117</v>
      </c>
      <c r="AA2939" t="str">
        <f>"14004-9715"</f>
        <v>14004-9715</v>
      </c>
      <c r="AB2939" t="s">
        <v>118</v>
      </c>
      <c r="AC2939" t="s">
        <v>119</v>
      </c>
      <c r="AD2939" t="s">
        <v>113</v>
      </c>
      <c r="AE2939" t="s">
        <v>120</v>
      </c>
      <c r="AG2939" t="s">
        <v>121</v>
      </c>
    </row>
    <row r="2940" spans="1:33" x14ac:dyDescent="0.25">
      <c r="A2940" t="str">
        <f>"1518019348"</f>
        <v>1518019348</v>
      </c>
      <c r="B2940" t="str">
        <f>"03002297"</f>
        <v>03002297</v>
      </c>
      <c r="C2940" t="s">
        <v>1710</v>
      </c>
      <c r="D2940" t="s">
        <v>1711</v>
      </c>
      <c r="E2940" t="s">
        <v>1712</v>
      </c>
      <c r="G2940" t="s">
        <v>16655</v>
      </c>
      <c r="H2940" t="s">
        <v>471</v>
      </c>
      <c r="L2940" t="s">
        <v>1714</v>
      </c>
      <c r="M2940" t="s">
        <v>199</v>
      </c>
      <c r="R2940" t="s">
        <v>1710</v>
      </c>
      <c r="W2940" t="s">
        <v>1712</v>
      </c>
      <c r="X2940" t="s">
        <v>1715</v>
      </c>
      <c r="Y2940" t="s">
        <v>116</v>
      </c>
      <c r="Z2940" t="s">
        <v>117</v>
      </c>
      <c r="AA2940" t="str">
        <f>"14214-1316"</f>
        <v>14214-1316</v>
      </c>
      <c r="AB2940" t="s">
        <v>1146</v>
      </c>
      <c r="AC2940" t="s">
        <v>119</v>
      </c>
      <c r="AD2940" t="s">
        <v>113</v>
      </c>
      <c r="AE2940" t="s">
        <v>120</v>
      </c>
      <c r="AG2940" t="s">
        <v>121</v>
      </c>
    </row>
    <row r="2941" spans="1:33" x14ac:dyDescent="0.25">
      <c r="A2941" t="str">
        <f>"1629042239"</f>
        <v>1629042239</v>
      </c>
      <c r="B2941" t="str">
        <f>"01762041"</f>
        <v>01762041</v>
      </c>
      <c r="C2941" t="s">
        <v>16656</v>
      </c>
      <c r="D2941" t="s">
        <v>16657</v>
      </c>
      <c r="E2941" t="s">
        <v>16658</v>
      </c>
      <c r="G2941" t="s">
        <v>16656</v>
      </c>
      <c r="H2941" t="s">
        <v>3942</v>
      </c>
      <c r="J2941" t="s">
        <v>16659</v>
      </c>
      <c r="L2941" t="s">
        <v>142</v>
      </c>
      <c r="M2941" t="s">
        <v>113</v>
      </c>
      <c r="R2941" t="s">
        <v>16660</v>
      </c>
      <c r="W2941" t="s">
        <v>16658</v>
      </c>
      <c r="X2941" t="s">
        <v>16661</v>
      </c>
      <c r="Y2941" t="s">
        <v>116</v>
      </c>
      <c r="Z2941" t="s">
        <v>117</v>
      </c>
      <c r="AA2941" t="str">
        <f>"14203-1126"</f>
        <v>14203-1126</v>
      </c>
      <c r="AB2941" t="s">
        <v>118</v>
      </c>
      <c r="AC2941" t="s">
        <v>119</v>
      </c>
      <c r="AD2941" t="s">
        <v>113</v>
      </c>
      <c r="AE2941" t="s">
        <v>120</v>
      </c>
      <c r="AG2941" t="s">
        <v>121</v>
      </c>
    </row>
    <row r="2942" spans="1:33" x14ac:dyDescent="0.25">
      <c r="A2942" t="str">
        <f>"1629046081"</f>
        <v>1629046081</v>
      </c>
      <c r="B2942" t="str">
        <f>"01151239"</f>
        <v>01151239</v>
      </c>
      <c r="C2942" t="s">
        <v>16662</v>
      </c>
      <c r="D2942" t="s">
        <v>16663</v>
      </c>
      <c r="E2942" t="s">
        <v>16664</v>
      </c>
      <c r="G2942" t="s">
        <v>16662</v>
      </c>
      <c r="H2942" t="s">
        <v>579</v>
      </c>
      <c r="J2942" t="s">
        <v>16665</v>
      </c>
      <c r="L2942" t="s">
        <v>728</v>
      </c>
      <c r="M2942" t="s">
        <v>113</v>
      </c>
      <c r="R2942" t="s">
        <v>16666</v>
      </c>
      <c r="W2942" t="s">
        <v>16664</v>
      </c>
      <c r="X2942" t="s">
        <v>253</v>
      </c>
      <c r="Y2942" t="s">
        <v>116</v>
      </c>
      <c r="Z2942" t="s">
        <v>117</v>
      </c>
      <c r="AA2942" t="str">
        <f>"14215-3021"</f>
        <v>14215-3021</v>
      </c>
      <c r="AB2942" t="s">
        <v>118</v>
      </c>
      <c r="AC2942" t="s">
        <v>119</v>
      </c>
      <c r="AD2942" t="s">
        <v>113</v>
      </c>
      <c r="AE2942" t="s">
        <v>120</v>
      </c>
      <c r="AG2942" t="s">
        <v>121</v>
      </c>
    </row>
    <row r="2943" spans="1:33" x14ac:dyDescent="0.25">
      <c r="A2943" t="str">
        <f>"1629056627"</f>
        <v>1629056627</v>
      </c>
      <c r="B2943" t="str">
        <f>"02583984"</f>
        <v>02583984</v>
      </c>
      <c r="C2943" t="s">
        <v>16667</v>
      </c>
      <c r="D2943" t="s">
        <v>16668</v>
      </c>
      <c r="E2943" t="s">
        <v>16669</v>
      </c>
      <c r="G2943" t="s">
        <v>330</v>
      </c>
      <c r="H2943" t="s">
        <v>205</v>
      </c>
      <c r="J2943" t="s">
        <v>332</v>
      </c>
      <c r="L2943" t="s">
        <v>150</v>
      </c>
      <c r="M2943" t="s">
        <v>113</v>
      </c>
      <c r="R2943" t="s">
        <v>16670</v>
      </c>
      <c r="W2943" t="s">
        <v>16669</v>
      </c>
      <c r="X2943" t="s">
        <v>778</v>
      </c>
      <c r="Y2943" t="s">
        <v>240</v>
      </c>
      <c r="Z2943" t="s">
        <v>117</v>
      </c>
      <c r="AA2943" t="str">
        <f>"14221-8243"</f>
        <v>14221-8243</v>
      </c>
      <c r="AB2943" t="s">
        <v>118</v>
      </c>
      <c r="AC2943" t="s">
        <v>119</v>
      </c>
      <c r="AD2943" t="s">
        <v>113</v>
      </c>
      <c r="AE2943" t="s">
        <v>120</v>
      </c>
      <c r="AG2943" t="s">
        <v>121</v>
      </c>
    </row>
    <row r="2944" spans="1:33" x14ac:dyDescent="0.25">
      <c r="A2944" t="str">
        <f>"1629062013"</f>
        <v>1629062013</v>
      </c>
      <c r="B2944" t="str">
        <f>"00613507"</f>
        <v>00613507</v>
      </c>
      <c r="C2944" t="s">
        <v>16671</v>
      </c>
      <c r="D2944" t="s">
        <v>16672</v>
      </c>
      <c r="E2944" t="s">
        <v>16673</v>
      </c>
      <c r="G2944" t="s">
        <v>16671</v>
      </c>
      <c r="H2944" t="s">
        <v>8875</v>
      </c>
      <c r="J2944" t="s">
        <v>16674</v>
      </c>
      <c r="L2944" t="s">
        <v>142</v>
      </c>
      <c r="M2944" t="s">
        <v>113</v>
      </c>
      <c r="R2944" t="s">
        <v>16675</v>
      </c>
      <c r="W2944" t="s">
        <v>16673</v>
      </c>
      <c r="X2944" t="s">
        <v>16676</v>
      </c>
      <c r="Y2944" t="s">
        <v>116</v>
      </c>
      <c r="Z2944" t="s">
        <v>117</v>
      </c>
      <c r="AA2944" t="str">
        <f>"14214-2634"</f>
        <v>14214-2634</v>
      </c>
      <c r="AB2944" t="s">
        <v>118</v>
      </c>
      <c r="AC2944" t="s">
        <v>119</v>
      </c>
      <c r="AD2944" t="s">
        <v>113</v>
      </c>
      <c r="AE2944" t="s">
        <v>120</v>
      </c>
      <c r="AG2944" t="s">
        <v>121</v>
      </c>
    </row>
    <row r="2945" spans="1:33" x14ac:dyDescent="0.25">
      <c r="A2945" t="str">
        <f>"1629063235"</f>
        <v>1629063235</v>
      </c>
      <c r="B2945" t="str">
        <f>"01977417"</f>
        <v>01977417</v>
      </c>
      <c r="C2945" t="s">
        <v>16677</v>
      </c>
      <c r="D2945" t="s">
        <v>16678</v>
      </c>
      <c r="E2945" t="s">
        <v>16679</v>
      </c>
      <c r="G2945" t="s">
        <v>16677</v>
      </c>
      <c r="H2945" t="s">
        <v>14760</v>
      </c>
      <c r="J2945" t="s">
        <v>16680</v>
      </c>
      <c r="L2945" t="s">
        <v>112</v>
      </c>
      <c r="M2945" t="s">
        <v>113</v>
      </c>
      <c r="R2945" t="s">
        <v>16681</v>
      </c>
      <c r="W2945" t="s">
        <v>16679</v>
      </c>
      <c r="X2945" t="s">
        <v>16682</v>
      </c>
      <c r="Y2945" t="s">
        <v>3012</v>
      </c>
      <c r="Z2945" t="s">
        <v>117</v>
      </c>
      <c r="AA2945" t="str">
        <f>"14052-2540"</f>
        <v>14052-2540</v>
      </c>
      <c r="AB2945" t="s">
        <v>118</v>
      </c>
      <c r="AC2945" t="s">
        <v>119</v>
      </c>
      <c r="AD2945" t="s">
        <v>113</v>
      </c>
      <c r="AE2945" t="s">
        <v>120</v>
      </c>
      <c r="AG2945" t="s">
        <v>121</v>
      </c>
    </row>
    <row r="2946" spans="1:33" x14ac:dyDescent="0.25">
      <c r="A2946" t="str">
        <f>"1629068408"</f>
        <v>1629068408</v>
      </c>
      <c r="B2946" t="str">
        <f>"00862042"</f>
        <v>00862042</v>
      </c>
      <c r="C2946" t="s">
        <v>16683</v>
      </c>
      <c r="D2946" t="s">
        <v>16684</v>
      </c>
      <c r="E2946" t="s">
        <v>16685</v>
      </c>
      <c r="G2946" t="s">
        <v>16683</v>
      </c>
      <c r="H2946" t="s">
        <v>3774</v>
      </c>
      <c r="J2946" t="s">
        <v>16686</v>
      </c>
      <c r="L2946" t="s">
        <v>150</v>
      </c>
      <c r="M2946" t="s">
        <v>113</v>
      </c>
      <c r="R2946" t="s">
        <v>16687</v>
      </c>
      <c r="W2946" t="s">
        <v>16688</v>
      </c>
      <c r="X2946" t="s">
        <v>176</v>
      </c>
      <c r="Y2946" t="s">
        <v>116</v>
      </c>
      <c r="Z2946" t="s">
        <v>117</v>
      </c>
      <c r="AA2946" t="str">
        <f>"14203-1126"</f>
        <v>14203-1126</v>
      </c>
      <c r="AB2946" t="s">
        <v>118</v>
      </c>
      <c r="AC2946" t="s">
        <v>119</v>
      </c>
      <c r="AD2946" t="s">
        <v>113</v>
      </c>
      <c r="AE2946" t="s">
        <v>120</v>
      </c>
      <c r="AG2946" t="s">
        <v>121</v>
      </c>
    </row>
    <row r="2947" spans="1:33" x14ac:dyDescent="0.25">
      <c r="A2947" t="str">
        <f>"1629069349"</f>
        <v>1629069349</v>
      </c>
      <c r="B2947" t="str">
        <f>"01028468"</f>
        <v>01028468</v>
      </c>
      <c r="C2947" t="s">
        <v>16689</v>
      </c>
      <c r="D2947" t="s">
        <v>16690</v>
      </c>
      <c r="E2947" t="s">
        <v>16691</v>
      </c>
      <c r="G2947" t="s">
        <v>16692</v>
      </c>
      <c r="H2947" t="s">
        <v>4837</v>
      </c>
      <c r="L2947" t="s">
        <v>150</v>
      </c>
      <c r="M2947" t="s">
        <v>113</v>
      </c>
      <c r="R2947" t="s">
        <v>16692</v>
      </c>
      <c r="W2947" t="s">
        <v>16691</v>
      </c>
      <c r="X2947" t="s">
        <v>13813</v>
      </c>
      <c r="Y2947" t="s">
        <v>4071</v>
      </c>
      <c r="Z2947" t="s">
        <v>117</v>
      </c>
      <c r="AA2947" t="str">
        <f>"14070-1111"</f>
        <v>14070-1111</v>
      </c>
      <c r="AB2947" t="s">
        <v>118</v>
      </c>
      <c r="AC2947" t="s">
        <v>119</v>
      </c>
      <c r="AD2947" t="s">
        <v>113</v>
      </c>
      <c r="AE2947" t="s">
        <v>120</v>
      </c>
      <c r="AG2947" t="s">
        <v>121</v>
      </c>
    </row>
    <row r="2948" spans="1:33" x14ac:dyDescent="0.25">
      <c r="A2948" t="str">
        <f>"1629074901"</f>
        <v>1629074901</v>
      </c>
      <c r="B2948" t="str">
        <f>"02214217"</f>
        <v>02214217</v>
      </c>
      <c r="C2948" t="s">
        <v>16693</v>
      </c>
      <c r="D2948" t="s">
        <v>16694</v>
      </c>
      <c r="E2948" t="s">
        <v>16695</v>
      </c>
      <c r="G2948" t="s">
        <v>16693</v>
      </c>
      <c r="H2948" t="s">
        <v>16696</v>
      </c>
      <c r="J2948" t="s">
        <v>16697</v>
      </c>
      <c r="L2948" t="s">
        <v>112</v>
      </c>
      <c r="M2948" t="s">
        <v>113</v>
      </c>
      <c r="R2948" t="s">
        <v>16698</v>
      </c>
      <c r="W2948" t="s">
        <v>16695</v>
      </c>
      <c r="X2948" t="s">
        <v>16699</v>
      </c>
      <c r="Y2948" t="s">
        <v>2872</v>
      </c>
      <c r="Z2948" t="s">
        <v>117</v>
      </c>
      <c r="AA2948" t="str">
        <f>"14905-1629"</f>
        <v>14905-1629</v>
      </c>
      <c r="AB2948" t="s">
        <v>118</v>
      </c>
      <c r="AC2948" t="s">
        <v>119</v>
      </c>
      <c r="AD2948" t="s">
        <v>113</v>
      </c>
      <c r="AE2948" t="s">
        <v>120</v>
      </c>
      <c r="AG2948" t="s">
        <v>121</v>
      </c>
    </row>
    <row r="2949" spans="1:33" x14ac:dyDescent="0.25">
      <c r="A2949" t="str">
        <f>"1629077391"</f>
        <v>1629077391</v>
      </c>
      <c r="B2949" t="str">
        <f>"01075516"</f>
        <v>01075516</v>
      </c>
      <c r="C2949" t="s">
        <v>16700</v>
      </c>
      <c r="D2949" t="s">
        <v>16701</v>
      </c>
      <c r="E2949" t="s">
        <v>16702</v>
      </c>
      <c r="G2949" t="s">
        <v>16700</v>
      </c>
      <c r="H2949" t="s">
        <v>158</v>
      </c>
      <c r="J2949" t="s">
        <v>16703</v>
      </c>
      <c r="L2949" t="s">
        <v>150</v>
      </c>
      <c r="M2949" t="s">
        <v>113</v>
      </c>
      <c r="R2949" t="s">
        <v>16704</v>
      </c>
      <c r="W2949" t="s">
        <v>16702</v>
      </c>
      <c r="X2949" t="s">
        <v>8299</v>
      </c>
      <c r="Y2949" t="s">
        <v>889</v>
      </c>
      <c r="Z2949" t="s">
        <v>117</v>
      </c>
      <c r="AA2949" t="str">
        <f>"14120-4631"</f>
        <v>14120-4631</v>
      </c>
      <c r="AB2949" t="s">
        <v>118</v>
      </c>
      <c r="AC2949" t="s">
        <v>119</v>
      </c>
      <c r="AD2949" t="s">
        <v>113</v>
      </c>
      <c r="AE2949" t="s">
        <v>120</v>
      </c>
      <c r="AG2949" t="s">
        <v>121</v>
      </c>
    </row>
    <row r="2950" spans="1:33" x14ac:dyDescent="0.25">
      <c r="A2950" t="str">
        <f>"1629088463"</f>
        <v>1629088463</v>
      </c>
      <c r="B2950" t="str">
        <f>"01336965"</f>
        <v>01336965</v>
      </c>
      <c r="C2950" t="s">
        <v>16705</v>
      </c>
      <c r="D2950" t="s">
        <v>16706</v>
      </c>
      <c r="E2950" t="s">
        <v>16707</v>
      </c>
      <c r="G2950" t="s">
        <v>16708</v>
      </c>
      <c r="H2950" t="s">
        <v>12478</v>
      </c>
      <c r="L2950" t="s">
        <v>112</v>
      </c>
      <c r="M2950" t="s">
        <v>113</v>
      </c>
      <c r="R2950" t="s">
        <v>16707</v>
      </c>
      <c r="W2950" t="s">
        <v>16707</v>
      </c>
      <c r="X2950" t="s">
        <v>855</v>
      </c>
      <c r="Y2950" t="s">
        <v>116</v>
      </c>
      <c r="Z2950" t="s">
        <v>117</v>
      </c>
      <c r="AA2950" t="str">
        <f>"14213-1573"</f>
        <v>14213-1573</v>
      </c>
      <c r="AB2950" t="s">
        <v>118</v>
      </c>
      <c r="AC2950" t="s">
        <v>119</v>
      </c>
      <c r="AD2950" t="s">
        <v>113</v>
      </c>
      <c r="AE2950" t="s">
        <v>120</v>
      </c>
      <c r="AG2950" t="s">
        <v>121</v>
      </c>
    </row>
    <row r="2951" spans="1:33" x14ac:dyDescent="0.25">
      <c r="A2951" t="str">
        <f>"1629093885"</f>
        <v>1629093885</v>
      </c>
      <c r="B2951" t="str">
        <f>"00605963"</f>
        <v>00605963</v>
      </c>
      <c r="C2951" t="s">
        <v>16709</v>
      </c>
      <c r="D2951" t="s">
        <v>16710</v>
      </c>
      <c r="E2951" t="s">
        <v>16711</v>
      </c>
      <c r="G2951" t="s">
        <v>6204</v>
      </c>
      <c r="H2951" t="s">
        <v>16712</v>
      </c>
      <c r="J2951" t="s">
        <v>6205</v>
      </c>
      <c r="L2951" t="s">
        <v>728</v>
      </c>
      <c r="M2951" t="s">
        <v>113</v>
      </c>
      <c r="R2951" t="s">
        <v>16713</v>
      </c>
      <c r="W2951" t="s">
        <v>16711</v>
      </c>
      <c r="X2951" t="s">
        <v>253</v>
      </c>
      <c r="Y2951" t="s">
        <v>116</v>
      </c>
      <c r="Z2951" t="s">
        <v>117</v>
      </c>
      <c r="AA2951" t="str">
        <f>"14215-3021"</f>
        <v>14215-3021</v>
      </c>
      <c r="AB2951" t="s">
        <v>118</v>
      </c>
      <c r="AC2951" t="s">
        <v>119</v>
      </c>
      <c r="AD2951" t="s">
        <v>113</v>
      </c>
      <c r="AE2951" t="s">
        <v>120</v>
      </c>
      <c r="AG2951" t="s">
        <v>121</v>
      </c>
    </row>
    <row r="2952" spans="1:33" x14ac:dyDescent="0.25">
      <c r="A2952" t="str">
        <f>"1629096003"</f>
        <v>1629096003</v>
      </c>
      <c r="B2952" t="str">
        <f>"00930561"</f>
        <v>00930561</v>
      </c>
      <c r="C2952" t="s">
        <v>16714</v>
      </c>
      <c r="D2952" t="s">
        <v>16715</v>
      </c>
      <c r="E2952" t="s">
        <v>16716</v>
      </c>
      <c r="H2952" t="s">
        <v>16717</v>
      </c>
      <c r="L2952" t="s">
        <v>150</v>
      </c>
      <c r="M2952" t="s">
        <v>113</v>
      </c>
      <c r="R2952" t="s">
        <v>16718</v>
      </c>
      <c r="W2952" t="s">
        <v>16719</v>
      </c>
      <c r="X2952" t="s">
        <v>16720</v>
      </c>
      <c r="Y2952" t="s">
        <v>663</v>
      </c>
      <c r="Z2952" t="s">
        <v>117</v>
      </c>
      <c r="AA2952" t="str">
        <f>"14094-2924"</f>
        <v>14094-2924</v>
      </c>
      <c r="AB2952" t="s">
        <v>118</v>
      </c>
      <c r="AC2952" t="s">
        <v>119</v>
      </c>
      <c r="AD2952" t="s">
        <v>113</v>
      </c>
      <c r="AE2952" t="s">
        <v>120</v>
      </c>
      <c r="AG2952" t="s">
        <v>121</v>
      </c>
    </row>
    <row r="2953" spans="1:33" x14ac:dyDescent="0.25">
      <c r="A2953" t="str">
        <f>"1629134721"</f>
        <v>1629134721</v>
      </c>
      <c r="B2953" t="str">
        <f>"01524625"</f>
        <v>01524625</v>
      </c>
      <c r="C2953" t="s">
        <v>16721</v>
      </c>
      <c r="D2953" t="s">
        <v>16722</v>
      </c>
      <c r="E2953" t="s">
        <v>16723</v>
      </c>
      <c r="G2953" t="s">
        <v>16721</v>
      </c>
      <c r="H2953" t="s">
        <v>16724</v>
      </c>
      <c r="J2953" t="s">
        <v>16725</v>
      </c>
      <c r="L2953" t="s">
        <v>142</v>
      </c>
      <c r="M2953" t="s">
        <v>113</v>
      </c>
      <c r="R2953" t="s">
        <v>16726</v>
      </c>
      <c r="W2953" t="s">
        <v>16723</v>
      </c>
      <c r="X2953" t="s">
        <v>216</v>
      </c>
      <c r="Y2953" t="s">
        <v>116</v>
      </c>
      <c r="Z2953" t="s">
        <v>117</v>
      </c>
      <c r="AA2953" t="str">
        <f>"14222-2006"</f>
        <v>14222-2006</v>
      </c>
      <c r="AB2953" t="s">
        <v>118</v>
      </c>
      <c r="AC2953" t="s">
        <v>119</v>
      </c>
      <c r="AD2953" t="s">
        <v>113</v>
      </c>
      <c r="AE2953" t="s">
        <v>120</v>
      </c>
      <c r="AG2953" t="s">
        <v>121</v>
      </c>
    </row>
    <row r="2954" spans="1:33" x14ac:dyDescent="0.25">
      <c r="A2954" t="str">
        <f>"1629186515"</f>
        <v>1629186515</v>
      </c>
      <c r="B2954" t="str">
        <f>"02836506"</f>
        <v>02836506</v>
      </c>
      <c r="C2954" t="s">
        <v>16727</v>
      </c>
      <c r="D2954" t="s">
        <v>16728</v>
      </c>
      <c r="E2954" t="s">
        <v>16729</v>
      </c>
      <c r="G2954" t="s">
        <v>16727</v>
      </c>
      <c r="H2954" t="s">
        <v>16730</v>
      </c>
      <c r="J2954" t="s">
        <v>16731</v>
      </c>
      <c r="L2954" t="s">
        <v>142</v>
      </c>
      <c r="M2954" t="s">
        <v>113</v>
      </c>
      <c r="R2954" t="s">
        <v>16732</v>
      </c>
      <c r="W2954" t="s">
        <v>16733</v>
      </c>
      <c r="X2954" t="s">
        <v>253</v>
      </c>
      <c r="Y2954" t="s">
        <v>116</v>
      </c>
      <c r="Z2954" t="s">
        <v>117</v>
      </c>
      <c r="AA2954" t="str">
        <f>"14215-3021"</f>
        <v>14215-3021</v>
      </c>
      <c r="AB2954" t="s">
        <v>118</v>
      </c>
      <c r="AC2954" t="s">
        <v>119</v>
      </c>
      <c r="AD2954" t="s">
        <v>113</v>
      </c>
      <c r="AE2954" t="s">
        <v>120</v>
      </c>
      <c r="AG2954" t="s">
        <v>121</v>
      </c>
    </row>
    <row r="2955" spans="1:33" x14ac:dyDescent="0.25">
      <c r="A2955" t="str">
        <f>"1629198700"</f>
        <v>1629198700</v>
      </c>
      <c r="B2955" t="str">
        <f>"02686359"</f>
        <v>02686359</v>
      </c>
      <c r="C2955" t="s">
        <v>16734</v>
      </c>
      <c r="D2955" t="s">
        <v>16735</v>
      </c>
      <c r="E2955" t="s">
        <v>16736</v>
      </c>
      <c r="G2955" t="s">
        <v>16734</v>
      </c>
      <c r="H2955" t="s">
        <v>579</v>
      </c>
      <c r="J2955" t="s">
        <v>16737</v>
      </c>
      <c r="L2955" t="s">
        <v>112</v>
      </c>
      <c r="M2955" t="s">
        <v>113</v>
      </c>
      <c r="R2955" t="s">
        <v>16738</v>
      </c>
      <c r="W2955" t="s">
        <v>16736</v>
      </c>
      <c r="X2955" t="s">
        <v>3566</v>
      </c>
      <c r="Y2955" t="s">
        <v>377</v>
      </c>
      <c r="Z2955" t="s">
        <v>117</v>
      </c>
      <c r="AA2955" t="str">
        <f>"14217-1304"</f>
        <v>14217-1304</v>
      </c>
      <c r="AB2955" t="s">
        <v>118</v>
      </c>
      <c r="AC2955" t="s">
        <v>119</v>
      </c>
      <c r="AD2955" t="s">
        <v>113</v>
      </c>
      <c r="AE2955" t="s">
        <v>120</v>
      </c>
      <c r="AG2955" t="s">
        <v>121</v>
      </c>
    </row>
    <row r="2956" spans="1:33" x14ac:dyDescent="0.25">
      <c r="A2956" t="str">
        <f>"1629205547"</f>
        <v>1629205547</v>
      </c>
      <c r="B2956" t="str">
        <f>"03210708"</f>
        <v>03210708</v>
      </c>
      <c r="C2956" t="s">
        <v>16739</v>
      </c>
      <c r="D2956" t="s">
        <v>16740</v>
      </c>
      <c r="E2956" t="s">
        <v>16741</v>
      </c>
      <c r="G2956" t="s">
        <v>16742</v>
      </c>
      <c r="H2956" t="s">
        <v>16743</v>
      </c>
      <c r="J2956" t="s">
        <v>16744</v>
      </c>
      <c r="L2956" t="s">
        <v>142</v>
      </c>
      <c r="M2956" t="s">
        <v>113</v>
      </c>
      <c r="R2956" t="s">
        <v>16745</v>
      </c>
      <c r="W2956" t="s">
        <v>16746</v>
      </c>
      <c r="X2956" t="s">
        <v>16747</v>
      </c>
      <c r="Y2956" t="s">
        <v>153</v>
      </c>
      <c r="Z2956" t="s">
        <v>117</v>
      </c>
      <c r="AA2956" t="str">
        <f>"14301-1800"</f>
        <v>14301-1800</v>
      </c>
      <c r="AB2956" t="s">
        <v>118</v>
      </c>
      <c r="AC2956" t="s">
        <v>119</v>
      </c>
      <c r="AD2956" t="s">
        <v>113</v>
      </c>
      <c r="AE2956" t="s">
        <v>120</v>
      </c>
      <c r="AG2956" t="s">
        <v>121</v>
      </c>
    </row>
    <row r="2957" spans="1:33" x14ac:dyDescent="0.25">
      <c r="A2957" t="str">
        <f>"1629210380"</f>
        <v>1629210380</v>
      </c>
      <c r="B2957" t="str">
        <f>"03459276"</f>
        <v>03459276</v>
      </c>
      <c r="C2957" t="s">
        <v>16748</v>
      </c>
      <c r="D2957" t="s">
        <v>16749</v>
      </c>
      <c r="E2957" t="s">
        <v>16750</v>
      </c>
      <c r="G2957" t="s">
        <v>859</v>
      </c>
      <c r="H2957" t="s">
        <v>16751</v>
      </c>
      <c r="J2957" t="s">
        <v>861</v>
      </c>
      <c r="L2957" t="s">
        <v>142</v>
      </c>
      <c r="M2957" t="s">
        <v>113</v>
      </c>
      <c r="R2957" t="s">
        <v>16752</v>
      </c>
      <c r="W2957" t="s">
        <v>16750</v>
      </c>
      <c r="X2957" t="s">
        <v>176</v>
      </c>
      <c r="Y2957" t="s">
        <v>116</v>
      </c>
      <c r="Z2957" t="s">
        <v>117</v>
      </c>
      <c r="AA2957" t="str">
        <f>"14203-1126"</f>
        <v>14203-1126</v>
      </c>
      <c r="AB2957" t="s">
        <v>118</v>
      </c>
      <c r="AC2957" t="s">
        <v>119</v>
      </c>
      <c r="AD2957" t="s">
        <v>113</v>
      </c>
      <c r="AE2957" t="s">
        <v>120</v>
      </c>
      <c r="AG2957" t="s">
        <v>121</v>
      </c>
    </row>
    <row r="2958" spans="1:33" x14ac:dyDescent="0.25">
      <c r="A2958" t="str">
        <f>"1629236443"</f>
        <v>1629236443</v>
      </c>
      <c r="C2958" t="s">
        <v>16753</v>
      </c>
      <c r="G2958" t="s">
        <v>16754</v>
      </c>
      <c r="H2958" t="s">
        <v>16755</v>
      </c>
      <c r="J2958" t="s">
        <v>16756</v>
      </c>
      <c r="K2958" t="s">
        <v>303</v>
      </c>
      <c r="L2958" t="s">
        <v>112</v>
      </c>
      <c r="M2958" t="s">
        <v>113</v>
      </c>
      <c r="R2958" t="s">
        <v>16757</v>
      </c>
      <c r="S2958" t="s">
        <v>10404</v>
      </c>
      <c r="T2958" t="s">
        <v>153</v>
      </c>
      <c r="U2958" t="s">
        <v>117</v>
      </c>
      <c r="V2958" t="str">
        <f>"143011910"</f>
        <v>143011910</v>
      </c>
      <c r="AC2958" t="s">
        <v>119</v>
      </c>
      <c r="AD2958" t="s">
        <v>113</v>
      </c>
      <c r="AE2958" t="s">
        <v>306</v>
      </c>
      <c r="AG2958" t="s">
        <v>121</v>
      </c>
    </row>
    <row r="2959" spans="1:33" x14ac:dyDescent="0.25">
      <c r="A2959" t="str">
        <f>"1629268909"</f>
        <v>1629268909</v>
      </c>
      <c r="B2959" t="str">
        <f>"02911659"</f>
        <v>02911659</v>
      </c>
      <c r="C2959" t="s">
        <v>16758</v>
      </c>
      <c r="D2959" t="s">
        <v>16759</v>
      </c>
      <c r="E2959" t="s">
        <v>16760</v>
      </c>
      <c r="G2959" t="s">
        <v>16761</v>
      </c>
      <c r="H2959" t="s">
        <v>6082</v>
      </c>
      <c r="J2959" t="s">
        <v>16762</v>
      </c>
      <c r="L2959" t="s">
        <v>142</v>
      </c>
      <c r="M2959" t="s">
        <v>113</v>
      </c>
      <c r="R2959" t="s">
        <v>16763</v>
      </c>
      <c r="W2959" t="s">
        <v>16764</v>
      </c>
      <c r="X2959" t="s">
        <v>13722</v>
      </c>
      <c r="Y2959" t="s">
        <v>2946</v>
      </c>
      <c r="Z2959" t="s">
        <v>117</v>
      </c>
      <c r="AA2959" t="str">
        <f>"14075-3762"</f>
        <v>14075-3762</v>
      </c>
      <c r="AB2959" t="s">
        <v>118</v>
      </c>
      <c r="AC2959" t="s">
        <v>119</v>
      </c>
      <c r="AD2959" t="s">
        <v>113</v>
      </c>
      <c r="AE2959" t="s">
        <v>120</v>
      </c>
      <c r="AG2959" t="s">
        <v>121</v>
      </c>
    </row>
    <row r="2960" spans="1:33" x14ac:dyDescent="0.25">
      <c r="A2960" t="str">
        <f>"1629283163"</f>
        <v>1629283163</v>
      </c>
      <c r="B2960" t="str">
        <f>"04338170"</f>
        <v>04338170</v>
      </c>
      <c r="C2960" t="s">
        <v>16765</v>
      </c>
      <c r="D2960" t="s">
        <v>16766</v>
      </c>
      <c r="E2960" t="s">
        <v>16767</v>
      </c>
      <c r="G2960" t="s">
        <v>16768</v>
      </c>
      <c r="H2960" t="s">
        <v>4794</v>
      </c>
      <c r="J2960" t="s">
        <v>16769</v>
      </c>
      <c r="L2960" t="s">
        <v>229</v>
      </c>
      <c r="M2960" t="s">
        <v>113</v>
      </c>
      <c r="R2960" t="s">
        <v>16770</v>
      </c>
      <c r="W2960" t="s">
        <v>16767</v>
      </c>
      <c r="X2960" t="s">
        <v>176</v>
      </c>
      <c r="Y2960" t="s">
        <v>116</v>
      </c>
      <c r="Z2960" t="s">
        <v>117</v>
      </c>
      <c r="AA2960" t="str">
        <f>"14203-1126"</f>
        <v>14203-1126</v>
      </c>
      <c r="AB2960" t="s">
        <v>118</v>
      </c>
      <c r="AC2960" t="s">
        <v>119</v>
      </c>
      <c r="AD2960" t="s">
        <v>113</v>
      </c>
      <c r="AE2960" t="s">
        <v>120</v>
      </c>
      <c r="AG2960" t="s">
        <v>121</v>
      </c>
    </row>
    <row r="2961" spans="1:33" x14ac:dyDescent="0.25">
      <c r="A2961" t="str">
        <f>"1659371862"</f>
        <v>1659371862</v>
      </c>
      <c r="B2961" t="str">
        <f>"02683796"</f>
        <v>02683796</v>
      </c>
      <c r="C2961" t="s">
        <v>16771</v>
      </c>
      <c r="D2961" t="s">
        <v>16772</v>
      </c>
      <c r="E2961" t="s">
        <v>16773</v>
      </c>
      <c r="G2961" t="s">
        <v>16771</v>
      </c>
      <c r="H2961" t="s">
        <v>12170</v>
      </c>
      <c r="J2961" t="s">
        <v>16774</v>
      </c>
      <c r="L2961" t="s">
        <v>142</v>
      </c>
      <c r="M2961" t="s">
        <v>113</v>
      </c>
      <c r="R2961" t="s">
        <v>16773</v>
      </c>
      <c r="W2961" t="s">
        <v>16773</v>
      </c>
      <c r="X2961" t="s">
        <v>136</v>
      </c>
      <c r="Y2961" t="s">
        <v>116</v>
      </c>
      <c r="Z2961" t="s">
        <v>117</v>
      </c>
      <c r="AA2961" t="str">
        <f>"14209-1120"</f>
        <v>14209-1120</v>
      </c>
      <c r="AB2961" t="s">
        <v>118</v>
      </c>
      <c r="AC2961" t="s">
        <v>119</v>
      </c>
      <c r="AD2961" t="s">
        <v>113</v>
      </c>
      <c r="AE2961" t="s">
        <v>120</v>
      </c>
      <c r="AG2961" t="s">
        <v>121</v>
      </c>
    </row>
    <row r="2962" spans="1:33" x14ac:dyDescent="0.25">
      <c r="A2962" t="str">
        <f>"1659374023"</f>
        <v>1659374023</v>
      </c>
      <c r="B2962" t="str">
        <f>"02157995"</f>
        <v>02157995</v>
      </c>
      <c r="C2962" t="s">
        <v>16775</v>
      </c>
      <c r="D2962" t="s">
        <v>16776</v>
      </c>
      <c r="E2962" t="s">
        <v>16777</v>
      </c>
      <c r="G2962" t="s">
        <v>16775</v>
      </c>
      <c r="H2962" t="s">
        <v>16778</v>
      </c>
      <c r="J2962" t="s">
        <v>16779</v>
      </c>
      <c r="L2962" t="s">
        <v>150</v>
      </c>
      <c r="M2962" t="s">
        <v>113</v>
      </c>
      <c r="R2962" t="s">
        <v>16780</v>
      </c>
      <c r="W2962" t="s">
        <v>16777</v>
      </c>
      <c r="X2962" t="s">
        <v>16781</v>
      </c>
      <c r="Y2962" t="s">
        <v>9792</v>
      </c>
      <c r="Z2962" t="s">
        <v>117</v>
      </c>
      <c r="AA2962" t="str">
        <f>"14219-2995"</f>
        <v>14219-2995</v>
      </c>
      <c r="AB2962" t="s">
        <v>118</v>
      </c>
      <c r="AC2962" t="s">
        <v>119</v>
      </c>
      <c r="AD2962" t="s">
        <v>113</v>
      </c>
      <c r="AE2962" t="s">
        <v>120</v>
      </c>
      <c r="AG2962" t="s">
        <v>121</v>
      </c>
    </row>
    <row r="2963" spans="1:33" x14ac:dyDescent="0.25">
      <c r="A2963" t="str">
        <f>"1659377968"</f>
        <v>1659377968</v>
      </c>
      <c r="B2963" t="str">
        <f>"00906107"</f>
        <v>00906107</v>
      </c>
      <c r="C2963" t="s">
        <v>16782</v>
      </c>
      <c r="D2963" t="s">
        <v>16783</v>
      </c>
      <c r="E2963" t="s">
        <v>16784</v>
      </c>
      <c r="G2963" t="s">
        <v>16782</v>
      </c>
      <c r="H2963" t="s">
        <v>16785</v>
      </c>
      <c r="J2963" t="s">
        <v>16786</v>
      </c>
      <c r="L2963" t="s">
        <v>229</v>
      </c>
      <c r="M2963" t="s">
        <v>113</v>
      </c>
      <c r="R2963" t="s">
        <v>16787</v>
      </c>
      <c r="W2963" t="s">
        <v>16784</v>
      </c>
      <c r="X2963" t="s">
        <v>784</v>
      </c>
      <c r="Y2963" t="s">
        <v>116</v>
      </c>
      <c r="Z2963" t="s">
        <v>117</v>
      </c>
      <c r="AA2963" t="str">
        <f>"14209-1194"</f>
        <v>14209-1194</v>
      </c>
      <c r="AB2963" t="s">
        <v>118</v>
      </c>
      <c r="AC2963" t="s">
        <v>119</v>
      </c>
      <c r="AD2963" t="s">
        <v>113</v>
      </c>
      <c r="AE2963" t="s">
        <v>120</v>
      </c>
      <c r="AG2963" t="s">
        <v>121</v>
      </c>
    </row>
    <row r="2964" spans="1:33" x14ac:dyDescent="0.25">
      <c r="A2964" t="str">
        <f>"1659377976"</f>
        <v>1659377976</v>
      </c>
      <c r="B2964" t="str">
        <f>"01679414"</f>
        <v>01679414</v>
      </c>
      <c r="C2964" t="s">
        <v>16788</v>
      </c>
      <c r="D2964" t="s">
        <v>16789</v>
      </c>
      <c r="E2964" t="s">
        <v>16790</v>
      </c>
      <c r="G2964" t="s">
        <v>16788</v>
      </c>
      <c r="H2964" t="s">
        <v>707</v>
      </c>
      <c r="J2964" t="s">
        <v>16791</v>
      </c>
      <c r="L2964" t="s">
        <v>142</v>
      </c>
      <c r="M2964" t="s">
        <v>113</v>
      </c>
      <c r="R2964" t="s">
        <v>16792</v>
      </c>
      <c r="W2964" t="s">
        <v>16790</v>
      </c>
      <c r="X2964" t="s">
        <v>16793</v>
      </c>
      <c r="Y2964" t="s">
        <v>1628</v>
      </c>
      <c r="Z2964" t="s">
        <v>117</v>
      </c>
      <c r="AA2964" t="str">
        <f>"14411-9310"</f>
        <v>14411-9310</v>
      </c>
      <c r="AB2964" t="s">
        <v>118</v>
      </c>
      <c r="AC2964" t="s">
        <v>119</v>
      </c>
      <c r="AD2964" t="s">
        <v>113</v>
      </c>
      <c r="AE2964" t="s">
        <v>120</v>
      </c>
      <c r="AG2964" t="s">
        <v>121</v>
      </c>
    </row>
    <row r="2965" spans="1:33" x14ac:dyDescent="0.25">
      <c r="A2965" t="str">
        <f>"1659384899"</f>
        <v>1659384899</v>
      </c>
      <c r="B2965" t="str">
        <f>"02254819"</f>
        <v>02254819</v>
      </c>
      <c r="C2965" t="s">
        <v>16794</v>
      </c>
      <c r="D2965" t="s">
        <v>16795</v>
      </c>
      <c r="E2965" t="s">
        <v>16796</v>
      </c>
      <c r="G2965" t="s">
        <v>16794</v>
      </c>
      <c r="H2965" t="s">
        <v>16797</v>
      </c>
      <c r="J2965" t="s">
        <v>16798</v>
      </c>
      <c r="L2965" t="s">
        <v>142</v>
      </c>
      <c r="M2965" t="s">
        <v>113</v>
      </c>
      <c r="R2965" t="s">
        <v>16799</v>
      </c>
      <c r="W2965" t="s">
        <v>16800</v>
      </c>
      <c r="X2965" t="s">
        <v>216</v>
      </c>
      <c r="Y2965" t="s">
        <v>116</v>
      </c>
      <c r="Z2965" t="s">
        <v>117</v>
      </c>
      <c r="AA2965" t="str">
        <f>"14222-2006"</f>
        <v>14222-2006</v>
      </c>
      <c r="AB2965" t="s">
        <v>118</v>
      </c>
      <c r="AC2965" t="s">
        <v>119</v>
      </c>
      <c r="AD2965" t="s">
        <v>113</v>
      </c>
      <c r="AE2965" t="s">
        <v>120</v>
      </c>
      <c r="AG2965" t="s">
        <v>121</v>
      </c>
    </row>
    <row r="2966" spans="1:33" x14ac:dyDescent="0.25">
      <c r="A2966" t="str">
        <f>"1659399095"</f>
        <v>1659399095</v>
      </c>
      <c r="B2966" t="str">
        <f>"01033247"</f>
        <v>01033247</v>
      </c>
      <c r="C2966" t="s">
        <v>16801</v>
      </c>
      <c r="D2966" t="s">
        <v>16802</v>
      </c>
      <c r="E2966" t="s">
        <v>16803</v>
      </c>
      <c r="G2966" t="s">
        <v>16801</v>
      </c>
      <c r="H2966" t="s">
        <v>14574</v>
      </c>
      <c r="J2966" t="s">
        <v>16804</v>
      </c>
      <c r="L2966" t="s">
        <v>150</v>
      </c>
      <c r="M2966" t="s">
        <v>199</v>
      </c>
      <c r="R2966" t="s">
        <v>16805</v>
      </c>
      <c r="W2966" t="s">
        <v>16803</v>
      </c>
      <c r="X2966" t="s">
        <v>176</v>
      </c>
      <c r="Y2966" t="s">
        <v>116</v>
      </c>
      <c r="Z2966" t="s">
        <v>117</v>
      </c>
      <c r="AA2966" t="str">
        <f>"14203-1126"</f>
        <v>14203-1126</v>
      </c>
      <c r="AB2966" t="s">
        <v>118</v>
      </c>
      <c r="AC2966" t="s">
        <v>119</v>
      </c>
      <c r="AD2966" t="s">
        <v>113</v>
      </c>
      <c r="AE2966" t="s">
        <v>120</v>
      </c>
      <c r="AG2966" t="s">
        <v>121</v>
      </c>
    </row>
    <row r="2967" spans="1:33" x14ac:dyDescent="0.25">
      <c r="A2967" t="str">
        <f>"1659414696"</f>
        <v>1659414696</v>
      </c>
      <c r="B2967" t="str">
        <f>"00635098"</f>
        <v>00635098</v>
      </c>
      <c r="C2967" t="s">
        <v>9755</v>
      </c>
      <c r="D2967" t="s">
        <v>16806</v>
      </c>
      <c r="E2967" t="s">
        <v>16807</v>
      </c>
      <c r="H2967" t="s">
        <v>10051</v>
      </c>
      <c r="L2967" t="s">
        <v>1714</v>
      </c>
      <c r="M2967" t="s">
        <v>113</v>
      </c>
      <c r="R2967" t="s">
        <v>9755</v>
      </c>
      <c r="W2967" t="s">
        <v>16807</v>
      </c>
      <c r="X2967" t="s">
        <v>16808</v>
      </c>
      <c r="Y2967" t="s">
        <v>305</v>
      </c>
      <c r="Z2967" t="s">
        <v>117</v>
      </c>
      <c r="AA2967" t="str">
        <f>"14760-1121"</f>
        <v>14760-1121</v>
      </c>
      <c r="AB2967" t="s">
        <v>1146</v>
      </c>
      <c r="AC2967" t="s">
        <v>119</v>
      </c>
      <c r="AD2967" t="s">
        <v>113</v>
      </c>
      <c r="AE2967" t="s">
        <v>120</v>
      </c>
      <c r="AG2967" t="s">
        <v>121</v>
      </c>
    </row>
    <row r="2968" spans="1:33" x14ac:dyDescent="0.25">
      <c r="A2968" t="str">
        <f>"1043271646"</f>
        <v>1043271646</v>
      </c>
      <c r="B2968" t="str">
        <f>"01071136"</f>
        <v>01071136</v>
      </c>
      <c r="C2968" t="s">
        <v>16809</v>
      </c>
      <c r="D2968" t="s">
        <v>16810</v>
      </c>
      <c r="E2968" t="s">
        <v>16811</v>
      </c>
      <c r="G2968" t="s">
        <v>16809</v>
      </c>
      <c r="H2968" t="s">
        <v>16812</v>
      </c>
      <c r="J2968" t="s">
        <v>16813</v>
      </c>
      <c r="L2968" t="s">
        <v>142</v>
      </c>
      <c r="M2968" t="s">
        <v>113</v>
      </c>
      <c r="R2968" t="s">
        <v>16814</v>
      </c>
      <c r="W2968" t="s">
        <v>16811</v>
      </c>
      <c r="Y2968" t="s">
        <v>318</v>
      </c>
      <c r="Z2968" t="s">
        <v>117</v>
      </c>
      <c r="AA2968" t="str">
        <f>"14225-4097"</f>
        <v>14225-4097</v>
      </c>
      <c r="AB2968" t="s">
        <v>118</v>
      </c>
      <c r="AC2968" t="s">
        <v>119</v>
      </c>
      <c r="AD2968" t="s">
        <v>113</v>
      </c>
      <c r="AE2968" t="s">
        <v>120</v>
      </c>
      <c r="AG2968" t="s">
        <v>121</v>
      </c>
    </row>
    <row r="2969" spans="1:33" x14ac:dyDescent="0.25">
      <c r="A2969" t="str">
        <f>"1043275159"</f>
        <v>1043275159</v>
      </c>
      <c r="B2969" t="str">
        <f>"00603190"</f>
        <v>00603190</v>
      </c>
      <c r="C2969" t="s">
        <v>16815</v>
      </c>
      <c r="D2969" t="s">
        <v>16816</v>
      </c>
      <c r="E2969" t="s">
        <v>16817</v>
      </c>
      <c r="G2969" t="s">
        <v>16815</v>
      </c>
      <c r="H2969" t="s">
        <v>5327</v>
      </c>
      <c r="J2969" t="s">
        <v>16818</v>
      </c>
      <c r="L2969" t="s">
        <v>150</v>
      </c>
      <c r="M2969" t="s">
        <v>199</v>
      </c>
      <c r="R2969" t="s">
        <v>16819</v>
      </c>
      <c r="W2969" t="s">
        <v>16817</v>
      </c>
      <c r="X2969" t="s">
        <v>16820</v>
      </c>
      <c r="Y2969" t="s">
        <v>663</v>
      </c>
      <c r="Z2969" t="s">
        <v>117</v>
      </c>
      <c r="AA2969" t="str">
        <f>"14094-5369"</f>
        <v>14094-5369</v>
      </c>
      <c r="AB2969" t="s">
        <v>118</v>
      </c>
      <c r="AC2969" t="s">
        <v>119</v>
      </c>
      <c r="AD2969" t="s">
        <v>113</v>
      </c>
      <c r="AE2969" t="s">
        <v>120</v>
      </c>
      <c r="AG2969" t="s">
        <v>121</v>
      </c>
    </row>
    <row r="2970" spans="1:33" x14ac:dyDescent="0.25">
      <c r="A2970" t="str">
        <f>"1043276603"</f>
        <v>1043276603</v>
      </c>
      <c r="B2970" t="str">
        <f>"01654044"</f>
        <v>01654044</v>
      </c>
      <c r="C2970" t="s">
        <v>16821</v>
      </c>
      <c r="D2970" t="s">
        <v>16822</v>
      </c>
      <c r="E2970" t="s">
        <v>16823</v>
      </c>
      <c r="G2970" t="s">
        <v>16824</v>
      </c>
      <c r="H2970" t="s">
        <v>213</v>
      </c>
      <c r="J2970" t="s">
        <v>16825</v>
      </c>
      <c r="L2970" t="s">
        <v>142</v>
      </c>
      <c r="M2970" t="s">
        <v>113</v>
      </c>
      <c r="R2970" t="s">
        <v>16826</v>
      </c>
      <c r="W2970" t="s">
        <v>16823</v>
      </c>
      <c r="X2970" t="s">
        <v>216</v>
      </c>
      <c r="Y2970" t="s">
        <v>116</v>
      </c>
      <c r="Z2970" t="s">
        <v>117</v>
      </c>
      <c r="AA2970" t="str">
        <f>"14222-2099"</f>
        <v>14222-2099</v>
      </c>
      <c r="AB2970" t="s">
        <v>118</v>
      </c>
      <c r="AC2970" t="s">
        <v>119</v>
      </c>
      <c r="AD2970" t="s">
        <v>113</v>
      </c>
      <c r="AE2970" t="s">
        <v>120</v>
      </c>
      <c r="AG2970" t="s">
        <v>121</v>
      </c>
    </row>
    <row r="2971" spans="1:33" x14ac:dyDescent="0.25">
      <c r="A2971" t="str">
        <f>"1043276850"</f>
        <v>1043276850</v>
      </c>
      <c r="B2971" t="str">
        <f>"01202262"</f>
        <v>01202262</v>
      </c>
      <c r="C2971" t="s">
        <v>16827</v>
      </c>
      <c r="D2971" t="s">
        <v>16828</v>
      </c>
      <c r="E2971" t="s">
        <v>16829</v>
      </c>
      <c r="G2971" t="s">
        <v>16827</v>
      </c>
      <c r="H2971" t="s">
        <v>16830</v>
      </c>
      <c r="J2971" t="s">
        <v>16831</v>
      </c>
      <c r="L2971" t="s">
        <v>142</v>
      </c>
      <c r="M2971" t="s">
        <v>113</v>
      </c>
      <c r="W2971" t="s">
        <v>16829</v>
      </c>
      <c r="X2971" t="s">
        <v>16832</v>
      </c>
      <c r="Y2971" t="s">
        <v>240</v>
      </c>
      <c r="Z2971" t="s">
        <v>117</v>
      </c>
      <c r="AA2971" t="str">
        <f>"14221-5725"</f>
        <v>14221-5725</v>
      </c>
      <c r="AB2971" t="s">
        <v>118</v>
      </c>
      <c r="AC2971" t="s">
        <v>119</v>
      </c>
      <c r="AD2971" t="s">
        <v>113</v>
      </c>
      <c r="AE2971" t="s">
        <v>120</v>
      </c>
      <c r="AG2971" t="s">
        <v>121</v>
      </c>
    </row>
    <row r="2972" spans="1:33" x14ac:dyDescent="0.25">
      <c r="A2972" t="str">
        <f>"1043278898"</f>
        <v>1043278898</v>
      </c>
      <c r="B2972" t="str">
        <f>"02938003"</f>
        <v>02938003</v>
      </c>
      <c r="C2972" t="s">
        <v>16833</v>
      </c>
      <c r="D2972" t="s">
        <v>16834</v>
      </c>
      <c r="E2972" t="s">
        <v>16835</v>
      </c>
      <c r="G2972" t="s">
        <v>16836</v>
      </c>
      <c r="H2972" t="s">
        <v>16837</v>
      </c>
      <c r="J2972" t="s">
        <v>16838</v>
      </c>
      <c r="L2972" t="s">
        <v>112</v>
      </c>
      <c r="M2972" t="s">
        <v>113</v>
      </c>
      <c r="R2972" t="s">
        <v>16839</v>
      </c>
      <c r="W2972" t="s">
        <v>16840</v>
      </c>
      <c r="X2972" t="s">
        <v>216</v>
      </c>
      <c r="Y2972" t="s">
        <v>116</v>
      </c>
      <c r="Z2972" t="s">
        <v>117</v>
      </c>
      <c r="AA2972" t="str">
        <f>"14222-2777"</f>
        <v>14222-2777</v>
      </c>
      <c r="AB2972" t="s">
        <v>118</v>
      </c>
      <c r="AC2972" t="s">
        <v>119</v>
      </c>
      <c r="AD2972" t="s">
        <v>113</v>
      </c>
      <c r="AE2972" t="s">
        <v>120</v>
      </c>
      <c r="AG2972" t="s">
        <v>121</v>
      </c>
    </row>
    <row r="2973" spans="1:33" x14ac:dyDescent="0.25">
      <c r="A2973" t="str">
        <f>"1043285786"</f>
        <v>1043285786</v>
      </c>
      <c r="B2973" t="str">
        <f>"01955155"</f>
        <v>01955155</v>
      </c>
      <c r="C2973" t="s">
        <v>16841</v>
      </c>
      <c r="D2973" t="s">
        <v>16842</v>
      </c>
      <c r="E2973" t="s">
        <v>16843</v>
      </c>
      <c r="G2973" t="s">
        <v>16841</v>
      </c>
      <c r="H2973" t="s">
        <v>16844</v>
      </c>
      <c r="J2973" t="s">
        <v>16845</v>
      </c>
      <c r="L2973" t="s">
        <v>142</v>
      </c>
      <c r="M2973" t="s">
        <v>113</v>
      </c>
      <c r="R2973" t="s">
        <v>16846</v>
      </c>
      <c r="W2973" t="s">
        <v>16843</v>
      </c>
      <c r="X2973" t="s">
        <v>253</v>
      </c>
      <c r="Y2973" t="s">
        <v>116</v>
      </c>
      <c r="Z2973" t="s">
        <v>117</v>
      </c>
      <c r="AA2973" t="str">
        <f>"14215-3021"</f>
        <v>14215-3021</v>
      </c>
      <c r="AB2973" t="s">
        <v>118</v>
      </c>
      <c r="AC2973" t="s">
        <v>119</v>
      </c>
      <c r="AD2973" t="s">
        <v>113</v>
      </c>
      <c r="AE2973" t="s">
        <v>120</v>
      </c>
      <c r="AG2973" t="s">
        <v>121</v>
      </c>
    </row>
    <row r="2974" spans="1:33" x14ac:dyDescent="0.25">
      <c r="A2974" t="str">
        <f>"1043286602"</f>
        <v>1043286602</v>
      </c>
      <c r="B2974" t="str">
        <f>"02227269"</f>
        <v>02227269</v>
      </c>
      <c r="C2974" t="s">
        <v>16847</v>
      </c>
      <c r="D2974" t="s">
        <v>16848</v>
      </c>
      <c r="E2974" t="s">
        <v>16849</v>
      </c>
      <c r="G2974" t="s">
        <v>16850</v>
      </c>
      <c r="H2974" t="s">
        <v>366</v>
      </c>
      <c r="J2974" t="s">
        <v>1660</v>
      </c>
      <c r="L2974" t="s">
        <v>112</v>
      </c>
      <c r="M2974" t="s">
        <v>113</v>
      </c>
      <c r="R2974" t="s">
        <v>16851</v>
      </c>
      <c r="W2974" t="s">
        <v>16852</v>
      </c>
      <c r="X2974" t="s">
        <v>136</v>
      </c>
      <c r="Y2974" t="s">
        <v>116</v>
      </c>
      <c r="Z2974" t="s">
        <v>117</v>
      </c>
      <c r="AA2974" t="str">
        <f>"14209-1120"</f>
        <v>14209-1120</v>
      </c>
      <c r="AB2974" t="s">
        <v>118</v>
      </c>
      <c r="AC2974" t="s">
        <v>119</v>
      </c>
      <c r="AD2974" t="s">
        <v>113</v>
      </c>
      <c r="AE2974" t="s">
        <v>120</v>
      </c>
      <c r="AG2974" t="s">
        <v>121</v>
      </c>
    </row>
    <row r="2975" spans="1:33" x14ac:dyDescent="0.25">
      <c r="A2975" t="str">
        <f>"1043286651"</f>
        <v>1043286651</v>
      </c>
      <c r="B2975" t="str">
        <f>"01132250"</f>
        <v>01132250</v>
      </c>
      <c r="C2975" t="s">
        <v>16853</v>
      </c>
      <c r="D2975" t="s">
        <v>16854</v>
      </c>
      <c r="E2975" t="s">
        <v>16855</v>
      </c>
      <c r="G2975" t="s">
        <v>16853</v>
      </c>
      <c r="H2975" t="s">
        <v>3942</v>
      </c>
      <c r="J2975" t="s">
        <v>16856</v>
      </c>
      <c r="L2975" t="s">
        <v>142</v>
      </c>
      <c r="M2975" t="s">
        <v>113</v>
      </c>
      <c r="R2975" t="s">
        <v>16857</v>
      </c>
      <c r="W2975" t="s">
        <v>16855</v>
      </c>
      <c r="X2975" t="s">
        <v>8033</v>
      </c>
      <c r="Y2975" t="s">
        <v>116</v>
      </c>
      <c r="Z2975" t="s">
        <v>117</v>
      </c>
      <c r="AA2975" t="str">
        <f>"14214-8001"</f>
        <v>14214-8001</v>
      </c>
      <c r="AB2975" t="s">
        <v>118</v>
      </c>
      <c r="AC2975" t="s">
        <v>119</v>
      </c>
      <c r="AD2975" t="s">
        <v>113</v>
      </c>
      <c r="AE2975" t="s">
        <v>120</v>
      </c>
      <c r="AG2975" t="s">
        <v>121</v>
      </c>
    </row>
    <row r="2976" spans="1:33" x14ac:dyDescent="0.25">
      <c r="A2976" t="str">
        <f>"1043286875"</f>
        <v>1043286875</v>
      </c>
      <c r="B2976" t="str">
        <f>"02565300"</f>
        <v>02565300</v>
      </c>
      <c r="C2976" t="s">
        <v>16858</v>
      </c>
      <c r="D2976" t="s">
        <v>16859</v>
      </c>
      <c r="E2976" t="s">
        <v>16860</v>
      </c>
      <c r="G2976" t="s">
        <v>16861</v>
      </c>
      <c r="H2976" t="s">
        <v>579</v>
      </c>
      <c r="J2976" t="s">
        <v>16862</v>
      </c>
      <c r="L2976" t="s">
        <v>112</v>
      </c>
      <c r="M2976" t="s">
        <v>113</v>
      </c>
      <c r="R2976" t="s">
        <v>16860</v>
      </c>
      <c r="W2976" t="s">
        <v>16860</v>
      </c>
      <c r="X2976" t="s">
        <v>176</v>
      </c>
      <c r="Y2976" t="s">
        <v>116</v>
      </c>
      <c r="Z2976" t="s">
        <v>117</v>
      </c>
      <c r="AA2976" t="str">
        <f>"14203-1126"</f>
        <v>14203-1126</v>
      </c>
      <c r="AB2976" t="s">
        <v>118</v>
      </c>
      <c r="AC2976" t="s">
        <v>119</v>
      </c>
      <c r="AD2976" t="s">
        <v>113</v>
      </c>
      <c r="AE2976" t="s">
        <v>120</v>
      </c>
      <c r="AG2976" t="s">
        <v>121</v>
      </c>
    </row>
    <row r="2977" spans="1:33" x14ac:dyDescent="0.25">
      <c r="A2977" t="str">
        <f>"1154373777"</f>
        <v>1154373777</v>
      </c>
      <c r="B2977" t="str">
        <f>"00611110"</f>
        <v>00611110</v>
      </c>
      <c r="C2977" t="s">
        <v>16863</v>
      </c>
      <c r="D2977" t="s">
        <v>16864</v>
      </c>
      <c r="E2977" t="s">
        <v>16865</v>
      </c>
      <c r="G2977" t="s">
        <v>16863</v>
      </c>
      <c r="H2977" t="s">
        <v>16866</v>
      </c>
      <c r="J2977" t="s">
        <v>16867</v>
      </c>
      <c r="L2977" t="s">
        <v>728</v>
      </c>
      <c r="M2977" t="s">
        <v>113</v>
      </c>
      <c r="R2977" t="s">
        <v>16868</v>
      </c>
      <c r="W2977" t="s">
        <v>16869</v>
      </c>
      <c r="X2977" t="s">
        <v>16870</v>
      </c>
      <c r="Y2977" t="s">
        <v>116</v>
      </c>
      <c r="Z2977" t="s">
        <v>117</v>
      </c>
      <c r="AA2977" t="str">
        <f>"14223-1904"</f>
        <v>14223-1904</v>
      </c>
      <c r="AB2977" t="s">
        <v>118</v>
      </c>
      <c r="AC2977" t="s">
        <v>119</v>
      </c>
      <c r="AD2977" t="s">
        <v>113</v>
      </c>
      <c r="AE2977" t="s">
        <v>120</v>
      </c>
      <c r="AG2977" t="s">
        <v>121</v>
      </c>
    </row>
    <row r="2978" spans="1:33" x14ac:dyDescent="0.25">
      <c r="A2978" t="str">
        <f>"1154377117"</f>
        <v>1154377117</v>
      </c>
      <c r="B2978" t="str">
        <f>"02924005"</f>
        <v>02924005</v>
      </c>
      <c r="C2978" t="s">
        <v>16871</v>
      </c>
      <c r="D2978" t="s">
        <v>16872</v>
      </c>
      <c r="E2978" t="s">
        <v>16873</v>
      </c>
      <c r="G2978" t="s">
        <v>16871</v>
      </c>
      <c r="H2978" t="s">
        <v>16874</v>
      </c>
      <c r="J2978" t="s">
        <v>16875</v>
      </c>
      <c r="L2978" t="s">
        <v>142</v>
      </c>
      <c r="M2978" t="s">
        <v>113</v>
      </c>
      <c r="R2978" t="s">
        <v>16876</v>
      </c>
      <c r="W2978" t="s">
        <v>16873</v>
      </c>
      <c r="X2978" t="s">
        <v>16877</v>
      </c>
      <c r="Y2978" t="s">
        <v>16878</v>
      </c>
      <c r="Z2978" t="s">
        <v>117</v>
      </c>
      <c r="AA2978" t="str">
        <f>"10940-4133"</f>
        <v>10940-4133</v>
      </c>
      <c r="AB2978" t="s">
        <v>118</v>
      </c>
      <c r="AC2978" t="s">
        <v>119</v>
      </c>
      <c r="AD2978" t="s">
        <v>113</v>
      </c>
      <c r="AE2978" t="s">
        <v>120</v>
      </c>
      <c r="AG2978" t="s">
        <v>121</v>
      </c>
    </row>
    <row r="2979" spans="1:33" x14ac:dyDescent="0.25">
      <c r="A2979" t="str">
        <f>"1154380145"</f>
        <v>1154380145</v>
      </c>
      <c r="B2979" t="str">
        <f>"01715911"</f>
        <v>01715911</v>
      </c>
      <c r="C2979" t="s">
        <v>16879</v>
      </c>
      <c r="D2979" t="s">
        <v>16880</v>
      </c>
      <c r="E2979" t="s">
        <v>16881</v>
      </c>
      <c r="G2979" t="s">
        <v>16879</v>
      </c>
      <c r="H2979" t="s">
        <v>16882</v>
      </c>
      <c r="J2979" t="s">
        <v>16883</v>
      </c>
      <c r="L2979" t="s">
        <v>112</v>
      </c>
      <c r="M2979" t="s">
        <v>199</v>
      </c>
      <c r="R2979" t="s">
        <v>16884</v>
      </c>
      <c r="W2979" t="s">
        <v>16881</v>
      </c>
      <c r="X2979" t="s">
        <v>16885</v>
      </c>
      <c r="Y2979" t="s">
        <v>305</v>
      </c>
      <c r="Z2979" t="s">
        <v>117</v>
      </c>
      <c r="AA2979" t="str">
        <f>"14760-1858"</f>
        <v>14760-1858</v>
      </c>
      <c r="AB2979" t="s">
        <v>118</v>
      </c>
      <c r="AC2979" t="s">
        <v>119</v>
      </c>
      <c r="AD2979" t="s">
        <v>113</v>
      </c>
      <c r="AE2979" t="s">
        <v>120</v>
      </c>
      <c r="AG2979" t="s">
        <v>121</v>
      </c>
    </row>
    <row r="2980" spans="1:33" x14ac:dyDescent="0.25">
      <c r="A2980" t="str">
        <f>"1194784116"</f>
        <v>1194784116</v>
      </c>
      <c r="B2980" t="str">
        <f>"00588683"</f>
        <v>00588683</v>
      </c>
      <c r="C2980" t="s">
        <v>16886</v>
      </c>
      <c r="D2980" t="s">
        <v>16887</v>
      </c>
      <c r="E2980" t="s">
        <v>16888</v>
      </c>
      <c r="G2980" t="s">
        <v>16886</v>
      </c>
      <c r="H2980" t="s">
        <v>2193</v>
      </c>
      <c r="J2980" t="s">
        <v>16889</v>
      </c>
      <c r="L2980" t="s">
        <v>142</v>
      </c>
      <c r="M2980" t="s">
        <v>113</v>
      </c>
      <c r="R2980" t="s">
        <v>16890</v>
      </c>
      <c r="W2980" t="s">
        <v>16888</v>
      </c>
      <c r="X2980" t="s">
        <v>16891</v>
      </c>
      <c r="Y2980" t="s">
        <v>153</v>
      </c>
      <c r="Z2980" t="s">
        <v>117</v>
      </c>
      <c r="AA2980" t="str">
        <f>"14301-1116"</f>
        <v>14301-1116</v>
      </c>
      <c r="AB2980" t="s">
        <v>1755</v>
      </c>
      <c r="AC2980" t="s">
        <v>119</v>
      </c>
      <c r="AD2980" t="s">
        <v>113</v>
      </c>
      <c r="AE2980" t="s">
        <v>120</v>
      </c>
      <c r="AG2980" t="s">
        <v>121</v>
      </c>
    </row>
    <row r="2981" spans="1:33" x14ac:dyDescent="0.25">
      <c r="A2981" t="str">
        <f>"1194792531"</f>
        <v>1194792531</v>
      </c>
      <c r="B2981" t="str">
        <f>"02192309"</f>
        <v>02192309</v>
      </c>
      <c r="C2981" t="s">
        <v>16892</v>
      </c>
      <c r="D2981" t="s">
        <v>16893</v>
      </c>
      <c r="E2981" t="s">
        <v>16894</v>
      </c>
      <c r="G2981" t="s">
        <v>16892</v>
      </c>
      <c r="H2981" t="s">
        <v>579</v>
      </c>
      <c r="J2981" t="s">
        <v>16895</v>
      </c>
      <c r="L2981" t="s">
        <v>112</v>
      </c>
      <c r="M2981" t="s">
        <v>113</v>
      </c>
      <c r="R2981" t="s">
        <v>16896</v>
      </c>
      <c r="W2981" t="s">
        <v>16897</v>
      </c>
      <c r="X2981" t="s">
        <v>176</v>
      </c>
      <c r="Y2981" t="s">
        <v>116</v>
      </c>
      <c r="Z2981" t="s">
        <v>117</v>
      </c>
      <c r="AA2981" t="str">
        <f>"14203-1126"</f>
        <v>14203-1126</v>
      </c>
      <c r="AB2981" t="s">
        <v>118</v>
      </c>
      <c r="AC2981" t="s">
        <v>119</v>
      </c>
      <c r="AD2981" t="s">
        <v>113</v>
      </c>
      <c r="AE2981" t="s">
        <v>120</v>
      </c>
      <c r="AG2981" t="s">
        <v>121</v>
      </c>
    </row>
    <row r="2982" spans="1:33" x14ac:dyDescent="0.25">
      <c r="A2982" t="str">
        <f>"1194796482"</f>
        <v>1194796482</v>
      </c>
      <c r="B2982" t="str">
        <f>"00865247"</f>
        <v>00865247</v>
      </c>
      <c r="C2982" t="s">
        <v>16898</v>
      </c>
      <c r="D2982" t="s">
        <v>16899</v>
      </c>
      <c r="E2982" t="s">
        <v>16900</v>
      </c>
      <c r="G2982" t="s">
        <v>16901</v>
      </c>
      <c r="H2982" t="s">
        <v>16902</v>
      </c>
      <c r="L2982" t="s">
        <v>150</v>
      </c>
      <c r="M2982" t="s">
        <v>113</v>
      </c>
      <c r="R2982" t="s">
        <v>16901</v>
      </c>
      <c r="W2982" t="s">
        <v>16900</v>
      </c>
      <c r="X2982" t="s">
        <v>16903</v>
      </c>
      <c r="Y2982" t="s">
        <v>541</v>
      </c>
      <c r="Z2982" t="s">
        <v>117</v>
      </c>
      <c r="AA2982" t="str">
        <f>"14048-2125"</f>
        <v>14048-2125</v>
      </c>
      <c r="AB2982" t="s">
        <v>118</v>
      </c>
      <c r="AC2982" t="s">
        <v>119</v>
      </c>
      <c r="AD2982" t="s">
        <v>113</v>
      </c>
      <c r="AE2982" t="s">
        <v>120</v>
      </c>
      <c r="AG2982" t="s">
        <v>121</v>
      </c>
    </row>
    <row r="2983" spans="1:33" x14ac:dyDescent="0.25">
      <c r="A2983" t="str">
        <f>"1194808535"</f>
        <v>1194808535</v>
      </c>
      <c r="B2983" t="str">
        <f>"01163648"</f>
        <v>01163648</v>
      </c>
      <c r="C2983" t="s">
        <v>16904</v>
      </c>
      <c r="D2983" t="s">
        <v>16905</v>
      </c>
      <c r="E2983" t="s">
        <v>16906</v>
      </c>
      <c r="G2983" t="s">
        <v>16907</v>
      </c>
      <c r="H2983" t="s">
        <v>213</v>
      </c>
      <c r="J2983" t="s">
        <v>16908</v>
      </c>
      <c r="L2983" t="s">
        <v>142</v>
      </c>
      <c r="M2983" t="s">
        <v>199</v>
      </c>
      <c r="R2983" t="s">
        <v>16909</v>
      </c>
      <c r="W2983" t="s">
        <v>16906</v>
      </c>
      <c r="X2983" t="s">
        <v>838</v>
      </c>
      <c r="Y2983" t="s">
        <v>240</v>
      </c>
      <c r="Z2983" t="s">
        <v>117</v>
      </c>
      <c r="AA2983" t="str">
        <f>"14221-3647"</f>
        <v>14221-3647</v>
      </c>
      <c r="AB2983" t="s">
        <v>118</v>
      </c>
      <c r="AC2983" t="s">
        <v>119</v>
      </c>
      <c r="AD2983" t="s">
        <v>113</v>
      </c>
      <c r="AE2983" t="s">
        <v>120</v>
      </c>
      <c r="AG2983" t="s">
        <v>121</v>
      </c>
    </row>
    <row r="2984" spans="1:33" x14ac:dyDescent="0.25">
      <c r="A2984" t="str">
        <f>"1194813204"</f>
        <v>1194813204</v>
      </c>
      <c r="B2984" t="str">
        <f>"02726447"</f>
        <v>02726447</v>
      </c>
      <c r="C2984" t="s">
        <v>16910</v>
      </c>
      <c r="D2984" t="s">
        <v>16911</v>
      </c>
      <c r="E2984" t="s">
        <v>16912</v>
      </c>
      <c r="H2984" t="s">
        <v>16913</v>
      </c>
      <c r="L2984" t="s">
        <v>112</v>
      </c>
      <c r="M2984" t="s">
        <v>113</v>
      </c>
      <c r="R2984" t="s">
        <v>16912</v>
      </c>
      <c r="W2984" t="s">
        <v>16912</v>
      </c>
      <c r="X2984" t="s">
        <v>16914</v>
      </c>
      <c r="Y2984" t="s">
        <v>16915</v>
      </c>
      <c r="Z2984" t="s">
        <v>117</v>
      </c>
      <c r="AA2984" t="str">
        <f>"14301"</f>
        <v>14301</v>
      </c>
      <c r="AB2984" t="s">
        <v>223</v>
      </c>
      <c r="AC2984" t="s">
        <v>119</v>
      </c>
      <c r="AD2984" t="s">
        <v>113</v>
      </c>
      <c r="AE2984" t="s">
        <v>120</v>
      </c>
      <c r="AG2984" t="s">
        <v>121</v>
      </c>
    </row>
    <row r="2985" spans="1:33" x14ac:dyDescent="0.25">
      <c r="A2985" t="str">
        <f>"1194814004"</f>
        <v>1194814004</v>
      </c>
      <c r="B2985" t="str">
        <f>"02661425"</f>
        <v>02661425</v>
      </c>
      <c r="C2985" t="s">
        <v>16916</v>
      </c>
      <c r="D2985" t="s">
        <v>16917</v>
      </c>
      <c r="E2985" t="s">
        <v>16918</v>
      </c>
      <c r="G2985" t="s">
        <v>16919</v>
      </c>
      <c r="H2985" t="s">
        <v>6733</v>
      </c>
      <c r="L2985" t="s">
        <v>150</v>
      </c>
      <c r="M2985" t="s">
        <v>199</v>
      </c>
      <c r="R2985" t="s">
        <v>16920</v>
      </c>
      <c r="W2985" t="s">
        <v>16921</v>
      </c>
      <c r="X2985" t="s">
        <v>855</v>
      </c>
      <c r="Y2985" t="s">
        <v>116</v>
      </c>
      <c r="Z2985" t="s">
        <v>117</v>
      </c>
      <c r="AA2985" t="str">
        <f>"14213-1573"</f>
        <v>14213-1573</v>
      </c>
      <c r="AB2985" t="s">
        <v>118</v>
      </c>
      <c r="AC2985" t="s">
        <v>119</v>
      </c>
      <c r="AD2985" t="s">
        <v>113</v>
      </c>
      <c r="AE2985" t="s">
        <v>120</v>
      </c>
      <c r="AG2985" t="s">
        <v>121</v>
      </c>
    </row>
    <row r="2986" spans="1:33" x14ac:dyDescent="0.25">
      <c r="A2986" t="str">
        <f>"1194818229"</f>
        <v>1194818229</v>
      </c>
      <c r="B2986" t="str">
        <f>"01543939"</f>
        <v>01543939</v>
      </c>
      <c r="C2986" t="s">
        <v>16922</v>
      </c>
      <c r="D2986" t="s">
        <v>16923</v>
      </c>
      <c r="E2986" t="s">
        <v>16924</v>
      </c>
      <c r="G2986" t="s">
        <v>16922</v>
      </c>
      <c r="H2986" t="s">
        <v>4611</v>
      </c>
      <c r="J2986" t="s">
        <v>16925</v>
      </c>
      <c r="L2986" t="s">
        <v>142</v>
      </c>
      <c r="M2986" t="s">
        <v>113</v>
      </c>
      <c r="R2986" t="s">
        <v>16926</v>
      </c>
      <c r="W2986" t="s">
        <v>16924</v>
      </c>
      <c r="X2986" t="s">
        <v>16927</v>
      </c>
      <c r="Y2986" t="s">
        <v>9405</v>
      </c>
      <c r="Z2986" t="s">
        <v>117</v>
      </c>
      <c r="AA2986" t="str">
        <f>"12771-2245"</f>
        <v>12771-2245</v>
      </c>
      <c r="AB2986" t="s">
        <v>118</v>
      </c>
      <c r="AC2986" t="s">
        <v>119</v>
      </c>
      <c r="AD2986" t="s">
        <v>113</v>
      </c>
      <c r="AE2986" t="s">
        <v>120</v>
      </c>
      <c r="AG2986" t="s">
        <v>121</v>
      </c>
    </row>
    <row r="2987" spans="1:33" x14ac:dyDescent="0.25">
      <c r="A2987" t="str">
        <f>"1194822890"</f>
        <v>1194822890</v>
      </c>
      <c r="B2987" t="str">
        <f>"02936510"</f>
        <v>02936510</v>
      </c>
      <c r="C2987" t="s">
        <v>16928</v>
      </c>
      <c r="D2987" t="s">
        <v>16929</v>
      </c>
      <c r="E2987" t="s">
        <v>16930</v>
      </c>
      <c r="G2987" t="s">
        <v>16931</v>
      </c>
      <c r="H2987" t="s">
        <v>16932</v>
      </c>
      <c r="J2987" t="s">
        <v>16933</v>
      </c>
      <c r="L2987" t="s">
        <v>142</v>
      </c>
      <c r="M2987" t="s">
        <v>113</v>
      </c>
      <c r="R2987" t="s">
        <v>16934</v>
      </c>
      <c r="W2987" t="s">
        <v>16935</v>
      </c>
      <c r="X2987" t="s">
        <v>1304</v>
      </c>
      <c r="Y2987" t="s">
        <v>116</v>
      </c>
      <c r="Z2987" t="s">
        <v>117</v>
      </c>
      <c r="AA2987" t="str">
        <f>"14220-2039"</f>
        <v>14220-2039</v>
      </c>
      <c r="AB2987" t="s">
        <v>118</v>
      </c>
      <c r="AC2987" t="s">
        <v>119</v>
      </c>
      <c r="AD2987" t="s">
        <v>113</v>
      </c>
      <c r="AE2987" t="s">
        <v>120</v>
      </c>
      <c r="AG2987" t="s">
        <v>121</v>
      </c>
    </row>
    <row r="2988" spans="1:33" x14ac:dyDescent="0.25">
      <c r="A2988" t="str">
        <f>"1194827295"</f>
        <v>1194827295</v>
      </c>
      <c r="B2988" t="str">
        <f>"01257914"</f>
        <v>01257914</v>
      </c>
      <c r="C2988" t="s">
        <v>16936</v>
      </c>
      <c r="D2988" t="s">
        <v>16937</v>
      </c>
      <c r="E2988" t="s">
        <v>16938</v>
      </c>
      <c r="G2988" t="s">
        <v>16936</v>
      </c>
      <c r="H2988" t="s">
        <v>16939</v>
      </c>
      <c r="J2988" t="s">
        <v>16940</v>
      </c>
      <c r="L2988" t="s">
        <v>112</v>
      </c>
      <c r="M2988" t="s">
        <v>113</v>
      </c>
      <c r="R2988" t="s">
        <v>16941</v>
      </c>
      <c r="W2988" t="s">
        <v>16942</v>
      </c>
      <c r="X2988" t="s">
        <v>10885</v>
      </c>
      <c r="Y2988" t="s">
        <v>958</v>
      </c>
      <c r="Z2988" t="s">
        <v>117</v>
      </c>
      <c r="AA2988" t="str">
        <f>"14226-1039"</f>
        <v>14226-1039</v>
      </c>
      <c r="AB2988" t="s">
        <v>118</v>
      </c>
      <c r="AC2988" t="s">
        <v>119</v>
      </c>
      <c r="AD2988" t="s">
        <v>113</v>
      </c>
      <c r="AE2988" t="s">
        <v>120</v>
      </c>
      <c r="AG2988" t="s">
        <v>121</v>
      </c>
    </row>
    <row r="2989" spans="1:33" x14ac:dyDescent="0.25">
      <c r="A2989" t="str">
        <f>"1194855460"</f>
        <v>1194855460</v>
      </c>
      <c r="B2989" t="str">
        <f>"02860108"</f>
        <v>02860108</v>
      </c>
      <c r="C2989" t="s">
        <v>16943</v>
      </c>
      <c r="D2989" t="s">
        <v>16944</v>
      </c>
      <c r="E2989" t="s">
        <v>16945</v>
      </c>
      <c r="G2989" t="s">
        <v>16943</v>
      </c>
      <c r="H2989" t="s">
        <v>1724</v>
      </c>
      <c r="J2989" t="s">
        <v>16946</v>
      </c>
      <c r="L2989" t="s">
        <v>142</v>
      </c>
      <c r="M2989" t="s">
        <v>113</v>
      </c>
      <c r="R2989" t="s">
        <v>16947</v>
      </c>
      <c r="W2989" t="s">
        <v>16945</v>
      </c>
      <c r="X2989" t="s">
        <v>1727</v>
      </c>
      <c r="Y2989" t="s">
        <v>192</v>
      </c>
      <c r="Z2989" t="s">
        <v>117</v>
      </c>
      <c r="AA2989" t="str">
        <f>"14020-1631"</f>
        <v>14020-1631</v>
      </c>
      <c r="AB2989" t="s">
        <v>118</v>
      </c>
      <c r="AC2989" t="s">
        <v>119</v>
      </c>
      <c r="AD2989" t="s">
        <v>113</v>
      </c>
      <c r="AE2989" t="s">
        <v>120</v>
      </c>
      <c r="AG2989" t="s">
        <v>121</v>
      </c>
    </row>
    <row r="2990" spans="1:33" x14ac:dyDescent="0.25">
      <c r="B2990" t="str">
        <f>"03489250"</f>
        <v>03489250</v>
      </c>
      <c r="C2990" t="s">
        <v>11648</v>
      </c>
      <c r="D2990" t="s">
        <v>19267</v>
      </c>
      <c r="E2990" t="s">
        <v>19268</v>
      </c>
      <c r="G2990" t="s">
        <v>11651</v>
      </c>
      <c r="H2990" t="s">
        <v>11652</v>
      </c>
      <c r="J2990" t="s">
        <v>11653</v>
      </c>
      <c r="L2990" t="s">
        <v>69</v>
      </c>
      <c r="M2990" t="s">
        <v>113</v>
      </c>
      <c r="W2990" t="s">
        <v>19268</v>
      </c>
      <c r="X2990" t="s">
        <v>19269</v>
      </c>
      <c r="Y2990" t="s">
        <v>986</v>
      </c>
      <c r="Z2990" t="s">
        <v>117</v>
      </c>
      <c r="AA2990" t="str">
        <f>"14701-4767"</f>
        <v>14701-4767</v>
      </c>
      <c r="AB2990" t="s">
        <v>291</v>
      </c>
      <c r="AC2990" t="s">
        <v>119</v>
      </c>
      <c r="AD2990" t="s">
        <v>113</v>
      </c>
      <c r="AE2990" t="s">
        <v>120</v>
      </c>
      <c r="AG2990" t="s">
        <v>121</v>
      </c>
    </row>
    <row r="2991" spans="1:33" x14ac:dyDescent="0.25">
      <c r="A2991" t="str">
        <f>"1194860254"</f>
        <v>1194860254</v>
      </c>
      <c r="B2991" t="str">
        <f>"02344907"</f>
        <v>02344907</v>
      </c>
      <c r="C2991" t="s">
        <v>16955</v>
      </c>
      <c r="D2991" t="s">
        <v>16956</v>
      </c>
      <c r="E2991" t="s">
        <v>16957</v>
      </c>
      <c r="G2991" t="s">
        <v>16958</v>
      </c>
      <c r="H2991" t="s">
        <v>16959</v>
      </c>
      <c r="J2991" t="s">
        <v>16960</v>
      </c>
      <c r="L2991" t="s">
        <v>112</v>
      </c>
      <c r="M2991" t="s">
        <v>113</v>
      </c>
      <c r="R2991" t="s">
        <v>16961</v>
      </c>
      <c r="W2991" t="s">
        <v>16957</v>
      </c>
      <c r="X2991" t="s">
        <v>216</v>
      </c>
      <c r="Y2991" t="s">
        <v>116</v>
      </c>
      <c r="Z2991" t="s">
        <v>117</v>
      </c>
      <c r="AA2991" t="str">
        <f>"14222-2006"</f>
        <v>14222-2006</v>
      </c>
      <c r="AB2991" t="s">
        <v>118</v>
      </c>
      <c r="AC2991" t="s">
        <v>119</v>
      </c>
      <c r="AD2991" t="s">
        <v>113</v>
      </c>
      <c r="AE2991" t="s">
        <v>120</v>
      </c>
      <c r="AG2991" t="s">
        <v>121</v>
      </c>
    </row>
    <row r="2992" spans="1:33" x14ac:dyDescent="0.25">
      <c r="A2992" t="str">
        <f>"1194861997"</f>
        <v>1194861997</v>
      </c>
      <c r="B2992" t="str">
        <f>"03846004"</f>
        <v>03846004</v>
      </c>
      <c r="C2992" t="s">
        <v>16962</v>
      </c>
      <c r="D2992" t="s">
        <v>16963</v>
      </c>
      <c r="E2992" t="s">
        <v>16964</v>
      </c>
      <c r="G2992" t="s">
        <v>16965</v>
      </c>
      <c r="H2992" t="s">
        <v>4132</v>
      </c>
      <c r="J2992" t="s">
        <v>16966</v>
      </c>
      <c r="L2992" t="s">
        <v>112</v>
      </c>
      <c r="M2992" t="s">
        <v>113</v>
      </c>
      <c r="R2992" t="s">
        <v>16967</v>
      </c>
      <c r="W2992" t="s">
        <v>16964</v>
      </c>
      <c r="X2992" t="s">
        <v>216</v>
      </c>
      <c r="Y2992" t="s">
        <v>116</v>
      </c>
      <c r="Z2992" t="s">
        <v>117</v>
      </c>
      <c r="AA2992" t="str">
        <f>"14222-2006"</f>
        <v>14222-2006</v>
      </c>
      <c r="AB2992" t="s">
        <v>118</v>
      </c>
      <c r="AC2992" t="s">
        <v>119</v>
      </c>
      <c r="AD2992" t="s">
        <v>113</v>
      </c>
      <c r="AE2992" t="s">
        <v>120</v>
      </c>
      <c r="AG2992" t="s">
        <v>121</v>
      </c>
    </row>
    <row r="2993" spans="1:33" x14ac:dyDescent="0.25">
      <c r="A2993" t="str">
        <f>"1194876300"</f>
        <v>1194876300</v>
      </c>
      <c r="B2993" t="str">
        <f>"02843869"</f>
        <v>02843869</v>
      </c>
      <c r="C2993" t="s">
        <v>16968</v>
      </c>
      <c r="D2993" t="s">
        <v>16969</v>
      </c>
      <c r="E2993" t="s">
        <v>16970</v>
      </c>
      <c r="G2993" t="s">
        <v>16971</v>
      </c>
      <c r="L2993" t="s">
        <v>69</v>
      </c>
      <c r="M2993" t="s">
        <v>113</v>
      </c>
      <c r="R2993" t="s">
        <v>16970</v>
      </c>
      <c r="W2993" t="s">
        <v>16970</v>
      </c>
      <c r="X2993" t="s">
        <v>3913</v>
      </c>
      <c r="Y2993" t="s">
        <v>116</v>
      </c>
      <c r="Z2993" t="s">
        <v>117</v>
      </c>
      <c r="AA2993" t="str">
        <f>"14214-1706"</f>
        <v>14214-1706</v>
      </c>
      <c r="AB2993" t="s">
        <v>872</v>
      </c>
      <c r="AC2993" t="s">
        <v>119</v>
      </c>
      <c r="AD2993" t="s">
        <v>113</v>
      </c>
      <c r="AE2993" t="s">
        <v>120</v>
      </c>
      <c r="AG2993" t="s">
        <v>121</v>
      </c>
    </row>
    <row r="2994" spans="1:33" x14ac:dyDescent="0.25">
      <c r="A2994" t="str">
        <f>"1053356865"</f>
        <v>1053356865</v>
      </c>
      <c r="B2994" t="str">
        <f>"01787099"</f>
        <v>01787099</v>
      </c>
      <c r="C2994" t="s">
        <v>16972</v>
      </c>
      <c r="D2994" t="s">
        <v>16973</v>
      </c>
      <c r="E2994" t="s">
        <v>16974</v>
      </c>
      <c r="G2994" t="s">
        <v>16975</v>
      </c>
      <c r="H2994" t="s">
        <v>16976</v>
      </c>
      <c r="L2994" t="s">
        <v>69</v>
      </c>
      <c r="M2994" t="s">
        <v>113</v>
      </c>
      <c r="R2994" t="s">
        <v>16972</v>
      </c>
      <c r="W2994" t="s">
        <v>16975</v>
      </c>
      <c r="X2994" t="s">
        <v>13103</v>
      </c>
      <c r="Y2994" t="s">
        <v>362</v>
      </c>
      <c r="Z2994" t="s">
        <v>117</v>
      </c>
      <c r="AA2994" t="str">
        <f>"14108-1026"</f>
        <v>14108-1026</v>
      </c>
      <c r="AB2994" t="s">
        <v>872</v>
      </c>
      <c r="AC2994" t="s">
        <v>119</v>
      </c>
      <c r="AD2994" t="s">
        <v>113</v>
      </c>
      <c r="AE2994" t="s">
        <v>120</v>
      </c>
      <c r="AG2994" t="s">
        <v>121</v>
      </c>
    </row>
    <row r="2995" spans="1:33" x14ac:dyDescent="0.25">
      <c r="A2995" t="str">
        <f>"1053365452"</f>
        <v>1053365452</v>
      </c>
      <c r="B2995" t="str">
        <f>"02760841"</f>
        <v>02760841</v>
      </c>
      <c r="C2995" t="s">
        <v>16977</v>
      </c>
      <c r="D2995" t="s">
        <v>16978</v>
      </c>
      <c r="E2995" t="s">
        <v>16979</v>
      </c>
      <c r="G2995" t="s">
        <v>16980</v>
      </c>
      <c r="H2995" t="s">
        <v>16981</v>
      </c>
      <c r="J2995" t="s">
        <v>16982</v>
      </c>
      <c r="L2995" t="s">
        <v>142</v>
      </c>
      <c r="M2995" t="s">
        <v>113</v>
      </c>
      <c r="R2995" t="s">
        <v>16983</v>
      </c>
      <c r="W2995" t="s">
        <v>16984</v>
      </c>
      <c r="X2995" t="s">
        <v>216</v>
      </c>
      <c r="Y2995" t="s">
        <v>116</v>
      </c>
      <c r="Z2995" t="s">
        <v>117</v>
      </c>
      <c r="AA2995" t="str">
        <f>"14222-2006"</f>
        <v>14222-2006</v>
      </c>
      <c r="AB2995" t="s">
        <v>118</v>
      </c>
      <c r="AC2995" t="s">
        <v>119</v>
      </c>
      <c r="AD2995" t="s">
        <v>113</v>
      </c>
      <c r="AE2995" t="s">
        <v>120</v>
      </c>
      <c r="AG2995" t="s">
        <v>121</v>
      </c>
    </row>
    <row r="2996" spans="1:33" x14ac:dyDescent="0.25">
      <c r="A2996" t="str">
        <f>"1053369199"</f>
        <v>1053369199</v>
      </c>
      <c r="B2996" t="str">
        <f>"00613570"</f>
        <v>00613570</v>
      </c>
      <c r="C2996" t="s">
        <v>16985</v>
      </c>
      <c r="D2996" t="s">
        <v>16986</v>
      </c>
      <c r="E2996" t="s">
        <v>16987</v>
      </c>
      <c r="G2996" t="s">
        <v>16988</v>
      </c>
      <c r="H2996" t="s">
        <v>16989</v>
      </c>
      <c r="J2996" t="s">
        <v>16990</v>
      </c>
      <c r="L2996" t="s">
        <v>1033</v>
      </c>
      <c r="M2996" t="s">
        <v>113</v>
      </c>
      <c r="R2996" t="s">
        <v>16991</v>
      </c>
      <c r="W2996" t="s">
        <v>16987</v>
      </c>
      <c r="X2996" t="s">
        <v>4920</v>
      </c>
      <c r="Y2996" t="s">
        <v>240</v>
      </c>
      <c r="Z2996" t="s">
        <v>117</v>
      </c>
      <c r="AA2996" t="str">
        <f>"14221-5734"</f>
        <v>14221-5734</v>
      </c>
      <c r="AB2996" t="s">
        <v>118</v>
      </c>
      <c r="AC2996" t="s">
        <v>119</v>
      </c>
      <c r="AD2996" t="s">
        <v>113</v>
      </c>
      <c r="AE2996" t="s">
        <v>120</v>
      </c>
      <c r="AG2996" t="s">
        <v>121</v>
      </c>
    </row>
    <row r="2997" spans="1:33" x14ac:dyDescent="0.25">
      <c r="A2997" t="str">
        <f>"1053376418"</f>
        <v>1053376418</v>
      </c>
      <c r="B2997" t="str">
        <f>"03293818"</f>
        <v>03293818</v>
      </c>
      <c r="C2997" t="s">
        <v>16992</v>
      </c>
      <c r="D2997" t="s">
        <v>16993</v>
      </c>
      <c r="E2997" t="s">
        <v>16994</v>
      </c>
      <c r="G2997" t="s">
        <v>16992</v>
      </c>
      <c r="H2997" t="s">
        <v>227</v>
      </c>
      <c r="J2997" t="s">
        <v>16995</v>
      </c>
      <c r="L2997" t="s">
        <v>142</v>
      </c>
      <c r="M2997" t="s">
        <v>113</v>
      </c>
      <c r="R2997" t="s">
        <v>16996</v>
      </c>
      <c r="W2997" t="s">
        <v>16994</v>
      </c>
      <c r="X2997" t="s">
        <v>16997</v>
      </c>
      <c r="Y2997" t="s">
        <v>16998</v>
      </c>
      <c r="Z2997" t="s">
        <v>117</v>
      </c>
      <c r="AA2997" t="str">
        <f>"10990-1028"</f>
        <v>10990-1028</v>
      </c>
      <c r="AB2997" t="s">
        <v>118</v>
      </c>
      <c r="AC2997" t="s">
        <v>119</v>
      </c>
      <c r="AD2997" t="s">
        <v>113</v>
      </c>
      <c r="AE2997" t="s">
        <v>120</v>
      </c>
      <c r="AG2997" t="s">
        <v>121</v>
      </c>
    </row>
    <row r="2998" spans="1:33" x14ac:dyDescent="0.25">
      <c r="A2998" t="str">
        <f>"1285740548"</f>
        <v>1285740548</v>
      </c>
      <c r="B2998" t="str">
        <f>"01439505"</f>
        <v>01439505</v>
      </c>
      <c r="C2998" t="s">
        <v>16999</v>
      </c>
      <c r="D2998" t="s">
        <v>17000</v>
      </c>
      <c r="E2998" t="s">
        <v>17001</v>
      </c>
      <c r="G2998" t="s">
        <v>16999</v>
      </c>
      <c r="H2998" t="s">
        <v>17002</v>
      </c>
      <c r="J2998" t="s">
        <v>17003</v>
      </c>
      <c r="L2998" t="s">
        <v>150</v>
      </c>
      <c r="M2998" t="s">
        <v>113</v>
      </c>
      <c r="R2998" t="s">
        <v>17004</v>
      </c>
      <c r="W2998" t="s">
        <v>17004</v>
      </c>
      <c r="X2998" t="s">
        <v>17005</v>
      </c>
      <c r="Y2998" t="s">
        <v>663</v>
      </c>
      <c r="Z2998" t="s">
        <v>117</v>
      </c>
      <c r="AA2998" t="str">
        <f>"14094-5366"</f>
        <v>14094-5366</v>
      </c>
      <c r="AB2998" t="s">
        <v>118</v>
      </c>
      <c r="AC2998" t="s">
        <v>119</v>
      </c>
      <c r="AD2998" t="s">
        <v>113</v>
      </c>
      <c r="AE2998" t="s">
        <v>120</v>
      </c>
      <c r="AG2998" t="s">
        <v>121</v>
      </c>
    </row>
    <row r="2999" spans="1:33" x14ac:dyDescent="0.25">
      <c r="A2999" t="str">
        <f>"1285767459"</f>
        <v>1285767459</v>
      </c>
      <c r="B2999" t="str">
        <f>"02925271"</f>
        <v>02925271</v>
      </c>
      <c r="C2999" t="s">
        <v>17006</v>
      </c>
      <c r="D2999" t="s">
        <v>17007</v>
      </c>
      <c r="E2999" t="s">
        <v>17008</v>
      </c>
      <c r="G2999" t="s">
        <v>330</v>
      </c>
      <c r="H2999" t="s">
        <v>1064</v>
      </c>
      <c r="J2999" t="s">
        <v>332</v>
      </c>
      <c r="L2999" t="s">
        <v>150</v>
      </c>
      <c r="M2999" t="s">
        <v>199</v>
      </c>
      <c r="R2999" t="s">
        <v>17009</v>
      </c>
      <c r="W2999" t="s">
        <v>17008</v>
      </c>
      <c r="X2999" t="s">
        <v>17010</v>
      </c>
      <c r="Y2999" t="s">
        <v>116</v>
      </c>
      <c r="Z2999" t="s">
        <v>117</v>
      </c>
      <c r="AA2999" t="str">
        <f>"14214-1761"</f>
        <v>14214-1761</v>
      </c>
      <c r="AB2999" t="s">
        <v>118</v>
      </c>
      <c r="AC2999" t="s">
        <v>119</v>
      </c>
      <c r="AD2999" t="s">
        <v>113</v>
      </c>
      <c r="AE2999" t="s">
        <v>120</v>
      </c>
      <c r="AG2999" t="s">
        <v>121</v>
      </c>
    </row>
    <row r="3000" spans="1:33" x14ac:dyDescent="0.25">
      <c r="A3000" t="str">
        <f>"1285780064"</f>
        <v>1285780064</v>
      </c>
      <c r="B3000" t="str">
        <f>"01472600"</f>
        <v>01472600</v>
      </c>
      <c r="C3000" t="s">
        <v>17011</v>
      </c>
      <c r="D3000" t="s">
        <v>17012</v>
      </c>
      <c r="E3000" t="s">
        <v>17013</v>
      </c>
      <c r="G3000" t="s">
        <v>17011</v>
      </c>
      <c r="H3000" t="s">
        <v>3814</v>
      </c>
      <c r="J3000" t="s">
        <v>17014</v>
      </c>
      <c r="L3000" t="s">
        <v>142</v>
      </c>
      <c r="M3000" t="s">
        <v>113</v>
      </c>
      <c r="R3000" t="s">
        <v>17015</v>
      </c>
      <c r="W3000" t="s">
        <v>17013</v>
      </c>
      <c r="X3000" t="s">
        <v>8932</v>
      </c>
      <c r="Y3000" t="s">
        <v>240</v>
      </c>
      <c r="Z3000" t="s">
        <v>117</v>
      </c>
      <c r="AA3000" t="str">
        <f>"14221"</f>
        <v>14221</v>
      </c>
      <c r="AB3000" t="s">
        <v>118</v>
      </c>
      <c r="AC3000" t="s">
        <v>119</v>
      </c>
      <c r="AD3000" t="s">
        <v>113</v>
      </c>
      <c r="AE3000" t="s">
        <v>120</v>
      </c>
      <c r="AG3000" t="s">
        <v>121</v>
      </c>
    </row>
    <row r="3001" spans="1:33" x14ac:dyDescent="0.25">
      <c r="A3001" t="str">
        <f>"1235116286"</f>
        <v>1235116286</v>
      </c>
      <c r="B3001" t="str">
        <f>"00314618"</f>
        <v>00314618</v>
      </c>
      <c r="C3001" t="s">
        <v>23170</v>
      </c>
      <c r="D3001" t="s">
        <v>23171</v>
      </c>
      <c r="E3001" t="s">
        <v>23172</v>
      </c>
      <c r="G3001" t="s">
        <v>22464</v>
      </c>
      <c r="H3001" t="s">
        <v>22465</v>
      </c>
      <c r="J3001" t="s">
        <v>22466</v>
      </c>
      <c r="L3001" t="s">
        <v>280</v>
      </c>
      <c r="M3001" t="s">
        <v>199</v>
      </c>
      <c r="R3001" t="s">
        <v>6672</v>
      </c>
      <c r="W3001" t="s">
        <v>23172</v>
      </c>
      <c r="X3001" t="s">
        <v>22471</v>
      </c>
      <c r="Y3001" t="s">
        <v>986</v>
      </c>
      <c r="Z3001" t="s">
        <v>117</v>
      </c>
      <c r="AA3001" t="str">
        <f>"14701-1935"</f>
        <v>14701-1935</v>
      </c>
      <c r="AB3001" t="s">
        <v>282</v>
      </c>
      <c r="AC3001" t="s">
        <v>119</v>
      </c>
      <c r="AD3001" t="s">
        <v>113</v>
      </c>
      <c r="AE3001" t="s">
        <v>120</v>
      </c>
      <c r="AG3001" t="s">
        <v>121</v>
      </c>
    </row>
    <row r="3002" spans="1:33" x14ac:dyDescent="0.25">
      <c r="A3002" t="str">
        <f>"1285840090"</f>
        <v>1285840090</v>
      </c>
      <c r="C3002" t="s">
        <v>3490</v>
      </c>
      <c r="G3002" t="s">
        <v>13120</v>
      </c>
      <c r="H3002" t="s">
        <v>3494</v>
      </c>
      <c r="J3002" t="s">
        <v>3495</v>
      </c>
      <c r="K3002" t="s">
        <v>303</v>
      </c>
      <c r="L3002" t="s">
        <v>229</v>
      </c>
      <c r="M3002" t="s">
        <v>113</v>
      </c>
      <c r="R3002" t="s">
        <v>3490</v>
      </c>
      <c r="S3002" t="s">
        <v>253</v>
      </c>
      <c r="T3002" t="s">
        <v>116</v>
      </c>
      <c r="U3002" t="s">
        <v>117</v>
      </c>
      <c r="V3002" t="str">
        <f>"142153021"</f>
        <v>142153021</v>
      </c>
      <c r="AC3002" t="s">
        <v>119</v>
      </c>
      <c r="AD3002" t="s">
        <v>113</v>
      </c>
      <c r="AE3002" t="s">
        <v>306</v>
      </c>
      <c r="AG3002" t="s">
        <v>121</v>
      </c>
    </row>
    <row r="3003" spans="1:33" x14ac:dyDescent="0.25">
      <c r="A3003" t="str">
        <f>"1285849877"</f>
        <v>1285849877</v>
      </c>
      <c r="B3003" t="str">
        <f>"02911640"</f>
        <v>02911640</v>
      </c>
      <c r="C3003" t="s">
        <v>17018</v>
      </c>
      <c r="D3003" t="s">
        <v>17019</v>
      </c>
      <c r="E3003" t="s">
        <v>17020</v>
      </c>
      <c r="G3003" t="s">
        <v>17018</v>
      </c>
      <c r="H3003" t="s">
        <v>10057</v>
      </c>
      <c r="L3003" t="s">
        <v>150</v>
      </c>
      <c r="M3003" t="s">
        <v>199</v>
      </c>
      <c r="R3003" t="s">
        <v>17020</v>
      </c>
      <c r="W3003" t="s">
        <v>17021</v>
      </c>
      <c r="X3003" t="s">
        <v>333</v>
      </c>
      <c r="Y3003" t="s">
        <v>116</v>
      </c>
      <c r="Z3003" t="s">
        <v>117</v>
      </c>
      <c r="AA3003" t="str">
        <f>"14203-1109"</f>
        <v>14203-1109</v>
      </c>
      <c r="AB3003" t="s">
        <v>118</v>
      </c>
      <c r="AC3003" t="s">
        <v>119</v>
      </c>
      <c r="AD3003" t="s">
        <v>113</v>
      </c>
      <c r="AE3003" t="s">
        <v>120</v>
      </c>
      <c r="AG3003" t="s">
        <v>121</v>
      </c>
    </row>
    <row r="3004" spans="1:33" x14ac:dyDescent="0.25">
      <c r="A3004" t="str">
        <f>"1285859363"</f>
        <v>1285859363</v>
      </c>
      <c r="B3004" t="str">
        <f>"02430422"</f>
        <v>02430422</v>
      </c>
      <c r="C3004" t="s">
        <v>17022</v>
      </c>
      <c r="D3004" t="s">
        <v>17023</v>
      </c>
      <c r="E3004" t="s">
        <v>17024</v>
      </c>
      <c r="G3004" t="s">
        <v>17025</v>
      </c>
      <c r="H3004" t="s">
        <v>17026</v>
      </c>
      <c r="J3004" t="s">
        <v>17027</v>
      </c>
      <c r="L3004" t="s">
        <v>112</v>
      </c>
      <c r="M3004" t="s">
        <v>113</v>
      </c>
      <c r="R3004" t="s">
        <v>17028</v>
      </c>
      <c r="W3004" t="s">
        <v>17029</v>
      </c>
      <c r="X3004" t="s">
        <v>17030</v>
      </c>
      <c r="Y3004" t="s">
        <v>116</v>
      </c>
      <c r="Z3004" t="s">
        <v>117</v>
      </c>
      <c r="AA3004" t="str">
        <f>"14220-1700"</f>
        <v>14220-1700</v>
      </c>
      <c r="AB3004" t="s">
        <v>118</v>
      </c>
      <c r="AC3004" t="s">
        <v>119</v>
      </c>
      <c r="AD3004" t="s">
        <v>113</v>
      </c>
      <c r="AE3004" t="s">
        <v>120</v>
      </c>
      <c r="AG3004" t="s">
        <v>121</v>
      </c>
    </row>
    <row r="3005" spans="1:33" x14ac:dyDescent="0.25">
      <c r="A3005" t="str">
        <f>"1285862847"</f>
        <v>1285862847</v>
      </c>
      <c r="B3005" t="str">
        <f>"03158692"</f>
        <v>03158692</v>
      </c>
      <c r="C3005" t="s">
        <v>17031</v>
      </c>
      <c r="D3005" t="s">
        <v>17032</v>
      </c>
      <c r="E3005" t="s">
        <v>17033</v>
      </c>
      <c r="G3005" t="s">
        <v>17034</v>
      </c>
      <c r="H3005" t="s">
        <v>6733</v>
      </c>
      <c r="J3005" t="s">
        <v>17035</v>
      </c>
      <c r="L3005" t="s">
        <v>150</v>
      </c>
      <c r="M3005" t="s">
        <v>199</v>
      </c>
      <c r="R3005" t="s">
        <v>17036</v>
      </c>
      <c r="W3005" t="s">
        <v>17037</v>
      </c>
      <c r="X3005" t="s">
        <v>855</v>
      </c>
      <c r="Y3005" t="s">
        <v>116</v>
      </c>
      <c r="Z3005" t="s">
        <v>117</v>
      </c>
      <c r="AA3005" t="str">
        <f>"14213-1573"</f>
        <v>14213-1573</v>
      </c>
      <c r="AB3005" t="s">
        <v>118</v>
      </c>
      <c r="AC3005" t="s">
        <v>119</v>
      </c>
      <c r="AD3005" t="s">
        <v>113</v>
      </c>
      <c r="AE3005" t="s">
        <v>120</v>
      </c>
      <c r="AG3005" t="s">
        <v>121</v>
      </c>
    </row>
    <row r="3006" spans="1:33" x14ac:dyDescent="0.25">
      <c r="A3006" t="str">
        <f>"1285876136"</f>
        <v>1285876136</v>
      </c>
      <c r="B3006" t="str">
        <f>"03099603"</f>
        <v>03099603</v>
      </c>
      <c r="C3006" t="s">
        <v>17038</v>
      </c>
      <c r="D3006" t="s">
        <v>17039</v>
      </c>
      <c r="E3006" t="s">
        <v>17040</v>
      </c>
      <c r="G3006" t="s">
        <v>17041</v>
      </c>
      <c r="H3006" t="s">
        <v>213</v>
      </c>
      <c r="J3006" t="s">
        <v>17042</v>
      </c>
      <c r="L3006" t="s">
        <v>112</v>
      </c>
      <c r="M3006" t="s">
        <v>199</v>
      </c>
      <c r="R3006" t="s">
        <v>17040</v>
      </c>
      <c r="W3006" t="s">
        <v>17043</v>
      </c>
      <c r="X3006" t="s">
        <v>216</v>
      </c>
      <c r="Y3006" t="s">
        <v>116</v>
      </c>
      <c r="Z3006" t="s">
        <v>117</v>
      </c>
      <c r="AA3006" t="str">
        <f>"14222-2006"</f>
        <v>14222-2006</v>
      </c>
      <c r="AB3006" t="s">
        <v>118</v>
      </c>
      <c r="AC3006" t="s">
        <v>119</v>
      </c>
      <c r="AD3006" t="s">
        <v>113</v>
      </c>
      <c r="AE3006" t="s">
        <v>120</v>
      </c>
      <c r="AG3006" t="s">
        <v>121</v>
      </c>
    </row>
    <row r="3007" spans="1:33" x14ac:dyDescent="0.25">
      <c r="A3007" t="str">
        <f>"1285877050"</f>
        <v>1285877050</v>
      </c>
      <c r="B3007" t="str">
        <f>"03476597"</f>
        <v>03476597</v>
      </c>
      <c r="C3007" t="s">
        <v>17044</v>
      </c>
      <c r="D3007" t="s">
        <v>17045</v>
      </c>
      <c r="E3007" t="s">
        <v>17046</v>
      </c>
      <c r="G3007" t="s">
        <v>17044</v>
      </c>
      <c r="J3007" t="s">
        <v>17047</v>
      </c>
      <c r="L3007" t="s">
        <v>150</v>
      </c>
      <c r="M3007" t="s">
        <v>113</v>
      </c>
      <c r="R3007" t="s">
        <v>17048</v>
      </c>
      <c r="W3007" t="s">
        <v>17046</v>
      </c>
      <c r="X3007" t="s">
        <v>17049</v>
      </c>
      <c r="Y3007" t="s">
        <v>240</v>
      </c>
      <c r="Z3007" t="s">
        <v>117</v>
      </c>
      <c r="AA3007" t="str">
        <f>"14221-5967"</f>
        <v>14221-5967</v>
      </c>
      <c r="AB3007" t="s">
        <v>118</v>
      </c>
      <c r="AC3007" t="s">
        <v>119</v>
      </c>
      <c r="AD3007" t="s">
        <v>113</v>
      </c>
      <c r="AE3007" t="s">
        <v>120</v>
      </c>
      <c r="AG3007" t="s">
        <v>121</v>
      </c>
    </row>
    <row r="3008" spans="1:33" x14ac:dyDescent="0.25">
      <c r="A3008" t="str">
        <f>"1285877522"</f>
        <v>1285877522</v>
      </c>
      <c r="B3008" t="str">
        <f>"03585926"</f>
        <v>03585926</v>
      </c>
      <c r="C3008" t="s">
        <v>17050</v>
      </c>
      <c r="D3008" t="s">
        <v>17051</v>
      </c>
      <c r="E3008" t="s">
        <v>17052</v>
      </c>
      <c r="G3008" t="s">
        <v>17050</v>
      </c>
      <c r="J3008" t="s">
        <v>17053</v>
      </c>
      <c r="L3008" t="s">
        <v>142</v>
      </c>
      <c r="M3008" t="s">
        <v>113</v>
      </c>
      <c r="R3008" t="s">
        <v>17054</v>
      </c>
      <c r="W3008" t="s">
        <v>17052</v>
      </c>
      <c r="X3008" t="s">
        <v>253</v>
      </c>
      <c r="Y3008" t="s">
        <v>116</v>
      </c>
      <c r="Z3008" t="s">
        <v>117</v>
      </c>
      <c r="AA3008" t="str">
        <f>"14215-3021"</f>
        <v>14215-3021</v>
      </c>
      <c r="AB3008" t="s">
        <v>118</v>
      </c>
      <c r="AC3008" t="s">
        <v>119</v>
      </c>
      <c r="AD3008" t="s">
        <v>113</v>
      </c>
      <c r="AE3008" t="s">
        <v>120</v>
      </c>
      <c r="AG3008" t="s">
        <v>121</v>
      </c>
    </row>
    <row r="3009" spans="1:33" x14ac:dyDescent="0.25">
      <c r="A3009" t="str">
        <f>"1285890939"</f>
        <v>1285890939</v>
      </c>
      <c r="B3009" t="str">
        <f>"03412388"</f>
        <v>03412388</v>
      </c>
      <c r="C3009" t="s">
        <v>17055</v>
      </c>
      <c r="D3009" t="s">
        <v>17056</v>
      </c>
      <c r="E3009" t="s">
        <v>17057</v>
      </c>
      <c r="G3009" t="s">
        <v>17058</v>
      </c>
      <c r="H3009" t="s">
        <v>17059</v>
      </c>
      <c r="J3009" t="s">
        <v>17060</v>
      </c>
      <c r="L3009" t="s">
        <v>150</v>
      </c>
      <c r="M3009" t="s">
        <v>199</v>
      </c>
      <c r="R3009" t="s">
        <v>17061</v>
      </c>
      <c r="W3009" t="s">
        <v>17057</v>
      </c>
      <c r="X3009" t="s">
        <v>10061</v>
      </c>
      <c r="Y3009" t="s">
        <v>958</v>
      </c>
      <c r="Z3009" t="s">
        <v>117</v>
      </c>
      <c r="AA3009" t="str">
        <f>"14226-1018"</f>
        <v>14226-1018</v>
      </c>
      <c r="AB3009" t="s">
        <v>118</v>
      </c>
      <c r="AC3009" t="s">
        <v>119</v>
      </c>
      <c r="AD3009" t="s">
        <v>113</v>
      </c>
      <c r="AE3009" t="s">
        <v>120</v>
      </c>
      <c r="AG3009" t="s">
        <v>121</v>
      </c>
    </row>
    <row r="3010" spans="1:33" x14ac:dyDescent="0.25">
      <c r="A3010" t="str">
        <f>"1285894907"</f>
        <v>1285894907</v>
      </c>
      <c r="B3010" t="str">
        <f>"03923475"</f>
        <v>03923475</v>
      </c>
      <c r="C3010" t="s">
        <v>17062</v>
      </c>
      <c r="D3010" t="s">
        <v>17063</v>
      </c>
      <c r="E3010" t="s">
        <v>17064</v>
      </c>
      <c r="G3010" t="s">
        <v>17065</v>
      </c>
      <c r="H3010" t="s">
        <v>17066</v>
      </c>
      <c r="J3010" t="s">
        <v>17067</v>
      </c>
      <c r="L3010" t="s">
        <v>112</v>
      </c>
      <c r="M3010" t="s">
        <v>113</v>
      </c>
      <c r="R3010" t="s">
        <v>17068</v>
      </c>
      <c r="W3010" t="s">
        <v>17069</v>
      </c>
      <c r="X3010" t="s">
        <v>216</v>
      </c>
      <c r="Y3010" t="s">
        <v>116</v>
      </c>
      <c r="Z3010" t="s">
        <v>117</v>
      </c>
      <c r="AA3010" t="str">
        <f>"14222-2006"</f>
        <v>14222-2006</v>
      </c>
      <c r="AB3010" t="s">
        <v>118</v>
      </c>
      <c r="AC3010" t="s">
        <v>119</v>
      </c>
      <c r="AD3010" t="s">
        <v>113</v>
      </c>
      <c r="AE3010" t="s">
        <v>120</v>
      </c>
      <c r="AG3010" t="s">
        <v>121</v>
      </c>
    </row>
    <row r="3011" spans="1:33" x14ac:dyDescent="0.25">
      <c r="A3011" t="str">
        <f>"1679698286"</f>
        <v>1679698286</v>
      </c>
      <c r="B3011" t="str">
        <f>"02996876"</f>
        <v>02996876</v>
      </c>
      <c r="C3011" t="s">
        <v>8462</v>
      </c>
      <c r="D3011" t="s">
        <v>8463</v>
      </c>
      <c r="E3011" t="s">
        <v>8464</v>
      </c>
      <c r="H3011" t="s">
        <v>8465</v>
      </c>
      <c r="L3011" t="s">
        <v>2585</v>
      </c>
      <c r="M3011" t="s">
        <v>199</v>
      </c>
      <c r="R3011" t="s">
        <v>8462</v>
      </c>
      <c r="W3011" t="s">
        <v>8466</v>
      </c>
      <c r="X3011" t="s">
        <v>8467</v>
      </c>
      <c r="Y3011" t="s">
        <v>116</v>
      </c>
      <c r="Z3011" t="s">
        <v>117</v>
      </c>
      <c r="AA3011" t="str">
        <f>"14213-1503"</f>
        <v>14213-1503</v>
      </c>
      <c r="AB3011" t="s">
        <v>1460</v>
      </c>
      <c r="AC3011" t="s">
        <v>119</v>
      </c>
      <c r="AD3011" t="s">
        <v>113</v>
      </c>
      <c r="AE3011" t="s">
        <v>120</v>
      </c>
      <c r="AG3011" t="s">
        <v>121</v>
      </c>
    </row>
    <row r="3012" spans="1:33" x14ac:dyDescent="0.25">
      <c r="A3012" t="str">
        <f>"1285912378"</f>
        <v>1285912378</v>
      </c>
      <c r="B3012" t="str">
        <f>"04170861"</f>
        <v>04170861</v>
      </c>
      <c r="C3012" t="s">
        <v>17077</v>
      </c>
      <c r="D3012" t="s">
        <v>17078</v>
      </c>
      <c r="E3012" t="s">
        <v>17079</v>
      </c>
      <c r="G3012" t="s">
        <v>17077</v>
      </c>
      <c r="J3012" t="s">
        <v>438</v>
      </c>
      <c r="L3012" t="s">
        <v>112</v>
      </c>
      <c r="M3012" t="s">
        <v>113</v>
      </c>
      <c r="R3012" t="s">
        <v>17080</v>
      </c>
      <c r="W3012" t="s">
        <v>17079</v>
      </c>
      <c r="X3012" t="s">
        <v>1218</v>
      </c>
      <c r="Y3012" t="s">
        <v>318</v>
      </c>
      <c r="Z3012" t="s">
        <v>117</v>
      </c>
      <c r="AA3012" t="str">
        <f>"14225-4985"</f>
        <v>14225-4985</v>
      </c>
      <c r="AB3012" t="s">
        <v>621</v>
      </c>
      <c r="AC3012" t="s">
        <v>119</v>
      </c>
      <c r="AD3012" t="s">
        <v>113</v>
      </c>
      <c r="AE3012" t="s">
        <v>120</v>
      </c>
      <c r="AG3012" t="s">
        <v>121</v>
      </c>
    </row>
    <row r="3013" spans="1:33" x14ac:dyDescent="0.25">
      <c r="A3013" t="str">
        <f>"1285934828"</f>
        <v>1285934828</v>
      </c>
      <c r="C3013" t="s">
        <v>17081</v>
      </c>
      <c r="G3013" t="s">
        <v>17082</v>
      </c>
      <c r="H3013" t="s">
        <v>471</v>
      </c>
      <c r="J3013" t="s">
        <v>17083</v>
      </c>
      <c r="K3013" t="s">
        <v>303</v>
      </c>
      <c r="L3013" t="s">
        <v>112</v>
      </c>
      <c r="M3013" t="s">
        <v>113</v>
      </c>
      <c r="R3013" t="s">
        <v>17084</v>
      </c>
      <c r="S3013" t="s">
        <v>474</v>
      </c>
      <c r="T3013" t="s">
        <v>116</v>
      </c>
      <c r="U3013" t="s">
        <v>117</v>
      </c>
      <c r="V3013" t="str">
        <f>"142141316"</f>
        <v>142141316</v>
      </c>
      <c r="AC3013" t="s">
        <v>119</v>
      </c>
      <c r="AD3013" t="s">
        <v>113</v>
      </c>
      <c r="AE3013" t="s">
        <v>306</v>
      </c>
      <c r="AG3013" t="s">
        <v>121</v>
      </c>
    </row>
    <row r="3014" spans="1:33" x14ac:dyDescent="0.25">
      <c r="A3014" t="str">
        <f>"1285938019"</f>
        <v>1285938019</v>
      </c>
      <c r="C3014" t="s">
        <v>17085</v>
      </c>
      <c r="G3014" t="s">
        <v>17086</v>
      </c>
      <c r="J3014" t="s">
        <v>352</v>
      </c>
      <c r="K3014" t="s">
        <v>303</v>
      </c>
      <c r="L3014" t="s">
        <v>229</v>
      </c>
      <c r="M3014" t="s">
        <v>113</v>
      </c>
      <c r="R3014" t="s">
        <v>17087</v>
      </c>
      <c r="S3014" t="s">
        <v>1922</v>
      </c>
      <c r="T3014" t="s">
        <v>268</v>
      </c>
      <c r="U3014" t="s">
        <v>117</v>
      </c>
      <c r="V3014" t="str">
        <f>"141508441"</f>
        <v>141508441</v>
      </c>
      <c r="AC3014" t="s">
        <v>119</v>
      </c>
      <c r="AD3014" t="s">
        <v>113</v>
      </c>
      <c r="AE3014" t="s">
        <v>306</v>
      </c>
      <c r="AG3014" t="s">
        <v>121</v>
      </c>
    </row>
    <row r="3015" spans="1:33" x14ac:dyDescent="0.25">
      <c r="A3015" t="str">
        <f>"1053471250"</f>
        <v>1053471250</v>
      </c>
      <c r="B3015" t="str">
        <f>"03538630"</f>
        <v>03538630</v>
      </c>
      <c r="C3015" t="s">
        <v>17088</v>
      </c>
      <c r="D3015" t="s">
        <v>17089</v>
      </c>
      <c r="E3015" t="s">
        <v>17090</v>
      </c>
      <c r="G3015" t="s">
        <v>17088</v>
      </c>
      <c r="H3015" t="s">
        <v>17091</v>
      </c>
      <c r="J3015" t="s">
        <v>17092</v>
      </c>
      <c r="L3015" t="s">
        <v>142</v>
      </c>
      <c r="M3015" t="s">
        <v>113</v>
      </c>
      <c r="R3015" t="s">
        <v>17093</v>
      </c>
      <c r="W3015" t="s">
        <v>17090</v>
      </c>
      <c r="X3015" t="s">
        <v>17094</v>
      </c>
      <c r="Y3015" t="s">
        <v>17095</v>
      </c>
      <c r="Z3015" t="s">
        <v>117</v>
      </c>
      <c r="AA3015" t="str">
        <f>"10595-1652"</f>
        <v>10595-1652</v>
      </c>
      <c r="AB3015" t="s">
        <v>118</v>
      </c>
      <c r="AC3015" t="s">
        <v>119</v>
      </c>
      <c r="AD3015" t="s">
        <v>113</v>
      </c>
      <c r="AE3015" t="s">
        <v>120</v>
      </c>
      <c r="AG3015" t="s">
        <v>121</v>
      </c>
    </row>
    <row r="3016" spans="1:33" x14ac:dyDescent="0.25">
      <c r="A3016" t="str">
        <f>"1184956310"</f>
        <v>1184956310</v>
      </c>
      <c r="B3016" t="str">
        <f>"03499061"</f>
        <v>03499061</v>
      </c>
      <c r="C3016" t="s">
        <v>17096</v>
      </c>
      <c r="D3016" t="s">
        <v>17097</v>
      </c>
      <c r="E3016" t="s">
        <v>17098</v>
      </c>
      <c r="G3016" t="s">
        <v>4593</v>
      </c>
      <c r="H3016" t="s">
        <v>4594</v>
      </c>
      <c r="J3016" t="s">
        <v>4595</v>
      </c>
      <c r="L3016" t="s">
        <v>150</v>
      </c>
      <c r="M3016" t="s">
        <v>113</v>
      </c>
      <c r="R3016" t="s">
        <v>17099</v>
      </c>
      <c r="W3016" t="s">
        <v>17098</v>
      </c>
      <c r="X3016" t="s">
        <v>518</v>
      </c>
      <c r="Y3016" t="s">
        <v>305</v>
      </c>
      <c r="Z3016" t="s">
        <v>117</v>
      </c>
      <c r="AA3016" t="str">
        <f>"14760-1500"</f>
        <v>14760-1500</v>
      </c>
      <c r="AB3016" t="s">
        <v>118</v>
      </c>
      <c r="AC3016" t="s">
        <v>119</v>
      </c>
      <c r="AD3016" t="s">
        <v>113</v>
      </c>
      <c r="AE3016" t="s">
        <v>120</v>
      </c>
      <c r="AG3016" t="s">
        <v>121</v>
      </c>
    </row>
    <row r="3017" spans="1:33" x14ac:dyDescent="0.25">
      <c r="A3017" t="str">
        <f>"1194019703"</f>
        <v>1194019703</v>
      </c>
      <c r="B3017" t="str">
        <f>"03359946"</f>
        <v>03359946</v>
      </c>
      <c r="C3017" t="s">
        <v>17100</v>
      </c>
      <c r="D3017" t="s">
        <v>17101</v>
      </c>
      <c r="E3017" t="s">
        <v>17102</v>
      </c>
      <c r="G3017" t="s">
        <v>17103</v>
      </c>
      <c r="H3017" t="s">
        <v>1724</v>
      </c>
      <c r="J3017" t="s">
        <v>17104</v>
      </c>
      <c r="L3017" t="s">
        <v>142</v>
      </c>
      <c r="M3017" t="s">
        <v>113</v>
      </c>
      <c r="R3017" t="s">
        <v>17105</v>
      </c>
      <c r="W3017" t="s">
        <v>17106</v>
      </c>
      <c r="X3017" t="s">
        <v>1727</v>
      </c>
      <c r="Y3017" t="s">
        <v>192</v>
      </c>
      <c r="Z3017" t="s">
        <v>117</v>
      </c>
      <c r="AA3017" t="str">
        <f>"14020-1631"</f>
        <v>14020-1631</v>
      </c>
      <c r="AB3017" t="s">
        <v>118</v>
      </c>
      <c r="AC3017" t="s">
        <v>119</v>
      </c>
      <c r="AD3017" t="s">
        <v>113</v>
      </c>
      <c r="AE3017" t="s">
        <v>120</v>
      </c>
      <c r="AG3017" t="s">
        <v>121</v>
      </c>
    </row>
    <row r="3018" spans="1:33" x14ac:dyDescent="0.25">
      <c r="A3018" t="str">
        <f>"1194038661"</f>
        <v>1194038661</v>
      </c>
      <c r="B3018" t="str">
        <f>"03258188"</f>
        <v>03258188</v>
      </c>
      <c r="C3018" t="s">
        <v>17107</v>
      </c>
      <c r="D3018" t="s">
        <v>17108</v>
      </c>
      <c r="E3018" t="s">
        <v>17109</v>
      </c>
      <c r="G3018" t="s">
        <v>17110</v>
      </c>
      <c r="H3018" t="s">
        <v>17111</v>
      </c>
      <c r="J3018" t="s">
        <v>17112</v>
      </c>
      <c r="L3018" t="s">
        <v>142</v>
      </c>
      <c r="M3018" t="s">
        <v>113</v>
      </c>
      <c r="R3018" t="s">
        <v>17113</v>
      </c>
      <c r="W3018" t="s">
        <v>17109</v>
      </c>
      <c r="X3018" t="s">
        <v>6289</v>
      </c>
      <c r="Y3018" t="s">
        <v>240</v>
      </c>
      <c r="Z3018" t="s">
        <v>117</v>
      </c>
      <c r="AA3018" t="str">
        <f>"14221-8216"</f>
        <v>14221-8216</v>
      </c>
      <c r="AB3018" t="s">
        <v>118</v>
      </c>
      <c r="AC3018" t="s">
        <v>119</v>
      </c>
      <c r="AD3018" t="s">
        <v>113</v>
      </c>
      <c r="AE3018" t="s">
        <v>120</v>
      </c>
      <c r="AG3018" t="s">
        <v>121</v>
      </c>
    </row>
    <row r="3019" spans="1:33" x14ac:dyDescent="0.25">
      <c r="A3019" t="str">
        <f>"1194041673"</f>
        <v>1194041673</v>
      </c>
      <c r="C3019" t="s">
        <v>17114</v>
      </c>
      <c r="G3019" t="s">
        <v>17115</v>
      </c>
      <c r="H3019" t="s">
        <v>7991</v>
      </c>
      <c r="J3019" t="s">
        <v>17116</v>
      </c>
      <c r="K3019" t="s">
        <v>303</v>
      </c>
      <c r="L3019" t="s">
        <v>229</v>
      </c>
      <c r="M3019" t="s">
        <v>113</v>
      </c>
      <c r="R3019" t="s">
        <v>17117</v>
      </c>
      <c r="S3019" t="s">
        <v>1709</v>
      </c>
      <c r="T3019" t="s">
        <v>116</v>
      </c>
      <c r="U3019" t="s">
        <v>117</v>
      </c>
      <c r="V3019" t="str">
        <f>"142131207"</f>
        <v>142131207</v>
      </c>
      <c r="AC3019" t="s">
        <v>119</v>
      </c>
      <c r="AD3019" t="s">
        <v>113</v>
      </c>
      <c r="AE3019" t="s">
        <v>306</v>
      </c>
      <c r="AG3019" t="s">
        <v>121</v>
      </c>
    </row>
    <row r="3020" spans="1:33" x14ac:dyDescent="0.25">
      <c r="A3020" t="str">
        <f>"1194042416"</f>
        <v>1194042416</v>
      </c>
      <c r="B3020" t="str">
        <f>"03880600"</f>
        <v>03880600</v>
      </c>
      <c r="C3020" t="s">
        <v>17118</v>
      </c>
      <c r="D3020" t="s">
        <v>17119</v>
      </c>
      <c r="E3020" t="s">
        <v>17120</v>
      </c>
      <c r="G3020" t="s">
        <v>17118</v>
      </c>
      <c r="H3020" t="s">
        <v>17121</v>
      </c>
      <c r="J3020" t="s">
        <v>17122</v>
      </c>
      <c r="L3020" t="s">
        <v>229</v>
      </c>
      <c r="M3020" t="s">
        <v>113</v>
      </c>
      <c r="R3020" t="s">
        <v>17123</v>
      </c>
      <c r="W3020" t="s">
        <v>17120</v>
      </c>
      <c r="X3020" t="s">
        <v>216</v>
      </c>
      <c r="Y3020" t="s">
        <v>116</v>
      </c>
      <c r="Z3020" t="s">
        <v>117</v>
      </c>
      <c r="AA3020" t="str">
        <f>"14222-2006"</f>
        <v>14222-2006</v>
      </c>
      <c r="AB3020" t="s">
        <v>118</v>
      </c>
      <c r="AC3020" t="s">
        <v>119</v>
      </c>
      <c r="AD3020" t="s">
        <v>113</v>
      </c>
      <c r="AE3020" t="s">
        <v>120</v>
      </c>
      <c r="AG3020" t="s">
        <v>121</v>
      </c>
    </row>
    <row r="3021" spans="1:33" x14ac:dyDescent="0.25">
      <c r="A3021" t="str">
        <f>"1194042804"</f>
        <v>1194042804</v>
      </c>
      <c r="C3021" t="s">
        <v>17124</v>
      </c>
      <c r="G3021" t="s">
        <v>17124</v>
      </c>
      <c r="H3021" t="s">
        <v>9944</v>
      </c>
      <c r="J3021" t="s">
        <v>17125</v>
      </c>
      <c r="K3021" t="s">
        <v>303</v>
      </c>
      <c r="L3021" t="s">
        <v>229</v>
      </c>
      <c r="M3021" t="s">
        <v>113</v>
      </c>
      <c r="R3021" t="s">
        <v>17126</v>
      </c>
      <c r="S3021" t="s">
        <v>1709</v>
      </c>
      <c r="T3021" t="s">
        <v>116</v>
      </c>
      <c r="U3021" t="s">
        <v>117</v>
      </c>
      <c r="V3021" t="str">
        <f>"142131207"</f>
        <v>142131207</v>
      </c>
      <c r="AC3021" t="s">
        <v>119</v>
      </c>
      <c r="AD3021" t="s">
        <v>113</v>
      </c>
      <c r="AE3021" t="s">
        <v>306</v>
      </c>
      <c r="AG3021" t="s">
        <v>121</v>
      </c>
    </row>
    <row r="3022" spans="1:33" x14ac:dyDescent="0.25">
      <c r="A3022" t="str">
        <f>"1194152561"</f>
        <v>1194152561</v>
      </c>
      <c r="C3022" t="s">
        <v>17127</v>
      </c>
      <c r="G3022" t="s">
        <v>17128</v>
      </c>
      <c r="H3022" t="s">
        <v>351</v>
      </c>
      <c r="J3022" t="s">
        <v>352</v>
      </c>
      <c r="K3022" t="s">
        <v>303</v>
      </c>
      <c r="L3022" t="s">
        <v>229</v>
      </c>
      <c r="M3022" t="s">
        <v>113</v>
      </c>
      <c r="R3022" t="s">
        <v>17129</v>
      </c>
      <c r="S3022" t="s">
        <v>354</v>
      </c>
      <c r="T3022" t="s">
        <v>116</v>
      </c>
      <c r="U3022" t="s">
        <v>117</v>
      </c>
      <c r="V3022" t="str">
        <f>"142152814"</f>
        <v>142152814</v>
      </c>
      <c r="AC3022" t="s">
        <v>119</v>
      </c>
      <c r="AD3022" t="s">
        <v>113</v>
      </c>
      <c r="AE3022" t="s">
        <v>306</v>
      </c>
      <c r="AG3022" t="s">
        <v>121</v>
      </c>
    </row>
    <row r="3023" spans="1:33" x14ac:dyDescent="0.25">
      <c r="A3023" t="str">
        <f>"1306253828"</f>
        <v>1306253828</v>
      </c>
      <c r="B3023" t="str">
        <f>"03957893"</f>
        <v>03957893</v>
      </c>
      <c r="C3023" t="s">
        <v>17130</v>
      </c>
      <c r="D3023" t="s">
        <v>17131</v>
      </c>
      <c r="E3023" t="s">
        <v>17132</v>
      </c>
      <c r="G3023" t="s">
        <v>17130</v>
      </c>
      <c r="J3023" t="s">
        <v>17133</v>
      </c>
      <c r="L3023" t="s">
        <v>112</v>
      </c>
      <c r="M3023" t="s">
        <v>113</v>
      </c>
      <c r="R3023" t="s">
        <v>17134</v>
      </c>
      <c r="W3023" t="s">
        <v>17132</v>
      </c>
      <c r="X3023" t="s">
        <v>253</v>
      </c>
      <c r="Y3023" t="s">
        <v>116</v>
      </c>
      <c r="Z3023" t="s">
        <v>117</v>
      </c>
      <c r="AA3023" t="str">
        <f>"14215-3021"</f>
        <v>14215-3021</v>
      </c>
      <c r="AB3023" t="s">
        <v>118</v>
      </c>
      <c r="AC3023" t="s">
        <v>119</v>
      </c>
      <c r="AD3023" t="s">
        <v>113</v>
      </c>
      <c r="AE3023" t="s">
        <v>120</v>
      </c>
      <c r="AG3023" t="s">
        <v>121</v>
      </c>
    </row>
    <row r="3024" spans="1:33" x14ac:dyDescent="0.25">
      <c r="A3024" t="str">
        <f>"1306255062"</f>
        <v>1306255062</v>
      </c>
      <c r="B3024" t="str">
        <f>"03920725"</f>
        <v>03920725</v>
      </c>
      <c r="C3024" t="s">
        <v>17135</v>
      </c>
      <c r="D3024" t="s">
        <v>17136</v>
      </c>
      <c r="E3024" t="s">
        <v>17137</v>
      </c>
      <c r="G3024" t="s">
        <v>17138</v>
      </c>
      <c r="H3024" t="s">
        <v>17139</v>
      </c>
      <c r="J3024" t="s">
        <v>17140</v>
      </c>
      <c r="L3024" t="s">
        <v>112</v>
      </c>
      <c r="M3024" t="s">
        <v>113</v>
      </c>
      <c r="R3024" t="s">
        <v>17137</v>
      </c>
      <c r="W3024" t="s">
        <v>17141</v>
      </c>
      <c r="X3024" t="s">
        <v>176</v>
      </c>
      <c r="Y3024" t="s">
        <v>116</v>
      </c>
      <c r="Z3024" t="s">
        <v>117</v>
      </c>
      <c r="AA3024" t="str">
        <f>"14203-1126"</f>
        <v>14203-1126</v>
      </c>
      <c r="AB3024" t="s">
        <v>118</v>
      </c>
      <c r="AC3024" t="s">
        <v>119</v>
      </c>
      <c r="AD3024" t="s">
        <v>113</v>
      </c>
      <c r="AE3024" t="s">
        <v>120</v>
      </c>
      <c r="AG3024" t="s">
        <v>121</v>
      </c>
    </row>
    <row r="3025" spans="1:33" x14ac:dyDescent="0.25">
      <c r="A3025" t="str">
        <f>"1306264502"</f>
        <v>1306264502</v>
      </c>
      <c r="C3025" t="s">
        <v>17142</v>
      </c>
      <c r="G3025" t="s">
        <v>17143</v>
      </c>
      <c r="H3025" t="s">
        <v>351</v>
      </c>
      <c r="J3025" t="s">
        <v>352</v>
      </c>
      <c r="K3025" t="s">
        <v>303</v>
      </c>
      <c r="L3025" t="s">
        <v>229</v>
      </c>
      <c r="M3025" t="s">
        <v>113</v>
      </c>
      <c r="R3025" t="s">
        <v>17144</v>
      </c>
      <c r="S3025" t="s">
        <v>354</v>
      </c>
      <c r="T3025" t="s">
        <v>116</v>
      </c>
      <c r="U3025" t="s">
        <v>117</v>
      </c>
      <c r="V3025" t="str">
        <f>"142152814"</f>
        <v>142152814</v>
      </c>
      <c r="AC3025" t="s">
        <v>119</v>
      </c>
      <c r="AD3025" t="s">
        <v>113</v>
      </c>
      <c r="AE3025" t="s">
        <v>306</v>
      </c>
      <c r="AG3025" t="s">
        <v>121</v>
      </c>
    </row>
    <row r="3026" spans="1:33" x14ac:dyDescent="0.25">
      <c r="A3026" t="str">
        <f>"1316117617"</f>
        <v>1316117617</v>
      </c>
      <c r="B3026" t="str">
        <f>"02978898"</f>
        <v>02978898</v>
      </c>
      <c r="C3026" t="s">
        <v>17145</v>
      </c>
      <c r="D3026" t="s">
        <v>17146</v>
      </c>
      <c r="E3026" t="s">
        <v>17147</v>
      </c>
      <c r="G3026" t="s">
        <v>859</v>
      </c>
      <c r="H3026" t="s">
        <v>5624</v>
      </c>
      <c r="J3026" t="s">
        <v>861</v>
      </c>
      <c r="L3026" t="s">
        <v>150</v>
      </c>
      <c r="M3026" t="s">
        <v>113</v>
      </c>
      <c r="R3026" t="s">
        <v>17148</v>
      </c>
      <c r="W3026" t="s">
        <v>17149</v>
      </c>
      <c r="X3026" t="s">
        <v>176</v>
      </c>
      <c r="Y3026" t="s">
        <v>116</v>
      </c>
      <c r="Z3026" t="s">
        <v>117</v>
      </c>
      <c r="AA3026" t="str">
        <f>"14203-1126"</f>
        <v>14203-1126</v>
      </c>
      <c r="AB3026" t="s">
        <v>118</v>
      </c>
      <c r="AC3026" t="s">
        <v>119</v>
      </c>
      <c r="AD3026" t="s">
        <v>113</v>
      </c>
      <c r="AE3026" t="s">
        <v>120</v>
      </c>
      <c r="AG3026" t="s">
        <v>121</v>
      </c>
    </row>
    <row r="3027" spans="1:33" x14ac:dyDescent="0.25">
      <c r="A3027" t="str">
        <f>"1083853428"</f>
        <v>1083853428</v>
      </c>
      <c r="B3027" t="str">
        <f>"03657605"</f>
        <v>03657605</v>
      </c>
      <c r="C3027" t="s">
        <v>17150</v>
      </c>
      <c r="D3027" t="s">
        <v>17151</v>
      </c>
      <c r="E3027" t="s">
        <v>17152</v>
      </c>
      <c r="G3027" t="s">
        <v>17150</v>
      </c>
      <c r="H3027" t="s">
        <v>17153</v>
      </c>
      <c r="J3027" t="s">
        <v>17154</v>
      </c>
      <c r="L3027" t="s">
        <v>142</v>
      </c>
      <c r="M3027" t="s">
        <v>113</v>
      </c>
      <c r="R3027" t="s">
        <v>17155</v>
      </c>
      <c r="W3027" t="s">
        <v>17152</v>
      </c>
      <c r="X3027" t="s">
        <v>176</v>
      </c>
      <c r="Y3027" t="s">
        <v>116</v>
      </c>
      <c r="Z3027" t="s">
        <v>117</v>
      </c>
      <c r="AA3027" t="str">
        <f>"14203-1126"</f>
        <v>14203-1126</v>
      </c>
      <c r="AB3027" t="s">
        <v>118</v>
      </c>
      <c r="AC3027" t="s">
        <v>119</v>
      </c>
      <c r="AD3027" t="s">
        <v>113</v>
      </c>
      <c r="AE3027" t="s">
        <v>120</v>
      </c>
      <c r="AG3027" t="s">
        <v>121</v>
      </c>
    </row>
    <row r="3028" spans="1:33" x14ac:dyDescent="0.25">
      <c r="A3028" t="str">
        <f>"1083863732"</f>
        <v>1083863732</v>
      </c>
      <c r="C3028" t="s">
        <v>17156</v>
      </c>
      <c r="G3028" t="s">
        <v>17156</v>
      </c>
      <c r="H3028" t="s">
        <v>17157</v>
      </c>
      <c r="J3028" t="s">
        <v>17158</v>
      </c>
      <c r="K3028" t="s">
        <v>303</v>
      </c>
      <c r="L3028" t="s">
        <v>229</v>
      </c>
      <c r="M3028" t="s">
        <v>113</v>
      </c>
      <c r="R3028" t="s">
        <v>17159</v>
      </c>
      <c r="S3028" t="s">
        <v>17160</v>
      </c>
      <c r="T3028" t="s">
        <v>5052</v>
      </c>
      <c r="U3028" t="s">
        <v>3534</v>
      </c>
      <c r="V3028" t="str">
        <f>"770302761"</f>
        <v>770302761</v>
      </c>
      <c r="AC3028" t="s">
        <v>119</v>
      </c>
      <c r="AD3028" t="s">
        <v>113</v>
      </c>
      <c r="AE3028" t="s">
        <v>306</v>
      </c>
      <c r="AG3028" t="s">
        <v>121</v>
      </c>
    </row>
    <row r="3029" spans="1:33" x14ac:dyDescent="0.25">
      <c r="A3029" t="str">
        <f>"1083875843"</f>
        <v>1083875843</v>
      </c>
      <c r="B3029" t="str">
        <f>"02429243"</f>
        <v>02429243</v>
      </c>
      <c r="C3029" t="s">
        <v>17161</v>
      </c>
      <c r="D3029" t="s">
        <v>17162</v>
      </c>
      <c r="E3029" t="s">
        <v>17163</v>
      </c>
      <c r="G3029" t="s">
        <v>17164</v>
      </c>
      <c r="H3029" t="s">
        <v>17165</v>
      </c>
      <c r="J3029" t="s">
        <v>17166</v>
      </c>
      <c r="L3029" t="s">
        <v>112</v>
      </c>
      <c r="M3029" t="s">
        <v>113</v>
      </c>
      <c r="R3029" t="s">
        <v>17167</v>
      </c>
      <c r="W3029" t="s">
        <v>17168</v>
      </c>
      <c r="X3029" t="s">
        <v>176</v>
      </c>
      <c r="Y3029" t="s">
        <v>116</v>
      </c>
      <c r="Z3029" t="s">
        <v>117</v>
      </c>
      <c r="AA3029" t="str">
        <f>"14203-1126"</f>
        <v>14203-1126</v>
      </c>
      <c r="AB3029" t="s">
        <v>118</v>
      </c>
      <c r="AC3029" t="s">
        <v>119</v>
      </c>
      <c r="AD3029" t="s">
        <v>113</v>
      </c>
      <c r="AE3029" t="s">
        <v>120</v>
      </c>
      <c r="AG3029" t="s">
        <v>121</v>
      </c>
    </row>
    <row r="3030" spans="1:33" x14ac:dyDescent="0.25">
      <c r="A3030" t="str">
        <f>"1083926000"</f>
        <v>1083926000</v>
      </c>
      <c r="C3030" t="s">
        <v>17169</v>
      </c>
      <c r="G3030" t="s">
        <v>17170</v>
      </c>
      <c r="H3030" t="s">
        <v>4553</v>
      </c>
      <c r="J3030" t="s">
        <v>17171</v>
      </c>
      <c r="K3030" t="s">
        <v>303</v>
      </c>
      <c r="L3030" t="s">
        <v>112</v>
      </c>
      <c r="M3030" t="s">
        <v>113</v>
      </c>
      <c r="R3030" t="s">
        <v>17172</v>
      </c>
      <c r="S3030" t="s">
        <v>8278</v>
      </c>
      <c r="T3030" t="s">
        <v>116</v>
      </c>
      <c r="U3030" t="s">
        <v>117</v>
      </c>
      <c r="V3030" t="str">
        <f>"142031536"</f>
        <v>142031536</v>
      </c>
      <c r="AC3030" t="s">
        <v>119</v>
      </c>
      <c r="AD3030" t="s">
        <v>113</v>
      </c>
      <c r="AE3030" t="s">
        <v>306</v>
      </c>
      <c r="AG3030" t="s">
        <v>121</v>
      </c>
    </row>
    <row r="3031" spans="1:33" x14ac:dyDescent="0.25">
      <c r="A3031" t="str">
        <f>"1083932461"</f>
        <v>1083932461</v>
      </c>
      <c r="C3031" t="s">
        <v>17173</v>
      </c>
      <c r="G3031" t="s">
        <v>17174</v>
      </c>
      <c r="J3031" t="s">
        <v>352</v>
      </c>
      <c r="K3031" t="s">
        <v>303</v>
      </c>
      <c r="L3031" t="s">
        <v>112</v>
      </c>
      <c r="M3031" t="s">
        <v>113</v>
      </c>
      <c r="R3031" t="s">
        <v>17175</v>
      </c>
      <c r="S3031" t="s">
        <v>1922</v>
      </c>
      <c r="T3031" t="s">
        <v>268</v>
      </c>
      <c r="U3031" t="s">
        <v>117</v>
      </c>
      <c r="V3031" t="str">
        <f>"141508441"</f>
        <v>141508441</v>
      </c>
      <c r="AC3031" t="s">
        <v>119</v>
      </c>
      <c r="AD3031" t="s">
        <v>113</v>
      </c>
      <c r="AE3031" t="s">
        <v>306</v>
      </c>
      <c r="AG3031" t="s">
        <v>121</v>
      </c>
    </row>
    <row r="3032" spans="1:33" x14ac:dyDescent="0.25">
      <c r="A3032" t="str">
        <f>"1083952386"</f>
        <v>1083952386</v>
      </c>
      <c r="C3032" t="s">
        <v>17176</v>
      </c>
      <c r="G3032" t="s">
        <v>17177</v>
      </c>
      <c r="H3032" t="s">
        <v>351</v>
      </c>
      <c r="J3032" t="s">
        <v>352</v>
      </c>
      <c r="K3032" t="s">
        <v>303</v>
      </c>
      <c r="L3032" t="s">
        <v>112</v>
      </c>
      <c r="M3032" t="s">
        <v>113</v>
      </c>
      <c r="R3032" t="s">
        <v>17178</v>
      </c>
      <c r="S3032" t="s">
        <v>354</v>
      </c>
      <c r="T3032" t="s">
        <v>116</v>
      </c>
      <c r="U3032" t="s">
        <v>117</v>
      </c>
      <c r="V3032" t="str">
        <f>"142152814"</f>
        <v>142152814</v>
      </c>
      <c r="AC3032" t="s">
        <v>119</v>
      </c>
      <c r="AD3032" t="s">
        <v>113</v>
      </c>
      <c r="AE3032" t="s">
        <v>306</v>
      </c>
      <c r="AG3032" t="s">
        <v>121</v>
      </c>
    </row>
    <row r="3033" spans="1:33" x14ac:dyDescent="0.25">
      <c r="A3033" t="str">
        <f>"1083970529"</f>
        <v>1083970529</v>
      </c>
      <c r="B3033" t="str">
        <f>"03503899"</f>
        <v>03503899</v>
      </c>
      <c r="C3033" t="s">
        <v>17179</v>
      </c>
      <c r="D3033" t="s">
        <v>17180</v>
      </c>
      <c r="E3033" t="s">
        <v>17181</v>
      </c>
      <c r="G3033" t="s">
        <v>17179</v>
      </c>
      <c r="H3033" t="s">
        <v>17182</v>
      </c>
      <c r="J3033" t="s">
        <v>17183</v>
      </c>
      <c r="L3033" t="s">
        <v>142</v>
      </c>
      <c r="M3033" t="s">
        <v>113</v>
      </c>
      <c r="R3033" t="s">
        <v>17181</v>
      </c>
      <c r="W3033" t="s">
        <v>17181</v>
      </c>
      <c r="X3033" t="s">
        <v>11095</v>
      </c>
      <c r="Y3033" t="s">
        <v>922</v>
      </c>
      <c r="Z3033" t="s">
        <v>117</v>
      </c>
      <c r="AA3033" t="str">
        <f>"14895-1150"</f>
        <v>14895-1150</v>
      </c>
      <c r="AB3033" t="s">
        <v>118</v>
      </c>
      <c r="AC3033" t="s">
        <v>119</v>
      </c>
      <c r="AD3033" t="s">
        <v>113</v>
      </c>
      <c r="AE3033" t="s">
        <v>120</v>
      </c>
      <c r="AG3033" t="s">
        <v>121</v>
      </c>
    </row>
    <row r="3034" spans="1:33" x14ac:dyDescent="0.25">
      <c r="A3034" t="str">
        <f>"1225095201"</f>
        <v>1225095201</v>
      </c>
      <c r="B3034" t="str">
        <f>"02994796"</f>
        <v>02994796</v>
      </c>
      <c r="C3034" t="s">
        <v>15946</v>
      </c>
      <c r="D3034" t="s">
        <v>15947</v>
      </c>
      <c r="E3034" t="s">
        <v>15948</v>
      </c>
      <c r="G3034" t="s">
        <v>15949</v>
      </c>
      <c r="H3034" t="s">
        <v>437</v>
      </c>
      <c r="I3034">
        <v>4051</v>
      </c>
      <c r="J3034" t="s">
        <v>15950</v>
      </c>
      <c r="L3034" t="s">
        <v>7286</v>
      </c>
      <c r="M3034" t="s">
        <v>199</v>
      </c>
      <c r="R3034" t="s">
        <v>15946</v>
      </c>
      <c r="W3034" t="s">
        <v>15951</v>
      </c>
      <c r="X3034" t="s">
        <v>2785</v>
      </c>
      <c r="Y3034" t="s">
        <v>2786</v>
      </c>
      <c r="Z3034" t="s">
        <v>117</v>
      </c>
      <c r="AA3034" t="str">
        <f>"14026-1044"</f>
        <v>14026-1044</v>
      </c>
      <c r="AB3034" t="s">
        <v>1460</v>
      </c>
      <c r="AC3034" t="s">
        <v>119</v>
      </c>
      <c r="AD3034" t="s">
        <v>113</v>
      </c>
      <c r="AE3034" t="s">
        <v>120</v>
      </c>
      <c r="AG3034" t="s">
        <v>121</v>
      </c>
    </row>
    <row r="3035" spans="1:33" x14ac:dyDescent="0.25">
      <c r="A3035" t="str">
        <f>"1093009680"</f>
        <v>1093009680</v>
      </c>
      <c r="B3035" t="str">
        <f>"03833209"</f>
        <v>03833209</v>
      </c>
      <c r="C3035" t="s">
        <v>17190</v>
      </c>
      <c r="D3035" t="s">
        <v>17191</v>
      </c>
      <c r="E3035" t="s">
        <v>17192</v>
      </c>
      <c r="G3035" t="s">
        <v>17190</v>
      </c>
      <c r="J3035" t="s">
        <v>17193</v>
      </c>
      <c r="L3035" t="s">
        <v>142</v>
      </c>
      <c r="M3035" t="s">
        <v>113</v>
      </c>
      <c r="R3035" t="s">
        <v>17194</v>
      </c>
      <c r="W3035" t="s">
        <v>17192</v>
      </c>
      <c r="X3035" t="s">
        <v>216</v>
      </c>
      <c r="Y3035" t="s">
        <v>116</v>
      </c>
      <c r="Z3035" t="s">
        <v>117</v>
      </c>
      <c r="AA3035" t="str">
        <f>"14222-2006"</f>
        <v>14222-2006</v>
      </c>
      <c r="AB3035" t="s">
        <v>118</v>
      </c>
      <c r="AC3035" t="s">
        <v>119</v>
      </c>
      <c r="AD3035" t="s">
        <v>113</v>
      </c>
      <c r="AE3035" t="s">
        <v>120</v>
      </c>
      <c r="AG3035" t="s">
        <v>121</v>
      </c>
    </row>
    <row r="3036" spans="1:33" x14ac:dyDescent="0.25">
      <c r="A3036" t="str">
        <f>"1093033953"</f>
        <v>1093033953</v>
      </c>
      <c r="B3036" t="str">
        <f>"03919160"</f>
        <v>03919160</v>
      </c>
      <c r="C3036" t="s">
        <v>17195</v>
      </c>
      <c r="D3036" t="s">
        <v>17196</v>
      </c>
      <c r="E3036" t="s">
        <v>17197</v>
      </c>
      <c r="G3036" t="s">
        <v>17195</v>
      </c>
      <c r="H3036" t="s">
        <v>17198</v>
      </c>
      <c r="J3036" t="s">
        <v>17199</v>
      </c>
      <c r="L3036" t="s">
        <v>150</v>
      </c>
      <c r="M3036" t="s">
        <v>113</v>
      </c>
      <c r="R3036" t="s">
        <v>17200</v>
      </c>
      <c r="W3036" t="s">
        <v>17201</v>
      </c>
      <c r="X3036" t="s">
        <v>10454</v>
      </c>
      <c r="Y3036" t="s">
        <v>17202</v>
      </c>
      <c r="Z3036" t="s">
        <v>117</v>
      </c>
      <c r="AA3036" t="str">
        <f>"14228-2044"</f>
        <v>14228-2044</v>
      </c>
      <c r="AB3036" t="s">
        <v>118</v>
      </c>
      <c r="AC3036" t="s">
        <v>119</v>
      </c>
      <c r="AD3036" t="s">
        <v>113</v>
      </c>
      <c r="AE3036" t="s">
        <v>120</v>
      </c>
      <c r="AG3036" t="s">
        <v>121</v>
      </c>
    </row>
    <row r="3037" spans="1:33" x14ac:dyDescent="0.25">
      <c r="A3037" t="str">
        <f>"1093049397"</f>
        <v>1093049397</v>
      </c>
      <c r="B3037" t="str">
        <f>"04035549"</f>
        <v>04035549</v>
      </c>
      <c r="C3037" t="s">
        <v>17203</v>
      </c>
      <c r="D3037" t="s">
        <v>17204</v>
      </c>
      <c r="E3037" t="s">
        <v>17205</v>
      </c>
      <c r="G3037" t="s">
        <v>17206</v>
      </c>
      <c r="J3037" t="s">
        <v>438</v>
      </c>
      <c r="L3037" t="s">
        <v>112</v>
      </c>
      <c r="M3037" t="s">
        <v>113</v>
      </c>
      <c r="R3037" t="s">
        <v>17207</v>
      </c>
      <c r="W3037" t="s">
        <v>17205</v>
      </c>
      <c r="X3037" t="s">
        <v>1218</v>
      </c>
      <c r="Y3037" t="s">
        <v>318</v>
      </c>
      <c r="Z3037" t="s">
        <v>117</v>
      </c>
      <c r="AA3037" t="str">
        <f>"14225-4985"</f>
        <v>14225-4985</v>
      </c>
      <c r="AB3037" t="s">
        <v>621</v>
      </c>
      <c r="AC3037" t="s">
        <v>119</v>
      </c>
      <c r="AD3037" t="s">
        <v>113</v>
      </c>
      <c r="AE3037" t="s">
        <v>120</v>
      </c>
      <c r="AG3037" t="s">
        <v>121</v>
      </c>
    </row>
    <row r="3038" spans="1:33" x14ac:dyDescent="0.25">
      <c r="A3038" t="str">
        <f>"1184608242"</f>
        <v>1184608242</v>
      </c>
      <c r="B3038" t="str">
        <f>"01772105"</f>
        <v>01772105</v>
      </c>
      <c r="C3038" t="s">
        <v>17208</v>
      </c>
      <c r="D3038" t="s">
        <v>17209</v>
      </c>
      <c r="E3038" t="s">
        <v>17210</v>
      </c>
      <c r="G3038" t="s">
        <v>17208</v>
      </c>
      <c r="H3038" t="s">
        <v>188</v>
      </c>
      <c r="J3038" t="s">
        <v>17211</v>
      </c>
      <c r="L3038" t="s">
        <v>142</v>
      </c>
      <c r="M3038" t="s">
        <v>113</v>
      </c>
      <c r="R3038" t="s">
        <v>17212</v>
      </c>
      <c r="W3038" t="s">
        <v>17210</v>
      </c>
      <c r="X3038" t="s">
        <v>191</v>
      </c>
      <c r="Y3038" t="s">
        <v>192</v>
      </c>
      <c r="Z3038" t="s">
        <v>117</v>
      </c>
      <c r="AA3038" t="str">
        <f>"14020-2202"</f>
        <v>14020-2202</v>
      </c>
      <c r="AB3038" t="s">
        <v>118</v>
      </c>
      <c r="AC3038" t="s">
        <v>119</v>
      </c>
      <c r="AD3038" t="s">
        <v>113</v>
      </c>
      <c r="AE3038" t="s">
        <v>120</v>
      </c>
      <c r="AG3038" t="s">
        <v>121</v>
      </c>
    </row>
    <row r="3039" spans="1:33" x14ac:dyDescent="0.25">
      <c r="A3039" t="str">
        <f>"1184608911"</f>
        <v>1184608911</v>
      </c>
      <c r="B3039" t="str">
        <f>"01233090"</f>
        <v>01233090</v>
      </c>
      <c r="C3039" t="s">
        <v>17213</v>
      </c>
      <c r="D3039" t="s">
        <v>17214</v>
      </c>
      <c r="E3039" t="s">
        <v>17215</v>
      </c>
      <c r="G3039" t="s">
        <v>17216</v>
      </c>
      <c r="H3039" t="s">
        <v>1013</v>
      </c>
      <c r="J3039" t="s">
        <v>17217</v>
      </c>
      <c r="L3039" t="s">
        <v>142</v>
      </c>
      <c r="M3039" t="s">
        <v>113</v>
      </c>
      <c r="R3039" t="s">
        <v>17218</v>
      </c>
      <c r="W3039" t="s">
        <v>17215</v>
      </c>
      <c r="X3039" t="s">
        <v>3037</v>
      </c>
      <c r="Y3039" t="s">
        <v>116</v>
      </c>
      <c r="Z3039" t="s">
        <v>117</v>
      </c>
      <c r="AA3039" t="str">
        <f>"14221-5329"</f>
        <v>14221-5329</v>
      </c>
      <c r="AB3039" t="s">
        <v>118</v>
      </c>
      <c r="AC3039" t="s">
        <v>119</v>
      </c>
      <c r="AD3039" t="s">
        <v>113</v>
      </c>
      <c r="AE3039" t="s">
        <v>120</v>
      </c>
      <c r="AG3039" t="s">
        <v>121</v>
      </c>
    </row>
    <row r="3040" spans="1:33" x14ac:dyDescent="0.25">
      <c r="A3040" t="str">
        <f>"1184616559"</f>
        <v>1184616559</v>
      </c>
      <c r="B3040" t="str">
        <f>"00624300"</f>
        <v>00624300</v>
      </c>
      <c r="C3040" t="s">
        <v>17219</v>
      </c>
      <c r="D3040" t="s">
        <v>17220</v>
      </c>
      <c r="E3040" t="s">
        <v>17221</v>
      </c>
      <c r="G3040" t="s">
        <v>17219</v>
      </c>
      <c r="H3040" t="s">
        <v>17222</v>
      </c>
      <c r="J3040" t="s">
        <v>17223</v>
      </c>
      <c r="L3040" t="s">
        <v>112</v>
      </c>
      <c r="M3040" t="s">
        <v>113</v>
      </c>
      <c r="R3040" t="s">
        <v>17224</v>
      </c>
      <c r="W3040" t="s">
        <v>17221</v>
      </c>
      <c r="X3040" t="s">
        <v>554</v>
      </c>
      <c r="Y3040" t="s">
        <v>116</v>
      </c>
      <c r="Z3040" t="s">
        <v>117</v>
      </c>
      <c r="AA3040" t="str">
        <f>"14209-1635"</f>
        <v>14209-1635</v>
      </c>
      <c r="AB3040" t="s">
        <v>118</v>
      </c>
      <c r="AC3040" t="s">
        <v>119</v>
      </c>
      <c r="AD3040" t="s">
        <v>113</v>
      </c>
      <c r="AE3040" t="s">
        <v>120</v>
      </c>
      <c r="AG3040" t="s">
        <v>121</v>
      </c>
    </row>
    <row r="3041" spans="1:33" x14ac:dyDescent="0.25">
      <c r="A3041" t="str">
        <f>"1184617706"</f>
        <v>1184617706</v>
      </c>
      <c r="B3041" t="str">
        <f>"00790189"</f>
        <v>00790189</v>
      </c>
      <c r="C3041" t="s">
        <v>17225</v>
      </c>
      <c r="D3041" t="s">
        <v>17226</v>
      </c>
      <c r="E3041" t="s">
        <v>17227</v>
      </c>
      <c r="G3041" t="s">
        <v>17225</v>
      </c>
      <c r="H3041" t="s">
        <v>5690</v>
      </c>
      <c r="J3041" t="s">
        <v>17228</v>
      </c>
      <c r="L3041" t="s">
        <v>150</v>
      </c>
      <c r="M3041" t="s">
        <v>199</v>
      </c>
      <c r="R3041" t="s">
        <v>17229</v>
      </c>
      <c r="W3041" t="s">
        <v>17230</v>
      </c>
      <c r="X3041" t="s">
        <v>6765</v>
      </c>
      <c r="Y3041" t="s">
        <v>240</v>
      </c>
      <c r="Z3041" t="s">
        <v>117</v>
      </c>
      <c r="AA3041" t="str">
        <f>"14221-1729"</f>
        <v>14221-1729</v>
      </c>
      <c r="AB3041" t="s">
        <v>118</v>
      </c>
      <c r="AC3041" t="s">
        <v>119</v>
      </c>
      <c r="AD3041" t="s">
        <v>113</v>
      </c>
      <c r="AE3041" t="s">
        <v>120</v>
      </c>
      <c r="AG3041" t="s">
        <v>121</v>
      </c>
    </row>
    <row r="3042" spans="1:33" x14ac:dyDescent="0.25">
      <c r="B3042" t="str">
        <f>"02670597"</f>
        <v>02670597</v>
      </c>
      <c r="C3042" t="s">
        <v>11648</v>
      </c>
      <c r="D3042" t="s">
        <v>11649</v>
      </c>
      <c r="E3042" t="s">
        <v>11650</v>
      </c>
      <c r="G3042" t="s">
        <v>11651</v>
      </c>
      <c r="H3042" t="s">
        <v>11652</v>
      </c>
      <c r="J3042" t="s">
        <v>11653</v>
      </c>
      <c r="L3042" t="s">
        <v>69</v>
      </c>
      <c r="M3042" t="s">
        <v>113</v>
      </c>
      <c r="W3042" t="s">
        <v>11650</v>
      </c>
      <c r="X3042" t="s">
        <v>985</v>
      </c>
      <c r="Y3042" t="s">
        <v>986</v>
      </c>
      <c r="Z3042" t="s">
        <v>117</v>
      </c>
      <c r="AA3042" t="str">
        <f>"14701-3824"</f>
        <v>14701-3824</v>
      </c>
      <c r="AB3042" t="s">
        <v>291</v>
      </c>
      <c r="AC3042" t="s">
        <v>119</v>
      </c>
      <c r="AD3042" t="s">
        <v>113</v>
      </c>
      <c r="AE3042" t="s">
        <v>120</v>
      </c>
      <c r="AG3042" t="s">
        <v>121</v>
      </c>
    </row>
    <row r="3043" spans="1:33" x14ac:dyDescent="0.25">
      <c r="A3043" t="str">
        <f>"1184634735"</f>
        <v>1184634735</v>
      </c>
      <c r="B3043" t="str">
        <f>"00604715"</f>
        <v>00604715</v>
      </c>
      <c r="C3043" t="s">
        <v>17239</v>
      </c>
      <c r="D3043" t="s">
        <v>17240</v>
      </c>
      <c r="E3043" t="s">
        <v>17241</v>
      </c>
      <c r="G3043" t="s">
        <v>17239</v>
      </c>
      <c r="H3043" t="s">
        <v>17242</v>
      </c>
      <c r="J3043" t="s">
        <v>17243</v>
      </c>
      <c r="L3043" t="s">
        <v>112</v>
      </c>
      <c r="M3043" t="s">
        <v>113</v>
      </c>
      <c r="R3043" t="s">
        <v>17244</v>
      </c>
      <c r="W3043" t="s">
        <v>17245</v>
      </c>
      <c r="X3043" t="s">
        <v>17246</v>
      </c>
      <c r="Y3043" t="s">
        <v>153</v>
      </c>
      <c r="Z3043" t="s">
        <v>117</v>
      </c>
      <c r="AA3043" t="str">
        <f>"14304-3113"</f>
        <v>14304-3113</v>
      </c>
      <c r="AB3043" t="s">
        <v>118</v>
      </c>
      <c r="AC3043" t="s">
        <v>119</v>
      </c>
      <c r="AD3043" t="s">
        <v>113</v>
      </c>
      <c r="AE3043" t="s">
        <v>120</v>
      </c>
      <c r="AG3043" t="s">
        <v>121</v>
      </c>
    </row>
    <row r="3044" spans="1:33" x14ac:dyDescent="0.25">
      <c r="A3044" t="str">
        <f>"1184637894"</f>
        <v>1184637894</v>
      </c>
      <c r="B3044" t="str">
        <f>"00616073"</f>
        <v>00616073</v>
      </c>
      <c r="C3044" t="s">
        <v>17247</v>
      </c>
      <c r="D3044" t="s">
        <v>17248</v>
      </c>
      <c r="E3044" t="s">
        <v>17249</v>
      </c>
      <c r="G3044" t="s">
        <v>17247</v>
      </c>
      <c r="H3044" t="s">
        <v>17250</v>
      </c>
      <c r="J3044" t="s">
        <v>17251</v>
      </c>
      <c r="L3044" t="s">
        <v>142</v>
      </c>
      <c r="M3044" t="s">
        <v>113</v>
      </c>
      <c r="R3044" t="s">
        <v>17252</v>
      </c>
      <c r="W3044" t="s">
        <v>17249</v>
      </c>
      <c r="X3044" t="s">
        <v>11453</v>
      </c>
      <c r="Y3044" t="s">
        <v>958</v>
      </c>
      <c r="Z3044" t="s">
        <v>117</v>
      </c>
      <c r="AA3044" t="str">
        <f>"14226-1855"</f>
        <v>14226-1855</v>
      </c>
      <c r="AB3044" t="s">
        <v>118</v>
      </c>
      <c r="AC3044" t="s">
        <v>119</v>
      </c>
      <c r="AD3044" t="s">
        <v>113</v>
      </c>
      <c r="AE3044" t="s">
        <v>120</v>
      </c>
      <c r="AG3044" t="s">
        <v>121</v>
      </c>
    </row>
    <row r="3045" spans="1:33" x14ac:dyDescent="0.25">
      <c r="A3045" t="str">
        <f>"1184645905"</f>
        <v>1184645905</v>
      </c>
      <c r="B3045" t="str">
        <f>"02648653"</f>
        <v>02648653</v>
      </c>
      <c r="C3045" t="s">
        <v>17253</v>
      </c>
      <c r="D3045" t="s">
        <v>17254</v>
      </c>
      <c r="E3045" t="s">
        <v>17255</v>
      </c>
      <c r="G3045" t="s">
        <v>330</v>
      </c>
      <c r="H3045" t="s">
        <v>1064</v>
      </c>
      <c r="J3045" t="s">
        <v>332</v>
      </c>
      <c r="L3045" t="s">
        <v>150</v>
      </c>
      <c r="M3045" t="s">
        <v>199</v>
      </c>
      <c r="R3045" t="s">
        <v>17256</v>
      </c>
      <c r="W3045" t="s">
        <v>17257</v>
      </c>
      <c r="X3045" t="s">
        <v>17258</v>
      </c>
      <c r="Y3045" t="s">
        <v>268</v>
      </c>
      <c r="Z3045" t="s">
        <v>117</v>
      </c>
      <c r="AA3045" t="str">
        <f>"14150-3736"</f>
        <v>14150-3736</v>
      </c>
      <c r="AB3045" t="s">
        <v>118</v>
      </c>
      <c r="AC3045" t="s">
        <v>119</v>
      </c>
      <c r="AD3045" t="s">
        <v>113</v>
      </c>
      <c r="AE3045" t="s">
        <v>120</v>
      </c>
      <c r="AG3045" t="s">
        <v>121</v>
      </c>
    </row>
    <row r="3046" spans="1:33" x14ac:dyDescent="0.25">
      <c r="A3046" t="str">
        <f>"1184654477"</f>
        <v>1184654477</v>
      </c>
      <c r="B3046" t="str">
        <f>"02587231"</f>
        <v>02587231</v>
      </c>
      <c r="C3046" t="s">
        <v>17259</v>
      </c>
      <c r="D3046" t="s">
        <v>17260</v>
      </c>
      <c r="E3046" t="s">
        <v>17261</v>
      </c>
      <c r="G3046" t="s">
        <v>17262</v>
      </c>
      <c r="H3046" t="s">
        <v>17263</v>
      </c>
      <c r="J3046" t="s">
        <v>17264</v>
      </c>
      <c r="L3046" t="s">
        <v>1143</v>
      </c>
      <c r="M3046" t="s">
        <v>199</v>
      </c>
      <c r="R3046" t="s">
        <v>17259</v>
      </c>
      <c r="W3046" t="s">
        <v>17261</v>
      </c>
      <c r="X3046" t="s">
        <v>17265</v>
      </c>
      <c r="Y3046" t="s">
        <v>305</v>
      </c>
      <c r="Z3046" t="s">
        <v>117</v>
      </c>
      <c r="AA3046" t="str">
        <f>"14760-1514"</f>
        <v>14760-1514</v>
      </c>
      <c r="AB3046" t="s">
        <v>1146</v>
      </c>
      <c r="AC3046" t="s">
        <v>119</v>
      </c>
      <c r="AD3046" t="s">
        <v>113</v>
      </c>
      <c r="AE3046" t="s">
        <v>120</v>
      </c>
      <c r="AG3046" t="s">
        <v>121</v>
      </c>
    </row>
    <row r="3047" spans="1:33" x14ac:dyDescent="0.25">
      <c r="A3047" t="str">
        <f>"1184654600"</f>
        <v>1184654600</v>
      </c>
      <c r="B3047" t="str">
        <f>"01572343"</f>
        <v>01572343</v>
      </c>
      <c r="C3047" t="s">
        <v>17266</v>
      </c>
      <c r="D3047" t="s">
        <v>17267</v>
      </c>
      <c r="E3047" t="s">
        <v>17268</v>
      </c>
      <c r="G3047" t="s">
        <v>17266</v>
      </c>
      <c r="H3047" t="s">
        <v>17269</v>
      </c>
      <c r="J3047" t="s">
        <v>17270</v>
      </c>
      <c r="L3047" t="s">
        <v>142</v>
      </c>
      <c r="M3047" t="s">
        <v>113</v>
      </c>
      <c r="R3047" t="s">
        <v>17271</v>
      </c>
      <c r="W3047" t="s">
        <v>17268</v>
      </c>
      <c r="X3047" t="s">
        <v>17272</v>
      </c>
      <c r="Y3047" t="s">
        <v>116</v>
      </c>
      <c r="Z3047" t="s">
        <v>117</v>
      </c>
      <c r="AA3047" t="str">
        <f>"14214-8001"</f>
        <v>14214-8001</v>
      </c>
      <c r="AB3047" t="s">
        <v>118</v>
      </c>
      <c r="AC3047" t="s">
        <v>119</v>
      </c>
      <c r="AD3047" t="s">
        <v>113</v>
      </c>
      <c r="AE3047" t="s">
        <v>120</v>
      </c>
      <c r="AG3047" t="s">
        <v>121</v>
      </c>
    </row>
    <row r="3048" spans="1:33" x14ac:dyDescent="0.25">
      <c r="A3048" t="str">
        <f>"1184655524"</f>
        <v>1184655524</v>
      </c>
      <c r="B3048" t="str">
        <f>"01963813"</f>
        <v>01963813</v>
      </c>
      <c r="C3048" t="s">
        <v>17273</v>
      </c>
      <c r="D3048" t="s">
        <v>17274</v>
      </c>
      <c r="E3048" t="s">
        <v>17275</v>
      </c>
      <c r="G3048" t="s">
        <v>17276</v>
      </c>
      <c r="H3048" t="s">
        <v>590</v>
      </c>
      <c r="J3048" t="s">
        <v>17277</v>
      </c>
      <c r="L3048" t="s">
        <v>1033</v>
      </c>
      <c r="M3048" t="s">
        <v>113</v>
      </c>
      <c r="R3048" t="s">
        <v>17275</v>
      </c>
      <c r="W3048" t="s">
        <v>17275</v>
      </c>
      <c r="X3048" t="s">
        <v>626</v>
      </c>
      <c r="Y3048" t="s">
        <v>116</v>
      </c>
      <c r="Z3048" t="s">
        <v>117</v>
      </c>
      <c r="AA3048" t="str">
        <f>"14210-2324"</f>
        <v>14210-2324</v>
      </c>
      <c r="AB3048" t="s">
        <v>621</v>
      </c>
      <c r="AC3048" t="s">
        <v>119</v>
      </c>
      <c r="AD3048" t="s">
        <v>113</v>
      </c>
      <c r="AE3048" t="s">
        <v>120</v>
      </c>
      <c r="AG3048" t="s">
        <v>121</v>
      </c>
    </row>
    <row r="3049" spans="1:33" x14ac:dyDescent="0.25">
      <c r="A3049" t="str">
        <f>"1184670143"</f>
        <v>1184670143</v>
      </c>
      <c r="B3049" t="str">
        <f>"02783526"</f>
        <v>02783526</v>
      </c>
      <c r="C3049" t="s">
        <v>17278</v>
      </c>
      <c r="D3049" t="s">
        <v>17279</v>
      </c>
      <c r="E3049" t="s">
        <v>17280</v>
      </c>
      <c r="G3049" t="s">
        <v>17278</v>
      </c>
      <c r="H3049" t="s">
        <v>908</v>
      </c>
      <c r="J3049" t="s">
        <v>17281</v>
      </c>
      <c r="L3049" t="s">
        <v>142</v>
      </c>
      <c r="M3049" t="s">
        <v>113</v>
      </c>
      <c r="R3049" t="s">
        <v>17282</v>
      </c>
      <c r="W3049" t="s">
        <v>17280</v>
      </c>
      <c r="X3049" t="s">
        <v>176</v>
      </c>
      <c r="Y3049" t="s">
        <v>116</v>
      </c>
      <c r="Z3049" t="s">
        <v>117</v>
      </c>
      <c r="AA3049" t="str">
        <f>"14203-1126"</f>
        <v>14203-1126</v>
      </c>
      <c r="AB3049" t="s">
        <v>118</v>
      </c>
      <c r="AC3049" t="s">
        <v>119</v>
      </c>
      <c r="AD3049" t="s">
        <v>113</v>
      </c>
      <c r="AE3049" t="s">
        <v>120</v>
      </c>
      <c r="AG3049" t="s">
        <v>121</v>
      </c>
    </row>
    <row r="3050" spans="1:33" x14ac:dyDescent="0.25">
      <c r="A3050" t="str">
        <f>"1184673816"</f>
        <v>1184673816</v>
      </c>
      <c r="B3050" t="str">
        <f>"02217316"</f>
        <v>02217316</v>
      </c>
      <c r="C3050" t="s">
        <v>17283</v>
      </c>
      <c r="D3050" t="s">
        <v>17284</v>
      </c>
      <c r="E3050" t="s">
        <v>17285</v>
      </c>
      <c r="G3050" t="s">
        <v>17286</v>
      </c>
      <c r="H3050" t="s">
        <v>17287</v>
      </c>
      <c r="L3050" t="s">
        <v>142</v>
      </c>
      <c r="M3050" t="s">
        <v>113</v>
      </c>
      <c r="R3050" t="s">
        <v>17288</v>
      </c>
      <c r="W3050" t="s">
        <v>17285</v>
      </c>
      <c r="X3050" t="s">
        <v>526</v>
      </c>
      <c r="Y3050" t="s">
        <v>527</v>
      </c>
      <c r="Z3050" t="s">
        <v>117</v>
      </c>
      <c r="AA3050" t="str">
        <f>"14103-1191"</f>
        <v>14103-1191</v>
      </c>
      <c r="AB3050" t="s">
        <v>528</v>
      </c>
      <c r="AC3050" t="s">
        <v>119</v>
      </c>
      <c r="AD3050" t="s">
        <v>113</v>
      </c>
      <c r="AE3050" t="s">
        <v>120</v>
      </c>
      <c r="AG3050" t="s">
        <v>121</v>
      </c>
    </row>
    <row r="3051" spans="1:33" x14ac:dyDescent="0.25">
      <c r="A3051" t="str">
        <f>"1184683195"</f>
        <v>1184683195</v>
      </c>
      <c r="B3051" t="str">
        <f>"02561613"</f>
        <v>02561613</v>
      </c>
      <c r="C3051" t="s">
        <v>17289</v>
      </c>
      <c r="D3051" t="s">
        <v>17290</v>
      </c>
      <c r="E3051" t="s">
        <v>17291</v>
      </c>
      <c r="G3051" t="s">
        <v>17289</v>
      </c>
      <c r="H3051" t="s">
        <v>806</v>
      </c>
      <c r="J3051" t="s">
        <v>17292</v>
      </c>
      <c r="L3051" t="s">
        <v>142</v>
      </c>
      <c r="M3051" t="s">
        <v>113</v>
      </c>
      <c r="R3051" t="s">
        <v>17293</v>
      </c>
      <c r="W3051" t="s">
        <v>17291</v>
      </c>
      <c r="X3051" t="s">
        <v>17294</v>
      </c>
      <c r="Y3051" t="s">
        <v>116</v>
      </c>
      <c r="Z3051" t="s">
        <v>117</v>
      </c>
      <c r="AA3051" t="str">
        <f>"14203-1126"</f>
        <v>14203-1126</v>
      </c>
      <c r="AB3051" t="s">
        <v>118</v>
      </c>
      <c r="AC3051" t="s">
        <v>119</v>
      </c>
      <c r="AD3051" t="s">
        <v>113</v>
      </c>
      <c r="AE3051" t="s">
        <v>120</v>
      </c>
      <c r="AG3051" t="s">
        <v>121</v>
      </c>
    </row>
    <row r="3052" spans="1:33" x14ac:dyDescent="0.25">
      <c r="A3052" t="str">
        <f>"1316939333"</f>
        <v>1316939333</v>
      </c>
      <c r="B3052" t="str">
        <f>"01075007"</f>
        <v>01075007</v>
      </c>
      <c r="C3052" t="s">
        <v>17295</v>
      </c>
      <c r="D3052" t="s">
        <v>17296</v>
      </c>
      <c r="E3052" t="s">
        <v>17297</v>
      </c>
      <c r="G3052" t="s">
        <v>17295</v>
      </c>
      <c r="H3052" t="s">
        <v>5690</v>
      </c>
      <c r="J3052" t="s">
        <v>17298</v>
      </c>
      <c r="L3052" t="s">
        <v>150</v>
      </c>
      <c r="M3052" t="s">
        <v>199</v>
      </c>
      <c r="R3052" t="s">
        <v>17299</v>
      </c>
      <c r="W3052" t="s">
        <v>17297</v>
      </c>
      <c r="X3052" t="s">
        <v>17300</v>
      </c>
      <c r="Y3052" t="s">
        <v>240</v>
      </c>
      <c r="Z3052" t="s">
        <v>117</v>
      </c>
      <c r="AA3052" t="str">
        <f>"14221-3625"</f>
        <v>14221-3625</v>
      </c>
      <c r="AB3052" t="s">
        <v>118</v>
      </c>
      <c r="AC3052" t="s">
        <v>119</v>
      </c>
      <c r="AD3052" t="s">
        <v>113</v>
      </c>
      <c r="AE3052" t="s">
        <v>120</v>
      </c>
      <c r="AG3052" t="s">
        <v>121</v>
      </c>
    </row>
    <row r="3053" spans="1:33" x14ac:dyDescent="0.25">
      <c r="A3053" t="str">
        <f>"1316940299"</f>
        <v>1316940299</v>
      </c>
      <c r="B3053" t="str">
        <f>"01925153"</f>
        <v>01925153</v>
      </c>
      <c r="C3053" t="s">
        <v>17301</v>
      </c>
      <c r="D3053" t="s">
        <v>17302</v>
      </c>
      <c r="E3053" t="s">
        <v>17303</v>
      </c>
      <c r="G3053" t="s">
        <v>17301</v>
      </c>
      <c r="H3053" t="s">
        <v>17304</v>
      </c>
      <c r="L3053" t="s">
        <v>142</v>
      </c>
      <c r="M3053" t="s">
        <v>113</v>
      </c>
      <c r="R3053" t="s">
        <v>17305</v>
      </c>
      <c r="W3053" t="s">
        <v>17306</v>
      </c>
      <c r="X3053" t="s">
        <v>511</v>
      </c>
      <c r="Y3053" t="s">
        <v>512</v>
      </c>
      <c r="Z3053" t="s">
        <v>117</v>
      </c>
      <c r="AA3053" t="str">
        <f>"14092-1903"</f>
        <v>14092-1903</v>
      </c>
      <c r="AB3053" t="s">
        <v>118</v>
      </c>
      <c r="AC3053" t="s">
        <v>119</v>
      </c>
      <c r="AD3053" t="s">
        <v>113</v>
      </c>
      <c r="AE3053" t="s">
        <v>120</v>
      </c>
      <c r="AG3053" t="s">
        <v>121</v>
      </c>
    </row>
    <row r="3054" spans="1:33" x14ac:dyDescent="0.25">
      <c r="A3054" t="str">
        <f>"1316948714"</f>
        <v>1316948714</v>
      </c>
      <c r="B3054" t="str">
        <f>"01399499"</f>
        <v>01399499</v>
      </c>
      <c r="C3054" t="s">
        <v>17307</v>
      </c>
      <c r="D3054" t="s">
        <v>17308</v>
      </c>
      <c r="E3054" t="s">
        <v>17309</v>
      </c>
      <c r="G3054" t="s">
        <v>17307</v>
      </c>
      <c r="H3054" t="s">
        <v>17310</v>
      </c>
      <c r="J3054" t="s">
        <v>17311</v>
      </c>
      <c r="L3054" t="s">
        <v>142</v>
      </c>
      <c r="M3054" t="s">
        <v>113</v>
      </c>
      <c r="R3054" t="s">
        <v>17312</v>
      </c>
      <c r="W3054" t="s">
        <v>17309</v>
      </c>
      <c r="X3054" t="s">
        <v>17313</v>
      </c>
      <c r="Y3054" t="s">
        <v>240</v>
      </c>
      <c r="Z3054" t="s">
        <v>117</v>
      </c>
      <c r="AA3054" t="str">
        <f>"14221-5799"</f>
        <v>14221-5799</v>
      </c>
      <c r="AB3054" t="s">
        <v>118</v>
      </c>
      <c r="AC3054" t="s">
        <v>119</v>
      </c>
      <c r="AD3054" t="s">
        <v>113</v>
      </c>
      <c r="AE3054" t="s">
        <v>120</v>
      </c>
      <c r="AG3054" t="s">
        <v>121</v>
      </c>
    </row>
    <row r="3055" spans="1:33" x14ac:dyDescent="0.25">
      <c r="A3055" t="str">
        <f>"1316963432"</f>
        <v>1316963432</v>
      </c>
      <c r="B3055" t="str">
        <f>"01338912"</f>
        <v>01338912</v>
      </c>
      <c r="C3055" t="s">
        <v>17314</v>
      </c>
      <c r="D3055" t="s">
        <v>17315</v>
      </c>
      <c r="E3055" t="s">
        <v>17316</v>
      </c>
      <c r="G3055" t="s">
        <v>17314</v>
      </c>
      <c r="H3055" t="s">
        <v>5624</v>
      </c>
      <c r="J3055" t="s">
        <v>17317</v>
      </c>
      <c r="L3055" t="s">
        <v>150</v>
      </c>
      <c r="M3055" t="s">
        <v>113</v>
      </c>
      <c r="R3055" t="s">
        <v>17318</v>
      </c>
      <c r="W3055" t="s">
        <v>17316</v>
      </c>
      <c r="X3055" t="s">
        <v>176</v>
      </c>
      <c r="Y3055" t="s">
        <v>116</v>
      </c>
      <c r="Z3055" t="s">
        <v>117</v>
      </c>
      <c r="AA3055" t="str">
        <f>"14203-1126"</f>
        <v>14203-1126</v>
      </c>
      <c r="AB3055" t="s">
        <v>118</v>
      </c>
      <c r="AC3055" t="s">
        <v>119</v>
      </c>
      <c r="AD3055" t="s">
        <v>113</v>
      </c>
      <c r="AE3055" t="s">
        <v>120</v>
      </c>
      <c r="AG3055" t="s">
        <v>121</v>
      </c>
    </row>
    <row r="3056" spans="1:33" x14ac:dyDescent="0.25">
      <c r="A3056" t="str">
        <f>"1659444024"</f>
        <v>1659444024</v>
      </c>
      <c r="B3056" t="str">
        <f>"00721182"</f>
        <v>00721182</v>
      </c>
      <c r="C3056" t="s">
        <v>17319</v>
      </c>
      <c r="D3056" t="s">
        <v>17320</v>
      </c>
      <c r="E3056" t="s">
        <v>17321</v>
      </c>
      <c r="G3056" t="s">
        <v>17322</v>
      </c>
      <c r="H3056" t="s">
        <v>17323</v>
      </c>
      <c r="L3056" t="s">
        <v>112</v>
      </c>
      <c r="M3056" t="s">
        <v>113</v>
      </c>
      <c r="R3056" t="s">
        <v>17322</v>
      </c>
      <c r="W3056" t="s">
        <v>17321</v>
      </c>
      <c r="X3056" t="s">
        <v>17324</v>
      </c>
      <c r="Y3056" t="s">
        <v>240</v>
      </c>
      <c r="Z3056" t="s">
        <v>117</v>
      </c>
      <c r="AA3056" t="str">
        <f>"14221-3301"</f>
        <v>14221-3301</v>
      </c>
      <c r="AB3056" t="s">
        <v>118</v>
      </c>
      <c r="AC3056" t="s">
        <v>119</v>
      </c>
      <c r="AD3056" t="s">
        <v>113</v>
      </c>
      <c r="AE3056" t="s">
        <v>120</v>
      </c>
      <c r="AG3056" t="s">
        <v>121</v>
      </c>
    </row>
    <row r="3057" spans="1:33" x14ac:dyDescent="0.25">
      <c r="A3057" t="str">
        <f>"1669466843"</f>
        <v>1669466843</v>
      </c>
      <c r="B3057" t="str">
        <f>"02689114"</f>
        <v>02689114</v>
      </c>
      <c r="C3057" t="s">
        <v>17325</v>
      </c>
      <c r="D3057" t="s">
        <v>17326</v>
      </c>
      <c r="E3057" t="s">
        <v>17327</v>
      </c>
      <c r="G3057" t="s">
        <v>17328</v>
      </c>
      <c r="H3057" t="s">
        <v>1507</v>
      </c>
      <c r="J3057" t="s">
        <v>17329</v>
      </c>
      <c r="L3057" t="s">
        <v>142</v>
      </c>
      <c r="M3057" t="s">
        <v>199</v>
      </c>
      <c r="R3057" t="s">
        <v>17330</v>
      </c>
      <c r="W3057" t="s">
        <v>17327</v>
      </c>
      <c r="X3057" t="s">
        <v>3440</v>
      </c>
      <c r="Y3057" t="s">
        <v>116</v>
      </c>
      <c r="Z3057" t="s">
        <v>117</v>
      </c>
      <c r="AA3057" t="str">
        <f>"14215-1436"</f>
        <v>14215-1436</v>
      </c>
      <c r="AB3057" t="s">
        <v>118</v>
      </c>
      <c r="AC3057" t="s">
        <v>119</v>
      </c>
      <c r="AD3057" t="s">
        <v>113</v>
      </c>
      <c r="AE3057" t="s">
        <v>120</v>
      </c>
      <c r="AG3057" t="s">
        <v>121</v>
      </c>
    </row>
    <row r="3058" spans="1:33" x14ac:dyDescent="0.25">
      <c r="A3058" t="str">
        <f>"1669470001"</f>
        <v>1669470001</v>
      </c>
      <c r="B3058" t="str">
        <f>"02277434"</f>
        <v>02277434</v>
      </c>
      <c r="C3058" t="s">
        <v>17331</v>
      </c>
      <c r="D3058" t="s">
        <v>17332</v>
      </c>
      <c r="E3058" t="s">
        <v>17333</v>
      </c>
      <c r="G3058" t="s">
        <v>17331</v>
      </c>
      <c r="H3058" t="s">
        <v>707</v>
      </c>
      <c r="J3058" t="s">
        <v>17334</v>
      </c>
      <c r="L3058" t="s">
        <v>142</v>
      </c>
      <c r="M3058" t="s">
        <v>113</v>
      </c>
      <c r="R3058" t="s">
        <v>17335</v>
      </c>
      <c r="W3058" t="s">
        <v>17333</v>
      </c>
      <c r="X3058" t="s">
        <v>709</v>
      </c>
      <c r="Y3058" t="s">
        <v>116</v>
      </c>
      <c r="Z3058" t="s">
        <v>117</v>
      </c>
      <c r="AA3058" t="str">
        <f>"14263-0001"</f>
        <v>14263-0001</v>
      </c>
      <c r="AB3058" t="s">
        <v>118</v>
      </c>
      <c r="AC3058" t="s">
        <v>119</v>
      </c>
      <c r="AD3058" t="s">
        <v>113</v>
      </c>
      <c r="AE3058" t="s">
        <v>120</v>
      </c>
      <c r="AG3058" t="s">
        <v>121</v>
      </c>
    </row>
    <row r="3059" spans="1:33" x14ac:dyDescent="0.25">
      <c r="A3059" t="str">
        <f>"1669472080"</f>
        <v>1669472080</v>
      </c>
      <c r="B3059" t="str">
        <f>"02162334"</f>
        <v>02162334</v>
      </c>
      <c r="C3059" t="s">
        <v>17336</v>
      </c>
      <c r="D3059" t="s">
        <v>17337</v>
      </c>
      <c r="E3059" t="s">
        <v>17338</v>
      </c>
      <c r="G3059" t="s">
        <v>17336</v>
      </c>
      <c r="H3059" t="s">
        <v>1196</v>
      </c>
      <c r="J3059" t="s">
        <v>17339</v>
      </c>
      <c r="L3059" t="s">
        <v>142</v>
      </c>
      <c r="M3059" t="s">
        <v>113</v>
      </c>
      <c r="R3059" t="s">
        <v>17340</v>
      </c>
      <c r="W3059" t="s">
        <v>17338</v>
      </c>
      <c r="X3059" t="s">
        <v>17341</v>
      </c>
      <c r="Y3059" t="s">
        <v>129</v>
      </c>
      <c r="Z3059" t="s">
        <v>117</v>
      </c>
      <c r="AA3059" t="str">
        <f>"14224-2646"</f>
        <v>14224-2646</v>
      </c>
      <c r="AB3059" t="s">
        <v>118</v>
      </c>
      <c r="AC3059" t="s">
        <v>119</v>
      </c>
      <c r="AD3059" t="s">
        <v>113</v>
      </c>
      <c r="AE3059" t="s">
        <v>120</v>
      </c>
      <c r="AG3059" t="s">
        <v>121</v>
      </c>
    </row>
    <row r="3060" spans="1:33" x14ac:dyDescent="0.25">
      <c r="A3060" t="str">
        <f>"1669478095"</f>
        <v>1669478095</v>
      </c>
      <c r="B3060" t="str">
        <f>"01091529"</f>
        <v>01091529</v>
      </c>
      <c r="C3060" t="s">
        <v>17342</v>
      </c>
      <c r="D3060" t="s">
        <v>17343</v>
      </c>
      <c r="E3060" t="s">
        <v>17344</v>
      </c>
      <c r="G3060" t="s">
        <v>17342</v>
      </c>
      <c r="H3060" t="s">
        <v>707</v>
      </c>
      <c r="J3060" t="s">
        <v>17345</v>
      </c>
      <c r="L3060" t="s">
        <v>142</v>
      </c>
      <c r="M3060" t="s">
        <v>113</v>
      </c>
      <c r="R3060" t="s">
        <v>17346</v>
      </c>
      <c r="W3060" t="s">
        <v>17344</v>
      </c>
      <c r="X3060" t="s">
        <v>17347</v>
      </c>
      <c r="Y3060" t="s">
        <v>116</v>
      </c>
      <c r="Z3060" t="s">
        <v>117</v>
      </c>
      <c r="AA3060" t="str">
        <f>"14222-2099"</f>
        <v>14222-2099</v>
      </c>
      <c r="AB3060" t="s">
        <v>118</v>
      </c>
      <c r="AC3060" t="s">
        <v>119</v>
      </c>
      <c r="AD3060" t="s">
        <v>113</v>
      </c>
      <c r="AE3060" t="s">
        <v>120</v>
      </c>
      <c r="AG3060" t="s">
        <v>121</v>
      </c>
    </row>
    <row r="3061" spans="1:33" x14ac:dyDescent="0.25">
      <c r="A3061" t="str">
        <f>"1669484440"</f>
        <v>1669484440</v>
      </c>
      <c r="B3061" t="str">
        <f>"02626093"</f>
        <v>02626093</v>
      </c>
      <c r="C3061" t="s">
        <v>17348</v>
      </c>
      <c r="D3061" t="s">
        <v>17349</v>
      </c>
      <c r="E3061" t="s">
        <v>17350</v>
      </c>
      <c r="G3061" t="s">
        <v>17348</v>
      </c>
      <c r="H3061" t="s">
        <v>236</v>
      </c>
      <c r="J3061" t="s">
        <v>17351</v>
      </c>
      <c r="L3061" t="s">
        <v>142</v>
      </c>
      <c r="M3061" t="s">
        <v>113</v>
      </c>
      <c r="R3061" t="s">
        <v>17352</v>
      </c>
      <c r="W3061" t="s">
        <v>17350</v>
      </c>
      <c r="X3061" t="s">
        <v>17350</v>
      </c>
      <c r="Y3061" t="s">
        <v>240</v>
      </c>
      <c r="Z3061" t="s">
        <v>117</v>
      </c>
      <c r="AA3061" t="str">
        <f>"14221-1729"</f>
        <v>14221-1729</v>
      </c>
      <c r="AB3061" t="s">
        <v>118</v>
      </c>
      <c r="AC3061" t="s">
        <v>119</v>
      </c>
      <c r="AD3061" t="s">
        <v>113</v>
      </c>
      <c r="AE3061" t="s">
        <v>120</v>
      </c>
      <c r="AG3061" t="s">
        <v>121</v>
      </c>
    </row>
    <row r="3062" spans="1:33" x14ac:dyDescent="0.25">
      <c r="A3062" t="str">
        <f>"1669491320"</f>
        <v>1669491320</v>
      </c>
      <c r="B3062" t="str">
        <f>"03106301"</f>
        <v>03106301</v>
      </c>
      <c r="C3062" t="s">
        <v>17353</v>
      </c>
      <c r="D3062" t="s">
        <v>17354</v>
      </c>
      <c r="E3062" t="s">
        <v>17355</v>
      </c>
      <c r="G3062" t="s">
        <v>17353</v>
      </c>
      <c r="J3062" t="s">
        <v>17356</v>
      </c>
      <c r="L3062" t="s">
        <v>142</v>
      </c>
      <c r="M3062" t="s">
        <v>113</v>
      </c>
      <c r="R3062" t="s">
        <v>17355</v>
      </c>
      <c r="W3062" t="s">
        <v>17357</v>
      </c>
      <c r="X3062" t="s">
        <v>216</v>
      </c>
      <c r="Y3062" t="s">
        <v>116</v>
      </c>
      <c r="Z3062" t="s">
        <v>117</v>
      </c>
      <c r="AA3062" t="str">
        <f>"14222-2006"</f>
        <v>14222-2006</v>
      </c>
      <c r="AB3062" t="s">
        <v>118</v>
      </c>
      <c r="AC3062" t="s">
        <v>119</v>
      </c>
      <c r="AD3062" t="s">
        <v>113</v>
      </c>
      <c r="AE3062" t="s">
        <v>120</v>
      </c>
      <c r="AG3062" t="s">
        <v>121</v>
      </c>
    </row>
    <row r="3063" spans="1:33" x14ac:dyDescent="0.25">
      <c r="A3063" t="str">
        <f>"1669492096"</f>
        <v>1669492096</v>
      </c>
      <c r="B3063" t="str">
        <f>"01950843"</f>
        <v>01950843</v>
      </c>
      <c r="C3063" t="s">
        <v>17358</v>
      </c>
      <c r="D3063" t="s">
        <v>17359</v>
      </c>
      <c r="E3063" t="s">
        <v>17360</v>
      </c>
      <c r="G3063" t="s">
        <v>17361</v>
      </c>
      <c r="H3063" t="s">
        <v>1350</v>
      </c>
      <c r="L3063" t="s">
        <v>150</v>
      </c>
      <c r="M3063" t="s">
        <v>113</v>
      </c>
      <c r="R3063" t="s">
        <v>17362</v>
      </c>
      <c r="W3063" t="s">
        <v>17360</v>
      </c>
      <c r="X3063" t="s">
        <v>17363</v>
      </c>
      <c r="Y3063" t="s">
        <v>663</v>
      </c>
      <c r="Z3063" t="s">
        <v>117</v>
      </c>
      <c r="AA3063" t="str">
        <f>"14094-3812"</f>
        <v>14094-3812</v>
      </c>
      <c r="AB3063" t="s">
        <v>118</v>
      </c>
      <c r="AC3063" t="s">
        <v>119</v>
      </c>
      <c r="AD3063" t="s">
        <v>113</v>
      </c>
      <c r="AE3063" t="s">
        <v>120</v>
      </c>
      <c r="AG3063" t="s">
        <v>121</v>
      </c>
    </row>
    <row r="3064" spans="1:33" x14ac:dyDescent="0.25">
      <c r="A3064" t="str">
        <f>"1780655746"</f>
        <v>1780655746</v>
      </c>
      <c r="B3064" t="str">
        <f>"01161366"</f>
        <v>01161366</v>
      </c>
      <c r="C3064" t="s">
        <v>17364</v>
      </c>
      <c r="D3064" t="s">
        <v>17365</v>
      </c>
      <c r="E3064" t="s">
        <v>17366</v>
      </c>
      <c r="G3064" t="s">
        <v>17367</v>
      </c>
      <c r="H3064" t="s">
        <v>213</v>
      </c>
      <c r="J3064" t="s">
        <v>17368</v>
      </c>
      <c r="L3064" t="s">
        <v>142</v>
      </c>
      <c r="M3064" t="s">
        <v>113</v>
      </c>
      <c r="R3064" t="s">
        <v>17369</v>
      </c>
      <c r="W3064" t="s">
        <v>17366</v>
      </c>
      <c r="X3064" t="s">
        <v>216</v>
      </c>
      <c r="Y3064" t="s">
        <v>116</v>
      </c>
      <c r="Z3064" t="s">
        <v>117</v>
      </c>
      <c r="AA3064" t="str">
        <f>"14222-2006"</f>
        <v>14222-2006</v>
      </c>
      <c r="AB3064" t="s">
        <v>118</v>
      </c>
      <c r="AC3064" t="s">
        <v>119</v>
      </c>
      <c r="AD3064" t="s">
        <v>113</v>
      </c>
      <c r="AE3064" t="s">
        <v>120</v>
      </c>
      <c r="AG3064" t="s">
        <v>121</v>
      </c>
    </row>
    <row r="3065" spans="1:33" x14ac:dyDescent="0.25">
      <c r="A3065" t="str">
        <f>"1780669879"</f>
        <v>1780669879</v>
      </c>
      <c r="B3065" t="str">
        <f>"00615494"</f>
        <v>00615494</v>
      </c>
      <c r="C3065" t="s">
        <v>17370</v>
      </c>
      <c r="D3065" t="s">
        <v>17371</v>
      </c>
      <c r="E3065" t="s">
        <v>17372</v>
      </c>
      <c r="G3065" t="s">
        <v>17370</v>
      </c>
      <c r="H3065" t="s">
        <v>17373</v>
      </c>
      <c r="J3065" t="s">
        <v>17374</v>
      </c>
      <c r="L3065" t="s">
        <v>150</v>
      </c>
      <c r="M3065" t="s">
        <v>113</v>
      </c>
      <c r="R3065" t="s">
        <v>17375</v>
      </c>
      <c r="W3065" t="s">
        <v>17372</v>
      </c>
      <c r="X3065" t="s">
        <v>17376</v>
      </c>
      <c r="Y3065" t="s">
        <v>348</v>
      </c>
      <c r="Z3065" t="s">
        <v>117</v>
      </c>
      <c r="AA3065" t="str">
        <f>"14043-1029"</f>
        <v>14043-1029</v>
      </c>
      <c r="AB3065" t="s">
        <v>118</v>
      </c>
      <c r="AC3065" t="s">
        <v>119</v>
      </c>
      <c r="AD3065" t="s">
        <v>113</v>
      </c>
      <c r="AE3065" t="s">
        <v>120</v>
      </c>
      <c r="AG3065" t="s">
        <v>121</v>
      </c>
    </row>
    <row r="3066" spans="1:33" x14ac:dyDescent="0.25">
      <c r="A3066" t="str">
        <f>"1780678409"</f>
        <v>1780678409</v>
      </c>
      <c r="B3066" t="str">
        <f>"01625516"</f>
        <v>01625516</v>
      </c>
      <c r="C3066" t="s">
        <v>17377</v>
      </c>
      <c r="D3066" t="s">
        <v>17378</v>
      </c>
      <c r="E3066" t="s">
        <v>17379</v>
      </c>
      <c r="G3066" t="s">
        <v>17377</v>
      </c>
      <c r="H3066" t="s">
        <v>17380</v>
      </c>
      <c r="J3066" t="s">
        <v>17381</v>
      </c>
      <c r="L3066" t="s">
        <v>150</v>
      </c>
      <c r="M3066" t="s">
        <v>199</v>
      </c>
      <c r="R3066" t="s">
        <v>17382</v>
      </c>
      <c r="W3066" t="s">
        <v>17383</v>
      </c>
      <c r="X3066" t="s">
        <v>17384</v>
      </c>
      <c r="Y3066" t="s">
        <v>116</v>
      </c>
      <c r="Z3066" t="s">
        <v>117</v>
      </c>
      <c r="AA3066" t="str">
        <f>"14215-3021"</f>
        <v>14215-3021</v>
      </c>
      <c r="AB3066" t="s">
        <v>118</v>
      </c>
      <c r="AC3066" t="s">
        <v>119</v>
      </c>
      <c r="AD3066" t="s">
        <v>113</v>
      </c>
      <c r="AE3066" t="s">
        <v>120</v>
      </c>
      <c r="AG3066" t="s">
        <v>121</v>
      </c>
    </row>
    <row r="3067" spans="1:33" x14ac:dyDescent="0.25">
      <c r="A3067" t="str">
        <f>"1780681569"</f>
        <v>1780681569</v>
      </c>
      <c r="B3067" t="str">
        <f>"02548516"</f>
        <v>02548516</v>
      </c>
      <c r="C3067" t="s">
        <v>17385</v>
      </c>
      <c r="D3067" t="s">
        <v>17386</v>
      </c>
      <c r="E3067" t="s">
        <v>17387</v>
      </c>
      <c r="G3067" t="s">
        <v>17385</v>
      </c>
      <c r="H3067" t="s">
        <v>1227</v>
      </c>
      <c r="J3067" t="s">
        <v>17388</v>
      </c>
      <c r="L3067" t="s">
        <v>142</v>
      </c>
      <c r="M3067" t="s">
        <v>113</v>
      </c>
      <c r="R3067" t="s">
        <v>17389</v>
      </c>
      <c r="W3067" t="s">
        <v>17387</v>
      </c>
      <c r="X3067" t="s">
        <v>709</v>
      </c>
      <c r="Y3067" t="s">
        <v>116</v>
      </c>
      <c r="Z3067" t="s">
        <v>117</v>
      </c>
      <c r="AA3067" t="str">
        <f>"14263-0001"</f>
        <v>14263-0001</v>
      </c>
      <c r="AB3067" t="s">
        <v>118</v>
      </c>
      <c r="AC3067" t="s">
        <v>119</v>
      </c>
      <c r="AD3067" t="s">
        <v>113</v>
      </c>
      <c r="AE3067" t="s">
        <v>120</v>
      </c>
      <c r="AG3067" t="s">
        <v>121</v>
      </c>
    </row>
    <row r="3068" spans="1:33" x14ac:dyDescent="0.25">
      <c r="A3068" t="str">
        <f>"1336375054"</f>
        <v>1336375054</v>
      </c>
      <c r="C3068" t="s">
        <v>17390</v>
      </c>
      <c r="G3068" t="s">
        <v>17390</v>
      </c>
      <c r="H3068" t="s">
        <v>590</v>
      </c>
      <c r="J3068" t="s">
        <v>17391</v>
      </c>
      <c r="K3068" t="s">
        <v>303</v>
      </c>
      <c r="L3068" t="s">
        <v>112</v>
      </c>
      <c r="M3068" t="s">
        <v>113</v>
      </c>
      <c r="R3068" t="s">
        <v>17392</v>
      </c>
      <c r="S3068" t="s">
        <v>846</v>
      </c>
      <c r="T3068" t="s">
        <v>847</v>
      </c>
      <c r="U3068" t="s">
        <v>117</v>
      </c>
      <c r="V3068" t="str">
        <f>"145691326"</f>
        <v>145691326</v>
      </c>
      <c r="AC3068" t="s">
        <v>119</v>
      </c>
      <c r="AD3068" t="s">
        <v>113</v>
      </c>
      <c r="AE3068" t="s">
        <v>306</v>
      </c>
      <c r="AG3068" t="s">
        <v>121</v>
      </c>
    </row>
    <row r="3069" spans="1:33" x14ac:dyDescent="0.25">
      <c r="A3069" t="str">
        <f>"1336375260"</f>
        <v>1336375260</v>
      </c>
      <c r="B3069" t="str">
        <f>"03462755"</f>
        <v>03462755</v>
      </c>
      <c r="C3069" t="s">
        <v>17393</v>
      </c>
      <c r="D3069" t="s">
        <v>17394</v>
      </c>
      <c r="E3069" t="s">
        <v>17395</v>
      </c>
      <c r="G3069" t="s">
        <v>17393</v>
      </c>
      <c r="H3069" t="s">
        <v>17396</v>
      </c>
      <c r="J3069" t="s">
        <v>17397</v>
      </c>
      <c r="L3069" t="s">
        <v>142</v>
      </c>
      <c r="M3069" t="s">
        <v>113</v>
      </c>
      <c r="R3069" t="s">
        <v>17398</v>
      </c>
      <c r="W3069" t="s">
        <v>17395</v>
      </c>
      <c r="X3069" t="s">
        <v>176</v>
      </c>
      <c r="Y3069" t="s">
        <v>116</v>
      </c>
      <c r="Z3069" t="s">
        <v>117</v>
      </c>
      <c r="AA3069" t="str">
        <f>"14203-1126"</f>
        <v>14203-1126</v>
      </c>
      <c r="AB3069" t="s">
        <v>118</v>
      </c>
      <c r="AC3069" t="s">
        <v>119</v>
      </c>
      <c r="AD3069" t="s">
        <v>113</v>
      </c>
      <c r="AE3069" t="s">
        <v>120</v>
      </c>
      <c r="AG3069" t="s">
        <v>121</v>
      </c>
    </row>
    <row r="3070" spans="1:33" x14ac:dyDescent="0.25">
      <c r="A3070" t="str">
        <f>"1336376235"</f>
        <v>1336376235</v>
      </c>
      <c r="B3070" t="str">
        <f>"03125266"</f>
        <v>03125266</v>
      </c>
      <c r="C3070" t="s">
        <v>17399</v>
      </c>
      <c r="D3070" t="s">
        <v>17400</v>
      </c>
      <c r="E3070" t="s">
        <v>17401</v>
      </c>
      <c r="G3070" t="s">
        <v>17402</v>
      </c>
      <c r="H3070" t="s">
        <v>579</v>
      </c>
      <c r="L3070" t="s">
        <v>150</v>
      </c>
      <c r="M3070" t="s">
        <v>113</v>
      </c>
      <c r="R3070" t="s">
        <v>17402</v>
      </c>
      <c r="W3070" t="s">
        <v>17401</v>
      </c>
      <c r="X3070" t="s">
        <v>17403</v>
      </c>
      <c r="Y3070" t="s">
        <v>153</v>
      </c>
      <c r="Z3070" t="s">
        <v>117</v>
      </c>
      <c r="AA3070" t="str">
        <f>"14304-3080"</f>
        <v>14304-3080</v>
      </c>
      <c r="AB3070" t="s">
        <v>118</v>
      </c>
      <c r="AC3070" t="s">
        <v>119</v>
      </c>
      <c r="AD3070" t="s">
        <v>113</v>
      </c>
      <c r="AE3070" t="s">
        <v>120</v>
      </c>
      <c r="AG3070" t="s">
        <v>121</v>
      </c>
    </row>
    <row r="3071" spans="1:33" x14ac:dyDescent="0.25">
      <c r="A3071" t="str">
        <f>"1336382050"</f>
        <v>1336382050</v>
      </c>
      <c r="B3071" t="str">
        <f>"03851690"</f>
        <v>03851690</v>
      </c>
      <c r="C3071" t="s">
        <v>17404</v>
      </c>
      <c r="D3071" t="s">
        <v>17405</v>
      </c>
      <c r="E3071" t="s">
        <v>17406</v>
      </c>
      <c r="G3071" t="s">
        <v>17404</v>
      </c>
      <c r="J3071" t="s">
        <v>17407</v>
      </c>
      <c r="L3071" t="s">
        <v>142</v>
      </c>
      <c r="M3071" t="s">
        <v>113</v>
      </c>
      <c r="R3071" t="s">
        <v>17408</v>
      </c>
      <c r="W3071" t="s">
        <v>17406</v>
      </c>
      <c r="X3071" t="s">
        <v>216</v>
      </c>
      <c r="Y3071" t="s">
        <v>116</v>
      </c>
      <c r="Z3071" t="s">
        <v>117</v>
      </c>
      <c r="AA3071" t="str">
        <f>"14222-2006"</f>
        <v>14222-2006</v>
      </c>
      <c r="AB3071" t="s">
        <v>118</v>
      </c>
      <c r="AC3071" t="s">
        <v>119</v>
      </c>
      <c r="AD3071" t="s">
        <v>113</v>
      </c>
      <c r="AE3071" t="s">
        <v>120</v>
      </c>
      <c r="AG3071" t="s">
        <v>121</v>
      </c>
    </row>
    <row r="3072" spans="1:33" x14ac:dyDescent="0.25">
      <c r="A3072" t="str">
        <f>"1336383041"</f>
        <v>1336383041</v>
      </c>
      <c r="B3072" t="str">
        <f>"03489530"</f>
        <v>03489530</v>
      </c>
      <c r="C3072" t="s">
        <v>17409</v>
      </c>
      <c r="D3072" t="s">
        <v>17410</v>
      </c>
      <c r="E3072" t="s">
        <v>17411</v>
      </c>
      <c r="G3072" t="s">
        <v>17409</v>
      </c>
      <c r="H3072" t="s">
        <v>17412</v>
      </c>
      <c r="J3072" t="s">
        <v>17413</v>
      </c>
      <c r="L3072" t="s">
        <v>1033</v>
      </c>
      <c r="M3072" t="s">
        <v>113</v>
      </c>
      <c r="R3072" t="s">
        <v>17414</v>
      </c>
      <c r="W3072" t="s">
        <v>17411</v>
      </c>
      <c r="X3072" t="s">
        <v>9517</v>
      </c>
      <c r="Y3072" t="s">
        <v>116</v>
      </c>
      <c r="Z3072" t="s">
        <v>117</v>
      </c>
      <c r="AA3072" t="str">
        <f>"14202-1102"</f>
        <v>14202-1102</v>
      </c>
      <c r="AB3072" t="s">
        <v>118</v>
      </c>
      <c r="AC3072" t="s">
        <v>119</v>
      </c>
      <c r="AD3072" t="s">
        <v>113</v>
      </c>
      <c r="AE3072" t="s">
        <v>120</v>
      </c>
      <c r="AG3072" t="s">
        <v>121</v>
      </c>
    </row>
    <row r="3073" spans="1:33" x14ac:dyDescent="0.25">
      <c r="A3073" t="str">
        <f>"1336395649"</f>
        <v>1336395649</v>
      </c>
      <c r="B3073" t="str">
        <f>"03056535"</f>
        <v>03056535</v>
      </c>
      <c r="C3073" t="s">
        <v>17415</v>
      </c>
      <c r="D3073" t="s">
        <v>17416</v>
      </c>
      <c r="E3073" t="s">
        <v>17417</v>
      </c>
      <c r="G3073" t="s">
        <v>17415</v>
      </c>
      <c r="H3073" t="s">
        <v>8070</v>
      </c>
      <c r="J3073" t="s">
        <v>17418</v>
      </c>
      <c r="L3073" t="s">
        <v>728</v>
      </c>
      <c r="M3073" t="s">
        <v>113</v>
      </c>
      <c r="R3073" t="s">
        <v>17417</v>
      </c>
      <c r="W3073" t="s">
        <v>17419</v>
      </c>
      <c r="X3073" t="s">
        <v>17420</v>
      </c>
      <c r="Y3073" t="s">
        <v>978</v>
      </c>
      <c r="Z3073" t="s">
        <v>117</v>
      </c>
      <c r="AA3073" t="str">
        <f>"14081-9706"</f>
        <v>14081-9706</v>
      </c>
      <c r="AB3073" t="s">
        <v>118</v>
      </c>
      <c r="AC3073" t="s">
        <v>119</v>
      </c>
      <c r="AD3073" t="s">
        <v>113</v>
      </c>
      <c r="AE3073" t="s">
        <v>120</v>
      </c>
      <c r="AG3073" t="s">
        <v>121</v>
      </c>
    </row>
    <row r="3074" spans="1:33" x14ac:dyDescent="0.25">
      <c r="A3074" t="str">
        <f>"1336426626"</f>
        <v>1336426626</v>
      </c>
      <c r="C3074" t="s">
        <v>17421</v>
      </c>
      <c r="G3074" t="s">
        <v>17421</v>
      </c>
      <c r="H3074" t="s">
        <v>937</v>
      </c>
      <c r="J3074" t="s">
        <v>17422</v>
      </c>
      <c r="K3074" t="s">
        <v>303</v>
      </c>
      <c r="L3074" t="s">
        <v>229</v>
      </c>
      <c r="M3074" t="s">
        <v>113</v>
      </c>
      <c r="R3074" t="s">
        <v>17423</v>
      </c>
      <c r="S3074" t="s">
        <v>3739</v>
      </c>
      <c r="T3074" t="s">
        <v>240</v>
      </c>
      <c r="U3074" t="s">
        <v>117</v>
      </c>
      <c r="V3074" t="str">
        <f>"142216728"</f>
        <v>142216728</v>
      </c>
      <c r="AC3074" t="s">
        <v>119</v>
      </c>
      <c r="AD3074" t="s">
        <v>113</v>
      </c>
      <c r="AE3074" t="s">
        <v>306</v>
      </c>
      <c r="AG3074" t="s">
        <v>121</v>
      </c>
    </row>
    <row r="3075" spans="1:33" x14ac:dyDescent="0.25">
      <c r="A3075" t="str">
        <f>"1336450063"</f>
        <v>1336450063</v>
      </c>
      <c r="C3075" t="s">
        <v>17424</v>
      </c>
      <c r="G3075" t="s">
        <v>17425</v>
      </c>
      <c r="J3075" t="s">
        <v>352</v>
      </c>
      <c r="K3075" t="s">
        <v>303</v>
      </c>
      <c r="L3075" t="s">
        <v>229</v>
      </c>
      <c r="M3075" t="s">
        <v>113</v>
      </c>
      <c r="R3075" t="s">
        <v>17426</v>
      </c>
      <c r="S3075" t="s">
        <v>1091</v>
      </c>
      <c r="T3075" t="s">
        <v>116</v>
      </c>
      <c r="U3075" t="s">
        <v>117</v>
      </c>
      <c r="V3075" t="str">
        <f>"142072341"</f>
        <v>142072341</v>
      </c>
      <c r="AC3075" t="s">
        <v>119</v>
      </c>
      <c r="AD3075" t="s">
        <v>113</v>
      </c>
      <c r="AE3075" t="s">
        <v>306</v>
      </c>
      <c r="AG3075" t="s">
        <v>121</v>
      </c>
    </row>
    <row r="3076" spans="1:33" x14ac:dyDescent="0.25">
      <c r="A3076" t="str">
        <f>"1336472455"</f>
        <v>1336472455</v>
      </c>
      <c r="B3076" t="str">
        <f>"04543519"</f>
        <v>04543519</v>
      </c>
      <c r="C3076" t="s">
        <v>17427</v>
      </c>
      <c r="D3076" t="s">
        <v>17428</v>
      </c>
      <c r="E3076" t="s">
        <v>17429</v>
      </c>
      <c r="G3076" t="s">
        <v>17427</v>
      </c>
      <c r="H3076" t="s">
        <v>17430</v>
      </c>
      <c r="J3076" t="s">
        <v>17431</v>
      </c>
      <c r="L3076" t="s">
        <v>112</v>
      </c>
      <c r="M3076" t="s">
        <v>113</v>
      </c>
      <c r="R3076" t="s">
        <v>17432</v>
      </c>
      <c r="W3076" t="s">
        <v>17429</v>
      </c>
      <c r="AB3076" t="s">
        <v>621</v>
      </c>
      <c r="AC3076" t="s">
        <v>119</v>
      </c>
      <c r="AD3076" t="s">
        <v>113</v>
      </c>
      <c r="AE3076" t="s">
        <v>120</v>
      </c>
      <c r="AG3076" t="s">
        <v>121</v>
      </c>
    </row>
    <row r="3077" spans="1:33" x14ac:dyDescent="0.25">
      <c r="A3077" t="str">
        <f>"1336494855"</f>
        <v>1336494855</v>
      </c>
      <c r="C3077" t="s">
        <v>17433</v>
      </c>
      <c r="G3077" t="s">
        <v>17434</v>
      </c>
      <c r="H3077" t="s">
        <v>351</v>
      </c>
      <c r="J3077" t="s">
        <v>352</v>
      </c>
      <c r="K3077" t="s">
        <v>303</v>
      </c>
      <c r="L3077" t="s">
        <v>112</v>
      </c>
      <c r="M3077" t="s">
        <v>113</v>
      </c>
      <c r="R3077" t="s">
        <v>17435</v>
      </c>
      <c r="S3077" t="s">
        <v>354</v>
      </c>
      <c r="T3077" t="s">
        <v>116</v>
      </c>
      <c r="U3077" t="s">
        <v>117</v>
      </c>
      <c r="V3077" t="str">
        <f>"142152814"</f>
        <v>142152814</v>
      </c>
      <c r="AC3077" t="s">
        <v>119</v>
      </c>
      <c r="AD3077" t="s">
        <v>113</v>
      </c>
      <c r="AE3077" t="s">
        <v>306</v>
      </c>
      <c r="AG3077" t="s">
        <v>121</v>
      </c>
    </row>
    <row r="3078" spans="1:33" x14ac:dyDescent="0.25">
      <c r="A3078" t="str">
        <f>"1336567759"</f>
        <v>1336567759</v>
      </c>
      <c r="C3078" t="s">
        <v>17436</v>
      </c>
      <c r="G3078" t="s">
        <v>17437</v>
      </c>
      <c r="H3078" t="s">
        <v>351</v>
      </c>
      <c r="K3078" t="s">
        <v>303</v>
      </c>
      <c r="L3078" t="s">
        <v>229</v>
      </c>
      <c r="M3078" t="s">
        <v>113</v>
      </c>
      <c r="R3078" t="s">
        <v>17438</v>
      </c>
      <c r="S3078" t="s">
        <v>354</v>
      </c>
      <c r="T3078" t="s">
        <v>116</v>
      </c>
      <c r="U3078" t="s">
        <v>117</v>
      </c>
      <c r="V3078" t="str">
        <f>"142152814"</f>
        <v>142152814</v>
      </c>
      <c r="AC3078" t="s">
        <v>119</v>
      </c>
      <c r="AD3078" t="s">
        <v>113</v>
      </c>
      <c r="AE3078" t="s">
        <v>306</v>
      </c>
      <c r="AG3078" t="s">
        <v>121</v>
      </c>
    </row>
    <row r="3079" spans="1:33" x14ac:dyDescent="0.25">
      <c r="A3079" t="str">
        <f>"1346204377"</f>
        <v>1346204377</v>
      </c>
      <c r="B3079" t="str">
        <f>"01478197"</f>
        <v>01478197</v>
      </c>
      <c r="C3079" t="s">
        <v>17439</v>
      </c>
      <c r="D3079" t="s">
        <v>17440</v>
      </c>
      <c r="E3079" t="s">
        <v>17441</v>
      </c>
      <c r="G3079" t="s">
        <v>17442</v>
      </c>
      <c r="H3079" t="s">
        <v>17443</v>
      </c>
      <c r="J3079" t="s">
        <v>17444</v>
      </c>
      <c r="L3079" t="s">
        <v>150</v>
      </c>
      <c r="M3079" t="s">
        <v>113</v>
      </c>
      <c r="R3079" t="s">
        <v>17445</v>
      </c>
      <c r="W3079" t="s">
        <v>17441</v>
      </c>
      <c r="X3079" t="s">
        <v>17446</v>
      </c>
      <c r="Y3079" t="s">
        <v>116</v>
      </c>
      <c r="Z3079" t="s">
        <v>117</v>
      </c>
      <c r="AA3079" t="str">
        <f>"14202"</f>
        <v>14202</v>
      </c>
      <c r="AB3079" t="s">
        <v>118</v>
      </c>
      <c r="AC3079" t="s">
        <v>119</v>
      </c>
      <c r="AD3079" t="s">
        <v>113</v>
      </c>
      <c r="AE3079" t="s">
        <v>120</v>
      </c>
      <c r="AG3079" t="s">
        <v>121</v>
      </c>
    </row>
    <row r="3080" spans="1:33" x14ac:dyDescent="0.25">
      <c r="A3080" t="str">
        <f>"1346205366"</f>
        <v>1346205366</v>
      </c>
      <c r="B3080" t="str">
        <f>"02344654"</f>
        <v>02344654</v>
      </c>
      <c r="C3080" t="s">
        <v>17447</v>
      </c>
      <c r="D3080" t="s">
        <v>17448</v>
      </c>
      <c r="E3080" t="s">
        <v>17449</v>
      </c>
      <c r="G3080" t="s">
        <v>17450</v>
      </c>
      <c r="H3080" t="s">
        <v>630</v>
      </c>
      <c r="J3080" t="s">
        <v>17451</v>
      </c>
      <c r="L3080" t="s">
        <v>229</v>
      </c>
      <c r="M3080" t="s">
        <v>113</v>
      </c>
      <c r="R3080" t="s">
        <v>17452</v>
      </c>
      <c r="W3080" t="s">
        <v>17449</v>
      </c>
      <c r="X3080" t="s">
        <v>253</v>
      </c>
      <c r="Y3080" t="s">
        <v>116</v>
      </c>
      <c r="Z3080" t="s">
        <v>117</v>
      </c>
      <c r="AA3080" t="str">
        <f>"14215-3021"</f>
        <v>14215-3021</v>
      </c>
      <c r="AB3080" t="s">
        <v>118</v>
      </c>
      <c r="AC3080" t="s">
        <v>119</v>
      </c>
      <c r="AD3080" t="s">
        <v>113</v>
      </c>
      <c r="AE3080" t="s">
        <v>120</v>
      </c>
      <c r="AG3080" t="s">
        <v>121</v>
      </c>
    </row>
    <row r="3081" spans="1:33" x14ac:dyDescent="0.25">
      <c r="A3081" t="str">
        <f>"1346215167"</f>
        <v>1346215167</v>
      </c>
      <c r="B3081" t="str">
        <f>"01530547"</f>
        <v>01530547</v>
      </c>
      <c r="C3081" t="s">
        <v>17453</v>
      </c>
      <c r="D3081" t="s">
        <v>17454</v>
      </c>
      <c r="E3081" t="s">
        <v>17455</v>
      </c>
      <c r="G3081" t="s">
        <v>17453</v>
      </c>
      <c r="H3081" t="s">
        <v>205</v>
      </c>
      <c r="J3081" t="s">
        <v>17456</v>
      </c>
      <c r="L3081" t="s">
        <v>142</v>
      </c>
      <c r="M3081" t="s">
        <v>113</v>
      </c>
      <c r="R3081" t="s">
        <v>17457</v>
      </c>
      <c r="W3081" t="s">
        <v>17455</v>
      </c>
      <c r="X3081" t="s">
        <v>17458</v>
      </c>
      <c r="Y3081" t="s">
        <v>17459</v>
      </c>
      <c r="Z3081" t="s">
        <v>117</v>
      </c>
      <c r="AA3081" t="str">
        <f>"11030-3816"</f>
        <v>11030-3816</v>
      </c>
      <c r="AB3081" t="s">
        <v>118</v>
      </c>
      <c r="AC3081" t="s">
        <v>119</v>
      </c>
      <c r="AD3081" t="s">
        <v>113</v>
      </c>
      <c r="AE3081" t="s">
        <v>120</v>
      </c>
      <c r="AG3081" t="s">
        <v>121</v>
      </c>
    </row>
    <row r="3082" spans="1:33" x14ac:dyDescent="0.25">
      <c r="A3082" t="str">
        <f>"1346219847"</f>
        <v>1346219847</v>
      </c>
      <c r="B3082" t="str">
        <f>"01169933"</f>
        <v>01169933</v>
      </c>
      <c r="C3082" t="s">
        <v>17460</v>
      </c>
      <c r="D3082" t="s">
        <v>17461</v>
      </c>
      <c r="E3082" t="s">
        <v>17462</v>
      </c>
      <c r="G3082" t="s">
        <v>17460</v>
      </c>
      <c r="H3082" t="s">
        <v>17463</v>
      </c>
      <c r="J3082" t="s">
        <v>17464</v>
      </c>
      <c r="L3082" t="s">
        <v>142</v>
      </c>
      <c r="M3082" t="s">
        <v>113</v>
      </c>
      <c r="R3082" t="s">
        <v>17465</v>
      </c>
      <c r="W3082" t="s">
        <v>17462</v>
      </c>
      <c r="X3082" t="s">
        <v>17466</v>
      </c>
      <c r="Y3082" t="s">
        <v>116</v>
      </c>
      <c r="Z3082" t="s">
        <v>117</v>
      </c>
      <c r="AA3082" t="str">
        <f>"14214-2648"</f>
        <v>14214-2648</v>
      </c>
      <c r="AB3082" t="s">
        <v>118</v>
      </c>
      <c r="AC3082" t="s">
        <v>119</v>
      </c>
      <c r="AD3082" t="s">
        <v>113</v>
      </c>
      <c r="AE3082" t="s">
        <v>120</v>
      </c>
      <c r="AG3082" t="s">
        <v>121</v>
      </c>
    </row>
    <row r="3083" spans="1:33" x14ac:dyDescent="0.25">
      <c r="A3083" t="str">
        <f>"1457390304"</f>
        <v>1457390304</v>
      </c>
      <c r="B3083" t="str">
        <f>"02344681"</f>
        <v>02344681</v>
      </c>
      <c r="C3083" t="s">
        <v>17467</v>
      </c>
      <c r="D3083" t="s">
        <v>17468</v>
      </c>
      <c r="E3083" t="s">
        <v>17469</v>
      </c>
      <c r="G3083" t="s">
        <v>17470</v>
      </c>
      <c r="H3083" t="s">
        <v>366</v>
      </c>
      <c r="J3083" t="s">
        <v>17471</v>
      </c>
      <c r="L3083" t="s">
        <v>112</v>
      </c>
      <c r="M3083" t="s">
        <v>113</v>
      </c>
      <c r="R3083" t="s">
        <v>17472</v>
      </c>
      <c r="W3083" t="s">
        <v>17473</v>
      </c>
      <c r="X3083" t="s">
        <v>216</v>
      </c>
      <c r="Y3083" t="s">
        <v>116</v>
      </c>
      <c r="Z3083" t="s">
        <v>117</v>
      </c>
      <c r="AA3083" t="str">
        <f>"14222-2006"</f>
        <v>14222-2006</v>
      </c>
      <c r="AB3083" t="s">
        <v>118</v>
      </c>
      <c r="AC3083" t="s">
        <v>119</v>
      </c>
      <c r="AD3083" t="s">
        <v>113</v>
      </c>
      <c r="AE3083" t="s">
        <v>120</v>
      </c>
      <c r="AG3083" t="s">
        <v>121</v>
      </c>
    </row>
    <row r="3084" spans="1:33" x14ac:dyDescent="0.25">
      <c r="A3084" t="str">
        <f>"1457399883"</f>
        <v>1457399883</v>
      </c>
      <c r="B3084" t="str">
        <f>"01129840"</f>
        <v>01129840</v>
      </c>
      <c r="C3084" t="s">
        <v>17474</v>
      </c>
      <c r="D3084" t="s">
        <v>17475</v>
      </c>
      <c r="E3084" t="s">
        <v>17476</v>
      </c>
      <c r="G3084" t="s">
        <v>17474</v>
      </c>
      <c r="H3084" t="s">
        <v>17477</v>
      </c>
      <c r="J3084" t="s">
        <v>17478</v>
      </c>
      <c r="L3084" t="s">
        <v>142</v>
      </c>
      <c r="M3084" t="s">
        <v>113</v>
      </c>
      <c r="R3084" t="s">
        <v>17479</v>
      </c>
      <c r="W3084" t="s">
        <v>17476</v>
      </c>
      <c r="X3084" t="s">
        <v>14691</v>
      </c>
      <c r="Y3084" t="s">
        <v>116</v>
      </c>
      <c r="Z3084" t="s">
        <v>117</v>
      </c>
      <c r="AA3084" t="str">
        <f>"14201-1435"</f>
        <v>14201-1435</v>
      </c>
      <c r="AB3084" t="s">
        <v>118</v>
      </c>
      <c r="AC3084" t="s">
        <v>119</v>
      </c>
      <c r="AD3084" t="s">
        <v>113</v>
      </c>
      <c r="AE3084" t="s">
        <v>120</v>
      </c>
      <c r="AG3084" t="s">
        <v>121</v>
      </c>
    </row>
    <row r="3085" spans="1:33" x14ac:dyDescent="0.25">
      <c r="A3085" t="str">
        <f>"1053377325"</f>
        <v>1053377325</v>
      </c>
      <c r="B3085" t="str">
        <f>"01689298"</f>
        <v>01689298</v>
      </c>
      <c r="C3085" t="s">
        <v>17480</v>
      </c>
      <c r="D3085" t="s">
        <v>17481</v>
      </c>
      <c r="E3085" t="s">
        <v>17482</v>
      </c>
      <c r="G3085" t="s">
        <v>17483</v>
      </c>
      <c r="H3085" t="s">
        <v>17484</v>
      </c>
      <c r="J3085" t="s">
        <v>17485</v>
      </c>
      <c r="L3085" t="s">
        <v>142</v>
      </c>
      <c r="M3085" t="s">
        <v>113</v>
      </c>
      <c r="R3085" t="s">
        <v>17486</v>
      </c>
      <c r="W3085" t="s">
        <v>17482</v>
      </c>
      <c r="AB3085" t="s">
        <v>118</v>
      </c>
      <c r="AC3085" t="s">
        <v>119</v>
      </c>
      <c r="AD3085" t="s">
        <v>113</v>
      </c>
      <c r="AE3085" t="s">
        <v>120</v>
      </c>
      <c r="AG3085" t="s">
        <v>121</v>
      </c>
    </row>
    <row r="3086" spans="1:33" x14ac:dyDescent="0.25">
      <c r="A3086" t="str">
        <f>"1053378109"</f>
        <v>1053378109</v>
      </c>
      <c r="B3086" t="str">
        <f>"01021452"</f>
        <v>01021452</v>
      </c>
      <c r="C3086" t="s">
        <v>17487</v>
      </c>
      <c r="D3086" t="s">
        <v>17488</v>
      </c>
      <c r="E3086" t="s">
        <v>17489</v>
      </c>
      <c r="G3086" t="s">
        <v>17487</v>
      </c>
      <c r="H3086" t="s">
        <v>17490</v>
      </c>
      <c r="J3086" t="s">
        <v>17491</v>
      </c>
      <c r="L3086" t="s">
        <v>142</v>
      </c>
      <c r="M3086" t="s">
        <v>113</v>
      </c>
      <c r="R3086" t="s">
        <v>17492</v>
      </c>
      <c r="W3086" t="s">
        <v>17489</v>
      </c>
      <c r="X3086" t="s">
        <v>17313</v>
      </c>
      <c r="Y3086" t="s">
        <v>240</v>
      </c>
      <c r="Z3086" t="s">
        <v>117</v>
      </c>
      <c r="AA3086" t="str">
        <f>"14221-5799"</f>
        <v>14221-5799</v>
      </c>
      <c r="AB3086" t="s">
        <v>118</v>
      </c>
      <c r="AC3086" t="s">
        <v>119</v>
      </c>
      <c r="AD3086" t="s">
        <v>113</v>
      </c>
      <c r="AE3086" t="s">
        <v>120</v>
      </c>
      <c r="AG3086" t="s">
        <v>121</v>
      </c>
    </row>
    <row r="3087" spans="1:33" x14ac:dyDescent="0.25">
      <c r="A3087" t="str">
        <f>"1053379412"</f>
        <v>1053379412</v>
      </c>
      <c r="B3087" t="str">
        <f>"01131144"</f>
        <v>01131144</v>
      </c>
      <c r="C3087" t="s">
        <v>17493</v>
      </c>
      <c r="D3087" t="s">
        <v>17494</v>
      </c>
      <c r="E3087" t="s">
        <v>17495</v>
      </c>
      <c r="L3087" t="s">
        <v>142</v>
      </c>
      <c r="M3087" t="s">
        <v>113</v>
      </c>
      <c r="R3087" t="s">
        <v>17493</v>
      </c>
      <c r="W3087" t="s">
        <v>17495</v>
      </c>
      <c r="X3087" t="s">
        <v>888</v>
      </c>
      <c r="Y3087" t="s">
        <v>889</v>
      </c>
      <c r="Z3087" t="s">
        <v>117</v>
      </c>
      <c r="AA3087" t="str">
        <f>"14120-6196"</f>
        <v>14120-6196</v>
      </c>
      <c r="AB3087" t="s">
        <v>118</v>
      </c>
      <c r="AC3087" t="s">
        <v>119</v>
      </c>
      <c r="AD3087" t="s">
        <v>113</v>
      </c>
      <c r="AE3087" t="s">
        <v>120</v>
      </c>
      <c r="AG3087" t="s">
        <v>121</v>
      </c>
    </row>
    <row r="3088" spans="1:33" x14ac:dyDescent="0.25">
      <c r="A3088" t="str">
        <f>"1053382549"</f>
        <v>1053382549</v>
      </c>
      <c r="B3088" t="str">
        <f>"01559897"</f>
        <v>01559897</v>
      </c>
      <c r="C3088" t="s">
        <v>17496</v>
      </c>
      <c r="D3088" t="s">
        <v>17497</v>
      </c>
      <c r="E3088" t="s">
        <v>17498</v>
      </c>
      <c r="G3088" t="s">
        <v>17496</v>
      </c>
      <c r="H3088" t="s">
        <v>4189</v>
      </c>
      <c r="J3088" t="s">
        <v>17499</v>
      </c>
      <c r="L3088" t="s">
        <v>150</v>
      </c>
      <c r="M3088" t="s">
        <v>113</v>
      </c>
      <c r="R3088" t="s">
        <v>17500</v>
      </c>
      <c r="W3088" t="s">
        <v>17498</v>
      </c>
      <c r="X3088" t="s">
        <v>17501</v>
      </c>
      <c r="Y3088" t="s">
        <v>326</v>
      </c>
      <c r="Z3088" t="s">
        <v>117</v>
      </c>
      <c r="AA3088" t="str">
        <f>"14127-1777"</f>
        <v>14127-1777</v>
      </c>
      <c r="AB3088" t="s">
        <v>118</v>
      </c>
      <c r="AC3088" t="s">
        <v>119</v>
      </c>
      <c r="AD3088" t="s">
        <v>113</v>
      </c>
      <c r="AE3088" t="s">
        <v>120</v>
      </c>
      <c r="AG3088" t="s">
        <v>121</v>
      </c>
    </row>
    <row r="3089" spans="1:33" x14ac:dyDescent="0.25">
      <c r="A3089" t="str">
        <f>"1053382564"</f>
        <v>1053382564</v>
      </c>
      <c r="B3089" t="str">
        <f>"02226740"</f>
        <v>02226740</v>
      </c>
      <c r="C3089" t="s">
        <v>17502</v>
      </c>
      <c r="D3089" t="s">
        <v>17503</v>
      </c>
      <c r="E3089" t="s">
        <v>17504</v>
      </c>
      <c r="G3089" t="s">
        <v>17502</v>
      </c>
      <c r="H3089" t="s">
        <v>12239</v>
      </c>
      <c r="J3089" t="s">
        <v>17505</v>
      </c>
      <c r="L3089" t="s">
        <v>142</v>
      </c>
      <c r="M3089" t="s">
        <v>113</v>
      </c>
      <c r="R3089" t="s">
        <v>17506</v>
      </c>
      <c r="W3089" t="s">
        <v>17504</v>
      </c>
      <c r="X3089" t="s">
        <v>17507</v>
      </c>
      <c r="Y3089" t="s">
        <v>116</v>
      </c>
      <c r="Z3089" t="s">
        <v>117</v>
      </c>
      <c r="AA3089" t="str">
        <f>"14222-2006"</f>
        <v>14222-2006</v>
      </c>
      <c r="AB3089" t="s">
        <v>118</v>
      </c>
      <c r="AC3089" t="s">
        <v>119</v>
      </c>
      <c r="AD3089" t="s">
        <v>113</v>
      </c>
      <c r="AE3089" t="s">
        <v>120</v>
      </c>
      <c r="AG3089" t="s">
        <v>121</v>
      </c>
    </row>
    <row r="3090" spans="1:33" x14ac:dyDescent="0.25">
      <c r="A3090" t="str">
        <f>"1508830886"</f>
        <v>1508830886</v>
      </c>
      <c r="B3090" t="str">
        <f>"02995908"</f>
        <v>02995908</v>
      </c>
      <c r="C3090" t="s">
        <v>6563</v>
      </c>
      <c r="D3090" t="s">
        <v>13266</v>
      </c>
      <c r="E3090" t="s">
        <v>13267</v>
      </c>
      <c r="G3090" t="s">
        <v>6563</v>
      </c>
      <c r="H3090" t="s">
        <v>6567</v>
      </c>
      <c r="L3090" t="s">
        <v>5113</v>
      </c>
      <c r="M3090" t="s">
        <v>199</v>
      </c>
      <c r="R3090" t="s">
        <v>6563</v>
      </c>
      <c r="W3090" t="s">
        <v>13268</v>
      </c>
      <c r="X3090" t="s">
        <v>5346</v>
      </c>
      <c r="Y3090" t="s">
        <v>663</v>
      </c>
      <c r="Z3090" t="s">
        <v>117</v>
      </c>
      <c r="AA3090" t="str">
        <f>"14094-1854"</f>
        <v>14094-1854</v>
      </c>
      <c r="AB3090" t="s">
        <v>291</v>
      </c>
      <c r="AC3090" t="s">
        <v>119</v>
      </c>
      <c r="AD3090" t="s">
        <v>113</v>
      </c>
      <c r="AE3090" t="s">
        <v>120</v>
      </c>
      <c r="AG3090" t="s">
        <v>121</v>
      </c>
    </row>
    <row r="3091" spans="1:33" x14ac:dyDescent="0.25">
      <c r="A3091" t="str">
        <f>"1053397620"</f>
        <v>1053397620</v>
      </c>
      <c r="B3091" t="str">
        <f>"01958534"</f>
        <v>01958534</v>
      </c>
      <c r="C3091" t="s">
        <v>17516</v>
      </c>
      <c r="D3091" t="s">
        <v>17517</v>
      </c>
      <c r="E3091" t="s">
        <v>17518</v>
      </c>
      <c r="G3091" t="s">
        <v>17516</v>
      </c>
      <c r="H3091" t="s">
        <v>10573</v>
      </c>
      <c r="J3091" t="s">
        <v>17519</v>
      </c>
      <c r="L3091" t="s">
        <v>150</v>
      </c>
      <c r="M3091" t="s">
        <v>113</v>
      </c>
      <c r="R3091" t="s">
        <v>17518</v>
      </c>
      <c r="W3091" t="s">
        <v>17518</v>
      </c>
      <c r="X3091" t="s">
        <v>253</v>
      </c>
      <c r="Y3091" t="s">
        <v>116</v>
      </c>
      <c r="Z3091" t="s">
        <v>117</v>
      </c>
      <c r="AA3091" t="str">
        <f>"14215-3021"</f>
        <v>14215-3021</v>
      </c>
      <c r="AB3091" t="s">
        <v>118</v>
      </c>
      <c r="AC3091" t="s">
        <v>119</v>
      </c>
      <c r="AD3091" t="s">
        <v>113</v>
      </c>
      <c r="AE3091" t="s">
        <v>120</v>
      </c>
      <c r="AG3091" t="s">
        <v>121</v>
      </c>
    </row>
    <row r="3092" spans="1:33" x14ac:dyDescent="0.25">
      <c r="A3092" t="str">
        <f>"1053408807"</f>
        <v>1053408807</v>
      </c>
      <c r="B3092" t="str">
        <f>"01964956"</f>
        <v>01964956</v>
      </c>
      <c r="C3092" t="s">
        <v>17520</v>
      </c>
      <c r="D3092" t="s">
        <v>17521</v>
      </c>
      <c r="E3092" t="s">
        <v>17522</v>
      </c>
      <c r="G3092" t="s">
        <v>17523</v>
      </c>
      <c r="H3092" t="s">
        <v>1115</v>
      </c>
      <c r="J3092" t="s">
        <v>438</v>
      </c>
      <c r="L3092" t="s">
        <v>112</v>
      </c>
      <c r="M3092" t="s">
        <v>113</v>
      </c>
      <c r="R3092" t="s">
        <v>17524</v>
      </c>
      <c r="W3092" t="s">
        <v>17525</v>
      </c>
      <c r="X3092" t="s">
        <v>1218</v>
      </c>
      <c r="Y3092" t="s">
        <v>318</v>
      </c>
      <c r="Z3092" t="s">
        <v>117</v>
      </c>
      <c r="AA3092" t="str">
        <f>"14225-4985"</f>
        <v>14225-4985</v>
      </c>
      <c r="AB3092" t="s">
        <v>621</v>
      </c>
      <c r="AC3092" t="s">
        <v>119</v>
      </c>
      <c r="AD3092" t="s">
        <v>113</v>
      </c>
      <c r="AE3092" t="s">
        <v>120</v>
      </c>
      <c r="AG3092" t="s">
        <v>121</v>
      </c>
    </row>
    <row r="3093" spans="1:33" x14ac:dyDescent="0.25">
      <c r="A3093" t="str">
        <f>"1053414284"</f>
        <v>1053414284</v>
      </c>
      <c r="B3093" t="str">
        <f>"01212197"</f>
        <v>01212197</v>
      </c>
      <c r="C3093" t="s">
        <v>17526</v>
      </c>
      <c r="D3093" t="s">
        <v>17527</v>
      </c>
      <c r="E3093" t="s">
        <v>17528</v>
      </c>
      <c r="G3093" t="s">
        <v>17526</v>
      </c>
      <c r="H3093" t="s">
        <v>6770</v>
      </c>
      <c r="J3093" t="s">
        <v>17529</v>
      </c>
      <c r="L3093" t="s">
        <v>112</v>
      </c>
      <c r="M3093" t="s">
        <v>113</v>
      </c>
      <c r="R3093" t="s">
        <v>17530</v>
      </c>
      <c r="W3093" t="s">
        <v>17531</v>
      </c>
      <c r="X3093" t="s">
        <v>9070</v>
      </c>
      <c r="Y3093" t="s">
        <v>663</v>
      </c>
      <c r="Z3093" t="s">
        <v>117</v>
      </c>
      <c r="AA3093" t="str">
        <f>"14094-5376"</f>
        <v>14094-5376</v>
      </c>
      <c r="AB3093" t="s">
        <v>634</v>
      </c>
      <c r="AC3093" t="s">
        <v>119</v>
      </c>
      <c r="AD3093" t="s">
        <v>113</v>
      </c>
      <c r="AE3093" t="s">
        <v>120</v>
      </c>
      <c r="AG3093" t="s">
        <v>121</v>
      </c>
    </row>
    <row r="3094" spans="1:33" x14ac:dyDescent="0.25">
      <c r="A3094" t="str">
        <f>"1053433243"</f>
        <v>1053433243</v>
      </c>
      <c r="B3094" t="str">
        <f>"03198294"</f>
        <v>03198294</v>
      </c>
      <c r="C3094" t="s">
        <v>17532</v>
      </c>
      <c r="D3094" t="s">
        <v>17533</v>
      </c>
      <c r="E3094" t="s">
        <v>17534</v>
      </c>
      <c r="G3094" t="s">
        <v>17532</v>
      </c>
      <c r="H3094" t="s">
        <v>6306</v>
      </c>
      <c r="J3094" t="s">
        <v>17535</v>
      </c>
      <c r="L3094" t="s">
        <v>142</v>
      </c>
      <c r="M3094" t="s">
        <v>113</v>
      </c>
      <c r="R3094" t="s">
        <v>17536</v>
      </c>
      <c r="W3094" t="s">
        <v>17534</v>
      </c>
      <c r="X3094" t="s">
        <v>2892</v>
      </c>
      <c r="Y3094" t="s">
        <v>240</v>
      </c>
      <c r="Z3094" t="s">
        <v>117</v>
      </c>
      <c r="AA3094" t="str">
        <f>"14221-5838"</f>
        <v>14221-5838</v>
      </c>
      <c r="AB3094" t="s">
        <v>118</v>
      </c>
      <c r="AC3094" t="s">
        <v>119</v>
      </c>
      <c r="AD3094" t="s">
        <v>113</v>
      </c>
      <c r="AE3094" t="s">
        <v>120</v>
      </c>
      <c r="AG3094" t="s">
        <v>121</v>
      </c>
    </row>
    <row r="3095" spans="1:33" x14ac:dyDescent="0.25">
      <c r="A3095" t="str">
        <f>"1053441907"</f>
        <v>1053441907</v>
      </c>
      <c r="B3095" t="str">
        <f>"00384643"</f>
        <v>00384643</v>
      </c>
      <c r="C3095" t="s">
        <v>869</v>
      </c>
      <c r="D3095" t="s">
        <v>4321</v>
      </c>
      <c r="E3095" t="s">
        <v>4322</v>
      </c>
      <c r="G3095" t="s">
        <v>12180</v>
      </c>
      <c r="H3095" t="s">
        <v>9572</v>
      </c>
      <c r="J3095" t="s">
        <v>861</v>
      </c>
      <c r="L3095" t="s">
        <v>2004</v>
      </c>
      <c r="M3095" t="s">
        <v>113</v>
      </c>
      <c r="R3095" t="s">
        <v>869</v>
      </c>
      <c r="W3095" t="s">
        <v>17537</v>
      </c>
      <c r="X3095" t="s">
        <v>136</v>
      </c>
      <c r="Y3095" t="s">
        <v>116</v>
      </c>
      <c r="Z3095" t="s">
        <v>117</v>
      </c>
      <c r="AA3095" t="str">
        <f>"14209-1120"</f>
        <v>14209-1120</v>
      </c>
      <c r="AB3095" t="s">
        <v>979</v>
      </c>
      <c r="AC3095" t="s">
        <v>119</v>
      </c>
      <c r="AD3095" t="s">
        <v>113</v>
      </c>
      <c r="AE3095" t="s">
        <v>120</v>
      </c>
      <c r="AG3095" t="s">
        <v>121</v>
      </c>
    </row>
    <row r="3096" spans="1:33" x14ac:dyDescent="0.25">
      <c r="A3096" t="str">
        <f>"1053463372"</f>
        <v>1053463372</v>
      </c>
      <c r="B3096" t="str">
        <f>"02845265"</f>
        <v>02845265</v>
      </c>
      <c r="C3096" t="s">
        <v>17538</v>
      </c>
      <c r="D3096" t="s">
        <v>17539</v>
      </c>
      <c r="E3096" t="s">
        <v>17540</v>
      </c>
      <c r="G3096" t="s">
        <v>859</v>
      </c>
      <c r="H3096" t="s">
        <v>17541</v>
      </c>
      <c r="J3096" t="s">
        <v>861</v>
      </c>
      <c r="L3096" t="s">
        <v>142</v>
      </c>
      <c r="M3096" t="s">
        <v>113</v>
      </c>
      <c r="R3096" t="s">
        <v>17542</v>
      </c>
      <c r="W3096" t="s">
        <v>17540</v>
      </c>
      <c r="X3096" t="s">
        <v>838</v>
      </c>
      <c r="Y3096" t="s">
        <v>240</v>
      </c>
      <c r="Z3096" t="s">
        <v>117</v>
      </c>
      <c r="AA3096" t="str">
        <f>"14221-3647"</f>
        <v>14221-3647</v>
      </c>
      <c r="AB3096" t="s">
        <v>118</v>
      </c>
      <c r="AC3096" t="s">
        <v>119</v>
      </c>
      <c r="AD3096" t="s">
        <v>113</v>
      </c>
      <c r="AE3096" t="s">
        <v>120</v>
      </c>
      <c r="AG3096" t="s">
        <v>121</v>
      </c>
    </row>
    <row r="3097" spans="1:33" x14ac:dyDescent="0.25">
      <c r="A3097" t="str">
        <f>"1053468520"</f>
        <v>1053468520</v>
      </c>
      <c r="C3097" t="s">
        <v>17543</v>
      </c>
      <c r="G3097" t="s">
        <v>17543</v>
      </c>
      <c r="H3097" t="s">
        <v>937</v>
      </c>
      <c r="J3097" t="s">
        <v>17544</v>
      </c>
      <c r="K3097" t="s">
        <v>303</v>
      </c>
      <c r="L3097" t="s">
        <v>229</v>
      </c>
      <c r="M3097" t="s">
        <v>113</v>
      </c>
      <c r="R3097" t="s">
        <v>17545</v>
      </c>
      <c r="S3097" t="s">
        <v>3739</v>
      </c>
      <c r="T3097" t="s">
        <v>240</v>
      </c>
      <c r="U3097" t="s">
        <v>117</v>
      </c>
      <c r="V3097" t="str">
        <f>"142216728"</f>
        <v>142216728</v>
      </c>
      <c r="AC3097" t="s">
        <v>119</v>
      </c>
      <c r="AD3097" t="s">
        <v>113</v>
      </c>
      <c r="AE3097" t="s">
        <v>306</v>
      </c>
      <c r="AG3097" t="s">
        <v>121</v>
      </c>
    </row>
    <row r="3098" spans="1:33" x14ac:dyDescent="0.25">
      <c r="A3098" t="str">
        <f>"1174506836"</f>
        <v>1174506836</v>
      </c>
      <c r="B3098" t="str">
        <f>"01131644"</f>
        <v>01131644</v>
      </c>
      <c r="C3098" t="s">
        <v>17546</v>
      </c>
      <c r="D3098" t="s">
        <v>17547</v>
      </c>
      <c r="E3098" t="s">
        <v>17548</v>
      </c>
      <c r="G3098" t="s">
        <v>17546</v>
      </c>
      <c r="H3098" t="s">
        <v>1013</v>
      </c>
      <c r="J3098" t="s">
        <v>17549</v>
      </c>
      <c r="L3098" t="s">
        <v>142</v>
      </c>
      <c r="M3098" t="s">
        <v>113</v>
      </c>
      <c r="R3098" t="s">
        <v>17550</v>
      </c>
      <c r="W3098" t="s">
        <v>17548</v>
      </c>
      <c r="X3098" t="s">
        <v>6234</v>
      </c>
      <c r="Y3098" t="s">
        <v>116</v>
      </c>
      <c r="Z3098" t="s">
        <v>117</v>
      </c>
      <c r="AA3098" t="str">
        <f>"14221-5329"</f>
        <v>14221-5329</v>
      </c>
      <c r="AB3098" t="s">
        <v>118</v>
      </c>
      <c r="AC3098" t="s">
        <v>119</v>
      </c>
      <c r="AD3098" t="s">
        <v>113</v>
      </c>
      <c r="AE3098" t="s">
        <v>120</v>
      </c>
      <c r="AG3098" t="s">
        <v>121</v>
      </c>
    </row>
    <row r="3099" spans="1:33" x14ac:dyDescent="0.25">
      <c r="A3099" t="str">
        <f>"1174515373"</f>
        <v>1174515373</v>
      </c>
      <c r="B3099" t="str">
        <f>"00488546"</f>
        <v>00488546</v>
      </c>
      <c r="C3099" t="s">
        <v>17551</v>
      </c>
      <c r="D3099" t="s">
        <v>17552</v>
      </c>
      <c r="E3099" t="s">
        <v>17553</v>
      </c>
      <c r="G3099" t="s">
        <v>1393</v>
      </c>
      <c r="H3099" t="s">
        <v>7609</v>
      </c>
      <c r="J3099" t="s">
        <v>1395</v>
      </c>
      <c r="L3099" t="s">
        <v>150</v>
      </c>
      <c r="M3099" t="s">
        <v>113</v>
      </c>
      <c r="R3099" t="s">
        <v>17554</v>
      </c>
      <c r="W3099" t="s">
        <v>17553</v>
      </c>
      <c r="X3099" t="s">
        <v>17555</v>
      </c>
      <c r="Y3099" t="s">
        <v>7612</v>
      </c>
      <c r="Z3099" t="s">
        <v>117</v>
      </c>
      <c r="AA3099" t="str">
        <f>"14530-1342"</f>
        <v>14530-1342</v>
      </c>
      <c r="AB3099" t="s">
        <v>118</v>
      </c>
      <c r="AC3099" t="s">
        <v>119</v>
      </c>
      <c r="AD3099" t="s">
        <v>113</v>
      </c>
      <c r="AE3099" t="s">
        <v>120</v>
      </c>
      <c r="AG3099" t="s">
        <v>121</v>
      </c>
    </row>
    <row r="3100" spans="1:33" x14ac:dyDescent="0.25">
      <c r="A3100" t="str">
        <f>"1174520696"</f>
        <v>1174520696</v>
      </c>
      <c r="B3100" t="str">
        <f>"01018015"</f>
        <v>01018015</v>
      </c>
      <c r="C3100" t="s">
        <v>17556</v>
      </c>
      <c r="D3100" t="s">
        <v>17557</v>
      </c>
      <c r="E3100" t="s">
        <v>17558</v>
      </c>
      <c r="G3100" t="s">
        <v>17556</v>
      </c>
      <c r="H3100" t="s">
        <v>9222</v>
      </c>
      <c r="J3100" t="s">
        <v>17559</v>
      </c>
      <c r="L3100" t="s">
        <v>142</v>
      </c>
      <c r="M3100" t="s">
        <v>113</v>
      </c>
      <c r="R3100" t="s">
        <v>17560</v>
      </c>
      <c r="W3100" t="s">
        <v>17561</v>
      </c>
      <c r="X3100" t="s">
        <v>2607</v>
      </c>
      <c r="Y3100" t="s">
        <v>116</v>
      </c>
      <c r="Z3100" t="s">
        <v>117</v>
      </c>
      <c r="AA3100" t="str">
        <f>"14203-1149"</f>
        <v>14203-1149</v>
      </c>
      <c r="AB3100" t="s">
        <v>118</v>
      </c>
      <c r="AC3100" t="s">
        <v>119</v>
      </c>
      <c r="AD3100" t="s">
        <v>113</v>
      </c>
      <c r="AE3100" t="s">
        <v>120</v>
      </c>
      <c r="AG3100" t="s">
        <v>121</v>
      </c>
    </row>
    <row r="3101" spans="1:33" x14ac:dyDescent="0.25">
      <c r="A3101" t="str">
        <f>"1174530299"</f>
        <v>1174530299</v>
      </c>
      <c r="B3101" t="str">
        <f>"01092084"</f>
        <v>01092084</v>
      </c>
      <c r="C3101" t="s">
        <v>17562</v>
      </c>
      <c r="D3101" t="s">
        <v>17563</v>
      </c>
      <c r="E3101" t="s">
        <v>17564</v>
      </c>
      <c r="G3101" t="s">
        <v>17565</v>
      </c>
      <c r="H3101" t="s">
        <v>8206</v>
      </c>
      <c r="J3101" t="s">
        <v>17566</v>
      </c>
      <c r="L3101" t="s">
        <v>142</v>
      </c>
      <c r="M3101" t="s">
        <v>113</v>
      </c>
      <c r="R3101" t="s">
        <v>17567</v>
      </c>
      <c r="W3101" t="s">
        <v>17564</v>
      </c>
      <c r="X3101" t="s">
        <v>1648</v>
      </c>
      <c r="Y3101" t="s">
        <v>116</v>
      </c>
      <c r="Z3101" t="s">
        <v>117</v>
      </c>
      <c r="AA3101" t="str">
        <f>"14214-2648"</f>
        <v>14214-2648</v>
      </c>
      <c r="AB3101" t="s">
        <v>118</v>
      </c>
      <c r="AC3101" t="s">
        <v>119</v>
      </c>
      <c r="AD3101" t="s">
        <v>113</v>
      </c>
      <c r="AE3101" t="s">
        <v>120</v>
      </c>
      <c r="AG3101" t="s">
        <v>121</v>
      </c>
    </row>
    <row r="3102" spans="1:33" x14ac:dyDescent="0.25">
      <c r="A3102" t="str">
        <f>"1205891306"</f>
        <v>1205891306</v>
      </c>
      <c r="B3102" t="str">
        <f>"01555600"</f>
        <v>01555600</v>
      </c>
      <c r="C3102" t="s">
        <v>17568</v>
      </c>
      <c r="D3102" t="s">
        <v>17569</v>
      </c>
      <c r="E3102" t="s">
        <v>17570</v>
      </c>
      <c r="G3102" t="s">
        <v>17568</v>
      </c>
      <c r="H3102" t="s">
        <v>17571</v>
      </c>
      <c r="J3102" t="s">
        <v>17572</v>
      </c>
      <c r="L3102" t="s">
        <v>150</v>
      </c>
      <c r="M3102" t="s">
        <v>113</v>
      </c>
      <c r="R3102" t="s">
        <v>17573</v>
      </c>
      <c r="W3102" t="s">
        <v>17570</v>
      </c>
      <c r="X3102" t="s">
        <v>17574</v>
      </c>
      <c r="Y3102" t="s">
        <v>663</v>
      </c>
      <c r="Z3102" t="s">
        <v>117</v>
      </c>
      <c r="AA3102" t="str">
        <f>"14094-9273"</f>
        <v>14094-9273</v>
      </c>
      <c r="AB3102" t="s">
        <v>118</v>
      </c>
      <c r="AC3102" t="s">
        <v>119</v>
      </c>
      <c r="AD3102" t="s">
        <v>113</v>
      </c>
      <c r="AE3102" t="s">
        <v>120</v>
      </c>
      <c r="AG3102" t="s">
        <v>121</v>
      </c>
    </row>
    <row r="3103" spans="1:33" x14ac:dyDescent="0.25">
      <c r="A3103" t="str">
        <f>"1205892171"</f>
        <v>1205892171</v>
      </c>
      <c r="B3103" t="str">
        <f>"01988229"</f>
        <v>01988229</v>
      </c>
      <c r="C3103" t="s">
        <v>17575</v>
      </c>
      <c r="D3103" t="s">
        <v>17576</v>
      </c>
      <c r="E3103" t="s">
        <v>17577</v>
      </c>
      <c r="G3103" t="s">
        <v>17578</v>
      </c>
      <c r="H3103" t="s">
        <v>213</v>
      </c>
      <c r="J3103" t="s">
        <v>17579</v>
      </c>
      <c r="L3103" t="s">
        <v>142</v>
      </c>
      <c r="M3103" t="s">
        <v>113</v>
      </c>
      <c r="R3103" t="s">
        <v>17580</v>
      </c>
      <c r="W3103" t="s">
        <v>17581</v>
      </c>
      <c r="X3103" t="s">
        <v>216</v>
      </c>
      <c r="Y3103" t="s">
        <v>116</v>
      </c>
      <c r="Z3103" t="s">
        <v>117</v>
      </c>
      <c r="AA3103" t="str">
        <f>"14222-2006"</f>
        <v>14222-2006</v>
      </c>
      <c r="AB3103" t="s">
        <v>118</v>
      </c>
      <c r="AC3103" t="s">
        <v>119</v>
      </c>
      <c r="AD3103" t="s">
        <v>113</v>
      </c>
      <c r="AE3103" t="s">
        <v>120</v>
      </c>
      <c r="AG3103" t="s">
        <v>121</v>
      </c>
    </row>
    <row r="3104" spans="1:33" x14ac:dyDescent="0.25">
      <c r="A3104" t="str">
        <f>"1205893591"</f>
        <v>1205893591</v>
      </c>
      <c r="B3104" t="str">
        <f>"02173233"</f>
        <v>02173233</v>
      </c>
      <c r="C3104" t="s">
        <v>17582</v>
      </c>
      <c r="D3104" t="s">
        <v>17583</v>
      </c>
      <c r="E3104" t="s">
        <v>17584</v>
      </c>
      <c r="G3104" t="s">
        <v>17582</v>
      </c>
      <c r="H3104" t="s">
        <v>9360</v>
      </c>
      <c r="J3104" t="s">
        <v>17585</v>
      </c>
      <c r="L3104" t="s">
        <v>150</v>
      </c>
      <c r="M3104" t="s">
        <v>113</v>
      </c>
      <c r="R3104" t="s">
        <v>17586</v>
      </c>
      <c r="W3104" t="s">
        <v>17584</v>
      </c>
      <c r="X3104" t="s">
        <v>12723</v>
      </c>
      <c r="Y3104" t="s">
        <v>3012</v>
      </c>
      <c r="Z3104" t="s">
        <v>117</v>
      </c>
      <c r="AA3104" t="str">
        <f>"14052-1637"</f>
        <v>14052-1637</v>
      </c>
      <c r="AB3104" t="s">
        <v>118</v>
      </c>
      <c r="AC3104" t="s">
        <v>119</v>
      </c>
      <c r="AD3104" t="s">
        <v>113</v>
      </c>
      <c r="AE3104" t="s">
        <v>120</v>
      </c>
      <c r="AG3104" t="s">
        <v>121</v>
      </c>
    </row>
    <row r="3105" spans="1:33" x14ac:dyDescent="0.25">
      <c r="A3105" t="str">
        <f>"1205897642"</f>
        <v>1205897642</v>
      </c>
      <c r="B3105" t="str">
        <f>"01903795"</f>
        <v>01903795</v>
      </c>
      <c r="C3105" t="s">
        <v>17587</v>
      </c>
      <c r="D3105" t="s">
        <v>17588</v>
      </c>
      <c r="E3105" t="s">
        <v>17589</v>
      </c>
      <c r="G3105" t="s">
        <v>17587</v>
      </c>
      <c r="H3105" t="s">
        <v>1964</v>
      </c>
      <c r="J3105" t="s">
        <v>17590</v>
      </c>
      <c r="L3105" t="s">
        <v>142</v>
      </c>
      <c r="M3105" t="s">
        <v>113</v>
      </c>
      <c r="R3105" t="s">
        <v>17591</v>
      </c>
      <c r="W3105" t="s">
        <v>17589</v>
      </c>
      <c r="X3105" t="s">
        <v>916</v>
      </c>
      <c r="Y3105" t="s">
        <v>116</v>
      </c>
      <c r="Z3105" t="s">
        <v>117</v>
      </c>
      <c r="AA3105" t="str">
        <f>"14203-1154"</f>
        <v>14203-1154</v>
      </c>
      <c r="AB3105" t="s">
        <v>118</v>
      </c>
      <c r="AC3105" t="s">
        <v>119</v>
      </c>
      <c r="AD3105" t="s">
        <v>113</v>
      </c>
      <c r="AE3105" t="s">
        <v>120</v>
      </c>
      <c r="AG3105" t="s">
        <v>121</v>
      </c>
    </row>
    <row r="3106" spans="1:33" x14ac:dyDescent="0.25">
      <c r="A3106" t="str">
        <f>"1205908662"</f>
        <v>1205908662</v>
      </c>
      <c r="B3106" t="str">
        <f>"02526158"</f>
        <v>02526158</v>
      </c>
      <c r="C3106" t="s">
        <v>17592</v>
      </c>
      <c r="D3106" t="s">
        <v>17593</v>
      </c>
      <c r="E3106" t="s">
        <v>17594</v>
      </c>
      <c r="G3106" t="s">
        <v>17595</v>
      </c>
      <c r="H3106" t="s">
        <v>4611</v>
      </c>
      <c r="J3106" t="s">
        <v>17596</v>
      </c>
      <c r="L3106" t="s">
        <v>112</v>
      </c>
      <c r="M3106" t="s">
        <v>113</v>
      </c>
      <c r="R3106" t="s">
        <v>17597</v>
      </c>
      <c r="W3106" t="s">
        <v>17598</v>
      </c>
      <c r="X3106" t="s">
        <v>253</v>
      </c>
      <c r="Y3106" t="s">
        <v>116</v>
      </c>
      <c r="Z3106" t="s">
        <v>117</v>
      </c>
      <c r="AA3106" t="str">
        <f>"14215-3021"</f>
        <v>14215-3021</v>
      </c>
      <c r="AB3106" t="s">
        <v>118</v>
      </c>
      <c r="AC3106" t="s">
        <v>119</v>
      </c>
      <c r="AD3106" t="s">
        <v>113</v>
      </c>
      <c r="AE3106" t="s">
        <v>120</v>
      </c>
      <c r="AG3106" t="s">
        <v>121</v>
      </c>
    </row>
    <row r="3107" spans="1:33" x14ac:dyDescent="0.25">
      <c r="A3107" t="str">
        <f>"1205919636"</f>
        <v>1205919636</v>
      </c>
      <c r="B3107" t="str">
        <f>"02244484"</f>
        <v>02244484</v>
      </c>
      <c r="C3107" t="s">
        <v>17599</v>
      </c>
      <c r="D3107" t="s">
        <v>17600</v>
      </c>
      <c r="E3107" t="s">
        <v>17601</v>
      </c>
      <c r="G3107" t="s">
        <v>17602</v>
      </c>
      <c r="H3107" t="s">
        <v>213</v>
      </c>
      <c r="J3107" t="s">
        <v>17603</v>
      </c>
      <c r="L3107" t="s">
        <v>142</v>
      </c>
      <c r="M3107" t="s">
        <v>113</v>
      </c>
      <c r="R3107" t="s">
        <v>17604</v>
      </c>
      <c r="W3107" t="s">
        <v>17601</v>
      </c>
      <c r="X3107" t="s">
        <v>216</v>
      </c>
      <c r="Y3107" t="s">
        <v>116</v>
      </c>
      <c r="Z3107" t="s">
        <v>117</v>
      </c>
      <c r="AA3107" t="str">
        <f>"14222-2777"</f>
        <v>14222-2777</v>
      </c>
      <c r="AB3107" t="s">
        <v>118</v>
      </c>
      <c r="AC3107" t="s">
        <v>119</v>
      </c>
      <c r="AD3107" t="s">
        <v>113</v>
      </c>
      <c r="AE3107" t="s">
        <v>120</v>
      </c>
      <c r="AG3107" t="s">
        <v>121</v>
      </c>
    </row>
    <row r="3108" spans="1:33" x14ac:dyDescent="0.25">
      <c r="A3108" t="str">
        <f>"1205925039"</f>
        <v>1205925039</v>
      </c>
      <c r="B3108" t="str">
        <f>"02681583"</f>
        <v>02681583</v>
      </c>
      <c r="C3108" t="s">
        <v>17605</v>
      </c>
      <c r="D3108" t="s">
        <v>17606</v>
      </c>
      <c r="E3108" t="s">
        <v>17607</v>
      </c>
      <c r="G3108" t="s">
        <v>17605</v>
      </c>
      <c r="H3108" t="s">
        <v>17608</v>
      </c>
      <c r="J3108" t="s">
        <v>17609</v>
      </c>
      <c r="L3108" t="s">
        <v>1033</v>
      </c>
      <c r="M3108" t="s">
        <v>113</v>
      </c>
      <c r="R3108" t="s">
        <v>17610</v>
      </c>
      <c r="W3108" t="s">
        <v>17607</v>
      </c>
      <c r="X3108" t="s">
        <v>17611</v>
      </c>
      <c r="Y3108" t="s">
        <v>116</v>
      </c>
      <c r="Z3108" t="s">
        <v>117</v>
      </c>
      <c r="AA3108" t="str">
        <f>"14215"</f>
        <v>14215</v>
      </c>
      <c r="AB3108" t="s">
        <v>118</v>
      </c>
      <c r="AC3108" t="s">
        <v>119</v>
      </c>
      <c r="AD3108" t="s">
        <v>113</v>
      </c>
      <c r="AE3108" t="s">
        <v>120</v>
      </c>
      <c r="AG3108" t="s">
        <v>121</v>
      </c>
    </row>
    <row r="3109" spans="1:33" x14ac:dyDescent="0.25">
      <c r="A3109" t="str">
        <f>"1205929759"</f>
        <v>1205929759</v>
      </c>
      <c r="C3109" t="s">
        <v>17612</v>
      </c>
      <c r="G3109" t="s">
        <v>17613</v>
      </c>
      <c r="H3109" t="s">
        <v>17614</v>
      </c>
      <c r="J3109" t="s">
        <v>352</v>
      </c>
      <c r="K3109" t="s">
        <v>303</v>
      </c>
      <c r="L3109" t="s">
        <v>112</v>
      </c>
      <c r="M3109" t="s">
        <v>113</v>
      </c>
      <c r="R3109" t="s">
        <v>17615</v>
      </c>
      <c r="S3109" t="s">
        <v>1922</v>
      </c>
      <c r="T3109" t="s">
        <v>268</v>
      </c>
      <c r="U3109" t="s">
        <v>117</v>
      </c>
      <c r="V3109" t="str">
        <f>"14150"</f>
        <v>14150</v>
      </c>
      <c r="AC3109" t="s">
        <v>119</v>
      </c>
      <c r="AD3109" t="s">
        <v>113</v>
      </c>
      <c r="AE3109" t="s">
        <v>306</v>
      </c>
      <c r="AG3109" t="s">
        <v>121</v>
      </c>
    </row>
    <row r="3110" spans="1:33" x14ac:dyDescent="0.25">
      <c r="A3110" t="str">
        <f>"1205962982"</f>
        <v>1205962982</v>
      </c>
      <c r="B3110" t="str">
        <f>"00590189"</f>
        <v>00590189</v>
      </c>
      <c r="C3110" t="s">
        <v>17616</v>
      </c>
      <c r="D3110" t="s">
        <v>17617</v>
      </c>
      <c r="E3110" t="s">
        <v>17618</v>
      </c>
      <c r="G3110" t="s">
        <v>17616</v>
      </c>
      <c r="H3110" t="s">
        <v>17619</v>
      </c>
      <c r="J3110" t="s">
        <v>17620</v>
      </c>
      <c r="L3110" t="s">
        <v>112</v>
      </c>
      <c r="M3110" t="s">
        <v>113</v>
      </c>
      <c r="R3110" t="s">
        <v>17621</v>
      </c>
      <c r="W3110" t="s">
        <v>17618</v>
      </c>
      <c r="X3110" t="s">
        <v>17622</v>
      </c>
      <c r="Y3110" t="s">
        <v>663</v>
      </c>
      <c r="Z3110" t="s">
        <v>117</v>
      </c>
      <c r="AA3110" t="str">
        <f>"14094-3835"</f>
        <v>14094-3835</v>
      </c>
      <c r="AB3110" t="s">
        <v>118</v>
      </c>
      <c r="AC3110" t="s">
        <v>119</v>
      </c>
      <c r="AD3110" t="s">
        <v>113</v>
      </c>
      <c r="AE3110" t="s">
        <v>120</v>
      </c>
      <c r="AG3110" t="s">
        <v>121</v>
      </c>
    </row>
    <row r="3111" spans="1:33" x14ac:dyDescent="0.25">
      <c r="A3111" t="str">
        <f>"1063532125"</f>
        <v>1063532125</v>
      </c>
      <c r="B3111" t="str">
        <f>"02422071"</f>
        <v>02422071</v>
      </c>
      <c r="C3111" t="s">
        <v>17623</v>
      </c>
      <c r="D3111" t="s">
        <v>17624</v>
      </c>
      <c r="E3111" t="s">
        <v>17625</v>
      </c>
      <c r="G3111" t="s">
        <v>17623</v>
      </c>
      <c r="H3111" t="s">
        <v>579</v>
      </c>
      <c r="J3111" t="s">
        <v>17626</v>
      </c>
      <c r="L3111" t="s">
        <v>112</v>
      </c>
      <c r="M3111" t="s">
        <v>113</v>
      </c>
      <c r="R3111" t="s">
        <v>17627</v>
      </c>
      <c r="W3111" t="s">
        <v>17625</v>
      </c>
      <c r="X3111" t="s">
        <v>17628</v>
      </c>
      <c r="Y3111" t="s">
        <v>958</v>
      </c>
      <c r="Z3111" t="s">
        <v>117</v>
      </c>
      <c r="AA3111" t="str">
        <f>"14226-1039"</f>
        <v>14226-1039</v>
      </c>
      <c r="AB3111" t="s">
        <v>118</v>
      </c>
      <c r="AC3111" t="s">
        <v>119</v>
      </c>
      <c r="AD3111" t="s">
        <v>113</v>
      </c>
      <c r="AE3111" t="s">
        <v>120</v>
      </c>
      <c r="AG3111" t="s">
        <v>121</v>
      </c>
    </row>
    <row r="3112" spans="1:33" x14ac:dyDescent="0.25">
      <c r="A3112" t="str">
        <f>"1063566131"</f>
        <v>1063566131</v>
      </c>
      <c r="B3112" t="str">
        <f>"01650297"</f>
        <v>01650297</v>
      </c>
      <c r="C3112" t="s">
        <v>17629</v>
      </c>
      <c r="D3112" t="s">
        <v>17630</v>
      </c>
      <c r="E3112" t="s">
        <v>17631</v>
      </c>
      <c r="G3112" t="s">
        <v>17632</v>
      </c>
      <c r="H3112" t="s">
        <v>17633</v>
      </c>
      <c r="J3112" t="s">
        <v>17634</v>
      </c>
      <c r="L3112" t="s">
        <v>112</v>
      </c>
      <c r="M3112" t="s">
        <v>113</v>
      </c>
      <c r="R3112" t="s">
        <v>17635</v>
      </c>
      <c r="W3112" t="s">
        <v>17631</v>
      </c>
      <c r="AB3112" t="s">
        <v>634</v>
      </c>
      <c r="AC3112" t="s">
        <v>119</v>
      </c>
      <c r="AD3112" t="s">
        <v>113</v>
      </c>
      <c r="AE3112" t="s">
        <v>120</v>
      </c>
      <c r="AG3112" t="s">
        <v>121</v>
      </c>
    </row>
    <row r="3113" spans="1:33" x14ac:dyDescent="0.25">
      <c r="A3113" t="str">
        <f>"1063599595"</f>
        <v>1063599595</v>
      </c>
      <c r="B3113" t="str">
        <f>"01969117"</f>
        <v>01969117</v>
      </c>
      <c r="C3113" t="s">
        <v>17636</v>
      </c>
      <c r="D3113" t="s">
        <v>17637</v>
      </c>
      <c r="E3113" t="s">
        <v>17638</v>
      </c>
      <c r="G3113" t="s">
        <v>17639</v>
      </c>
      <c r="H3113" t="s">
        <v>17640</v>
      </c>
      <c r="J3113" t="s">
        <v>1387</v>
      </c>
      <c r="L3113" t="s">
        <v>150</v>
      </c>
      <c r="M3113" t="s">
        <v>113</v>
      </c>
      <c r="R3113" t="s">
        <v>17641</v>
      </c>
      <c r="W3113" t="s">
        <v>17642</v>
      </c>
      <c r="X3113" t="s">
        <v>17643</v>
      </c>
      <c r="Y3113" t="s">
        <v>1767</v>
      </c>
      <c r="Z3113" t="s">
        <v>117</v>
      </c>
      <c r="AA3113" t="str">
        <f>"14779-9625"</f>
        <v>14779-9625</v>
      </c>
      <c r="AB3113" t="s">
        <v>118</v>
      </c>
      <c r="AC3113" t="s">
        <v>119</v>
      </c>
      <c r="AD3113" t="s">
        <v>113</v>
      </c>
      <c r="AE3113" t="s">
        <v>120</v>
      </c>
      <c r="AG3113" t="s">
        <v>121</v>
      </c>
    </row>
    <row r="3114" spans="1:33" x14ac:dyDescent="0.25">
      <c r="A3114" t="str">
        <f>"1063652972"</f>
        <v>1063652972</v>
      </c>
      <c r="B3114" t="str">
        <f>"03351159"</f>
        <v>03351159</v>
      </c>
      <c r="C3114" t="s">
        <v>17644</v>
      </c>
      <c r="D3114" t="s">
        <v>17645</v>
      </c>
      <c r="E3114" t="s">
        <v>17646</v>
      </c>
      <c r="G3114" t="s">
        <v>17644</v>
      </c>
      <c r="H3114" t="s">
        <v>15739</v>
      </c>
      <c r="J3114" t="s">
        <v>17647</v>
      </c>
      <c r="L3114" t="s">
        <v>142</v>
      </c>
      <c r="M3114" t="s">
        <v>113</v>
      </c>
      <c r="R3114" t="s">
        <v>17648</v>
      </c>
      <c r="W3114" t="s">
        <v>17646</v>
      </c>
      <c r="X3114" t="s">
        <v>16293</v>
      </c>
      <c r="Y3114" t="s">
        <v>377</v>
      </c>
      <c r="Z3114" t="s">
        <v>117</v>
      </c>
      <c r="AA3114" t="str">
        <f>"14217-1039"</f>
        <v>14217-1039</v>
      </c>
      <c r="AB3114" t="s">
        <v>118</v>
      </c>
      <c r="AC3114" t="s">
        <v>119</v>
      </c>
      <c r="AD3114" t="s">
        <v>113</v>
      </c>
      <c r="AE3114" t="s">
        <v>120</v>
      </c>
      <c r="AG3114" t="s">
        <v>121</v>
      </c>
    </row>
    <row r="3115" spans="1:33" x14ac:dyDescent="0.25">
      <c r="A3115" t="str">
        <f>"1063657591"</f>
        <v>1063657591</v>
      </c>
      <c r="B3115" t="str">
        <f>"03107811"</f>
        <v>03107811</v>
      </c>
      <c r="C3115" t="s">
        <v>17649</v>
      </c>
      <c r="D3115" t="s">
        <v>17650</v>
      </c>
      <c r="E3115" t="s">
        <v>17651</v>
      </c>
      <c r="G3115" t="s">
        <v>330</v>
      </c>
      <c r="H3115" t="s">
        <v>17652</v>
      </c>
      <c r="J3115" t="s">
        <v>332</v>
      </c>
      <c r="L3115" t="s">
        <v>150</v>
      </c>
      <c r="M3115" t="s">
        <v>113</v>
      </c>
      <c r="R3115" t="s">
        <v>17653</v>
      </c>
      <c r="W3115" t="s">
        <v>17651</v>
      </c>
      <c r="X3115" t="s">
        <v>17654</v>
      </c>
      <c r="Y3115" t="s">
        <v>17655</v>
      </c>
      <c r="Z3115" t="s">
        <v>117</v>
      </c>
      <c r="AA3115" t="str">
        <f>"12986-2032"</f>
        <v>12986-2032</v>
      </c>
      <c r="AB3115" t="s">
        <v>118</v>
      </c>
      <c r="AC3115" t="s">
        <v>119</v>
      </c>
      <c r="AD3115" t="s">
        <v>113</v>
      </c>
      <c r="AE3115" t="s">
        <v>120</v>
      </c>
      <c r="AG3115" t="s">
        <v>121</v>
      </c>
    </row>
    <row r="3116" spans="1:33" x14ac:dyDescent="0.25">
      <c r="A3116" t="str">
        <f>"1306270079"</f>
        <v>1306270079</v>
      </c>
      <c r="C3116" t="s">
        <v>17656</v>
      </c>
      <c r="G3116" t="s">
        <v>17656</v>
      </c>
      <c r="H3116" t="s">
        <v>437</v>
      </c>
      <c r="J3116" t="s">
        <v>438</v>
      </c>
      <c r="K3116" t="s">
        <v>303</v>
      </c>
      <c r="L3116" t="s">
        <v>229</v>
      </c>
      <c r="M3116" t="s">
        <v>113</v>
      </c>
      <c r="R3116" t="s">
        <v>17657</v>
      </c>
      <c r="S3116" t="s">
        <v>1117</v>
      </c>
      <c r="T3116" t="s">
        <v>318</v>
      </c>
      <c r="U3116" t="s">
        <v>117</v>
      </c>
      <c r="V3116" t="str">
        <f>"142254965"</f>
        <v>142254965</v>
      </c>
      <c r="AC3116" t="s">
        <v>119</v>
      </c>
      <c r="AD3116" t="s">
        <v>113</v>
      </c>
      <c r="AE3116" t="s">
        <v>306</v>
      </c>
      <c r="AG3116" t="s">
        <v>121</v>
      </c>
    </row>
    <row r="3117" spans="1:33" x14ac:dyDescent="0.25">
      <c r="A3117" t="str">
        <f>"1306279690"</f>
        <v>1306279690</v>
      </c>
      <c r="B3117" t="str">
        <f>"03743166"</f>
        <v>03743166</v>
      </c>
      <c r="C3117" t="s">
        <v>17658</v>
      </c>
      <c r="D3117" t="s">
        <v>17659</v>
      </c>
      <c r="E3117" t="s">
        <v>17660</v>
      </c>
      <c r="G3117" t="s">
        <v>17658</v>
      </c>
      <c r="J3117" t="s">
        <v>17661</v>
      </c>
      <c r="L3117" t="s">
        <v>112</v>
      </c>
      <c r="M3117" t="s">
        <v>113</v>
      </c>
      <c r="R3117" t="s">
        <v>17662</v>
      </c>
      <c r="W3117" t="s">
        <v>17663</v>
      </c>
      <c r="X3117" t="s">
        <v>176</v>
      </c>
      <c r="Y3117" t="s">
        <v>116</v>
      </c>
      <c r="Z3117" t="s">
        <v>117</v>
      </c>
      <c r="AA3117" t="str">
        <f>"14203-1126"</f>
        <v>14203-1126</v>
      </c>
      <c r="AB3117" t="s">
        <v>118</v>
      </c>
      <c r="AC3117" t="s">
        <v>119</v>
      </c>
      <c r="AD3117" t="s">
        <v>113</v>
      </c>
      <c r="AE3117" t="s">
        <v>120</v>
      </c>
      <c r="AG3117" t="s">
        <v>121</v>
      </c>
    </row>
    <row r="3118" spans="1:33" x14ac:dyDescent="0.25">
      <c r="A3118" t="str">
        <f>"1306800552"</f>
        <v>1306800552</v>
      </c>
      <c r="B3118" t="str">
        <f>"03221267"</f>
        <v>03221267</v>
      </c>
      <c r="C3118" t="s">
        <v>17664</v>
      </c>
      <c r="D3118" t="s">
        <v>17665</v>
      </c>
      <c r="E3118" t="s">
        <v>17666</v>
      </c>
      <c r="G3118" t="s">
        <v>17664</v>
      </c>
      <c r="H3118" t="s">
        <v>5982</v>
      </c>
      <c r="J3118" t="s">
        <v>17667</v>
      </c>
      <c r="L3118" t="s">
        <v>112</v>
      </c>
      <c r="M3118" t="s">
        <v>113</v>
      </c>
      <c r="R3118" t="s">
        <v>17668</v>
      </c>
      <c r="W3118" t="s">
        <v>17666</v>
      </c>
      <c r="X3118" t="s">
        <v>2983</v>
      </c>
      <c r="Y3118" t="s">
        <v>318</v>
      </c>
      <c r="Z3118" t="s">
        <v>117</v>
      </c>
      <c r="AA3118" t="str">
        <f>"14225-4018"</f>
        <v>14225-4018</v>
      </c>
      <c r="AB3118" t="s">
        <v>118</v>
      </c>
      <c r="AC3118" t="s">
        <v>119</v>
      </c>
      <c r="AD3118" t="s">
        <v>113</v>
      </c>
      <c r="AE3118" t="s">
        <v>120</v>
      </c>
      <c r="AG3118" t="s">
        <v>121</v>
      </c>
    </row>
    <row r="3119" spans="1:33" x14ac:dyDescent="0.25">
      <c r="A3119" t="str">
        <f>"1306802020"</f>
        <v>1306802020</v>
      </c>
      <c r="B3119" t="str">
        <f>"01201110"</f>
        <v>01201110</v>
      </c>
      <c r="C3119" t="s">
        <v>17669</v>
      </c>
      <c r="D3119" t="s">
        <v>17670</v>
      </c>
      <c r="E3119" t="s">
        <v>17671</v>
      </c>
      <c r="G3119" t="s">
        <v>17672</v>
      </c>
      <c r="H3119" t="s">
        <v>213</v>
      </c>
      <c r="J3119" t="s">
        <v>17673</v>
      </c>
      <c r="L3119" t="s">
        <v>142</v>
      </c>
      <c r="M3119" t="s">
        <v>113</v>
      </c>
      <c r="R3119" t="s">
        <v>17674</v>
      </c>
      <c r="W3119" t="s">
        <v>17671</v>
      </c>
      <c r="Y3119" t="s">
        <v>116</v>
      </c>
      <c r="Z3119" t="s">
        <v>117</v>
      </c>
      <c r="AA3119" t="str">
        <f>"14222-2099"</f>
        <v>14222-2099</v>
      </c>
      <c r="AB3119" t="s">
        <v>118</v>
      </c>
      <c r="AC3119" t="s">
        <v>119</v>
      </c>
      <c r="AD3119" t="s">
        <v>113</v>
      </c>
      <c r="AE3119" t="s">
        <v>120</v>
      </c>
      <c r="AG3119" t="s">
        <v>121</v>
      </c>
    </row>
    <row r="3120" spans="1:33" x14ac:dyDescent="0.25">
      <c r="A3120" t="str">
        <f>"1306802566"</f>
        <v>1306802566</v>
      </c>
      <c r="B3120" t="str">
        <f>"00919535"</f>
        <v>00919535</v>
      </c>
      <c r="C3120" t="s">
        <v>17675</v>
      </c>
      <c r="D3120" t="s">
        <v>17676</v>
      </c>
      <c r="E3120" t="s">
        <v>17677</v>
      </c>
      <c r="G3120" t="s">
        <v>17678</v>
      </c>
      <c r="H3120" t="s">
        <v>133</v>
      </c>
      <c r="J3120" t="s">
        <v>17679</v>
      </c>
      <c r="L3120" t="s">
        <v>112</v>
      </c>
      <c r="M3120" t="s">
        <v>113</v>
      </c>
      <c r="R3120" t="s">
        <v>17680</v>
      </c>
      <c r="W3120" t="s">
        <v>17677</v>
      </c>
      <c r="Y3120" t="s">
        <v>116</v>
      </c>
      <c r="Z3120" t="s">
        <v>117</v>
      </c>
      <c r="AA3120" t="str">
        <f>"14222-2099"</f>
        <v>14222-2099</v>
      </c>
      <c r="AB3120" t="s">
        <v>118</v>
      </c>
      <c r="AC3120" t="s">
        <v>119</v>
      </c>
      <c r="AD3120" t="s">
        <v>113</v>
      </c>
      <c r="AE3120" t="s">
        <v>120</v>
      </c>
      <c r="AG3120" t="s">
        <v>121</v>
      </c>
    </row>
    <row r="3121" spans="1:33" x14ac:dyDescent="0.25">
      <c r="A3121" t="str">
        <f>"1306803143"</f>
        <v>1306803143</v>
      </c>
      <c r="B3121" t="str">
        <f>"01747213"</f>
        <v>01747213</v>
      </c>
      <c r="C3121" t="s">
        <v>17681</v>
      </c>
      <c r="D3121" t="s">
        <v>17682</v>
      </c>
      <c r="E3121" t="s">
        <v>17683</v>
      </c>
      <c r="G3121" t="s">
        <v>330</v>
      </c>
      <c r="H3121" t="s">
        <v>10057</v>
      </c>
      <c r="J3121" t="s">
        <v>332</v>
      </c>
      <c r="L3121" t="s">
        <v>150</v>
      </c>
      <c r="M3121" t="s">
        <v>113</v>
      </c>
      <c r="R3121" t="s">
        <v>17684</v>
      </c>
      <c r="W3121" t="s">
        <v>17683</v>
      </c>
      <c r="X3121" t="s">
        <v>17685</v>
      </c>
      <c r="Y3121" t="s">
        <v>1257</v>
      </c>
      <c r="Z3121" t="s">
        <v>117</v>
      </c>
      <c r="AA3121" t="str">
        <f>"14141-1314"</f>
        <v>14141-1314</v>
      </c>
      <c r="AB3121" t="s">
        <v>118</v>
      </c>
      <c r="AC3121" t="s">
        <v>119</v>
      </c>
      <c r="AD3121" t="s">
        <v>113</v>
      </c>
      <c r="AE3121" t="s">
        <v>120</v>
      </c>
      <c r="AG3121" t="s">
        <v>121</v>
      </c>
    </row>
    <row r="3122" spans="1:33" x14ac:dyDescent="0.25">
      <c r="A3122" t="str">
        <f>"1306803168"</f>
        <v>1306803168</v>
      </c>
      <c r="B3122" t="str">
        <f>"02505604"</f>
        <v>02505604</v>
      </c>
      <c r="C3122" t="s">
        <v>17686</v>
      </c>
      <c r="D3122" t="s">
        <v>17687</v>
      </c>
      <c r="E3122" t="s">
        <v>17688</v>
      </c>
      <c r="G3122" t="s">
        <v>17689</v>
      </c>
      <c r="H3122" t="s">
        <v>17690</v>
      </c>
      <c r="J3122" t="s">
        <v>17691</v>
      </c>
      <c r="L3122" t="s">
        <v>112</v>
      </c>
      <c r="M3122" t="s">
        <v>113</v>
      </c>
      <c r="R3122" t="s">
        <v>17692</v>
      </c>
      <c r="W3122" t="s">
        <v>17688</v>
      </c>
      <c r="X3122" t="s">
        <v>216</v>
      </c>
      <c r="Y3122" t="s">
        <v>116</v>
      </c>
      <c r="Z3122" t="s">
        <v>117</v>
      </c>
      <c r="AA3122" t="str">
        <f>"14222-2006"</f>
        <v>14222-2006</v>
      </c>
      <c r="AB3122" t="s">
        <v>118</v>
      </c>
      <c r="AC3122" t="s">
        <v>119</v>
      </c>
      <c r="AD3122" t="s">
        <v>113</v>
      </c>
      <c r="AE3122" t="s">
        <v>120</v>
      </c>
      <c r="AG3122" t="s">
        <v>121</v>
      </c>
    </row>
    <row r="3123" spans="1:33" x14ac:dyDescent="0.25">
      <c r="A3123" t="str">
        <f>"1003809393"</f>
        <v>1003809393</v>
      </c>
      <c r="B3123" t="str">
        <f>"01169011"</f>
        <v>01169011</v>
      </c>
      <c r="C3123" t="s">
        <v>17693</v>
      </c>
      <c r="D3123" t="s">
        <v>17694</v>
      </c>
      <c r="E3123" t="s">
        <v>17695</v>
      </c>
      <c r="G3123" t="s">
        <v>17693</v>
      </c>
      <c r="H3123" t="s">
        <v>5690</v>
      </c>
      <c r="J3123" t="s">
        <v>17696</v>
      </c>
      <c r="L3123" t="s">
        <v>150</v>
      </c>
      <c r="M3123" t="s">
        <v>199</v>
      </c>
      <c r="R3123" t="s">
        <v>17697</v>
      </c>
      <c r="W3123" t="s">
        <v>17695</v>
      </c>
      <c r="X3123" t="s">
        <v>17698</v>
      </c>
      <c r="Y3123" t="s">
        <v>116</v>
      </c>
      <c r="Z3123" t="s">
        <v>117</v>
      </c>
      <c r="AA3123" t="str">
        <f>"14201"</f>
        <v>14201</v>
      </c>
      <c r="AB3123" t="s">
        <v>118</v>
      </c>
      <c r="AC3123" t="s">
        <v>119</v>
      </c>
      <c r="AD3123" t="s">
        <v>113</v>
      </c>
      <c r="AE3123" t="s">
        <v>120</v>
      </c>
      <c r="AG3123" t="s">
        <v>121</v>
      </c>
    </row>
    <row r="3124" spans="1:33" x14ac:dyDescent="0.25">
      <c r="A3124" t="str">
        <f>"1861521452"</f>
        <v>1861521452</v>
      </c>
      <c r="B3124" t="str">
        <f>"02970547"</f>
        <v>02970547</v>
      </c>
      <c r="C3124" t="s">
        <v>20184</v>
      </c>
      <c r="D3124" t="s">
        <v>13266</v>
      </c>
      <c r="E3124" t="s">
        <v>13267</v>
      </c>
      <c r="H3124" t="s">
        <v>6740</v>
      </c>
      <c r="L3124" t="s">
        <v>5113</v>
      </c>
      <c r="M3124" t="s">
        <v>199</v>
      </c>
      <c r="R3124" t="s">
        <v>20184</v>
      </c>
      <c r="W3124" t="s">
        <v>20185</v>
      </c>
      <c r="X3124" t="s">
        <v>1459</v>
      </c>
      <c r="Y3124" t="s">
        <v>305</v>
      </c>
      <c r="Z3124" t="s">
        <v>117</v>
      </c>
      <c r="AA3124" t="str">
        <f>"14760-1100"</f>
        <v>14760-1100</v>
      </c>
      <c r="AB3124" t="s">
        <v>291</v>
      </c>
      <c r="AC3124" t="s">
        <v>119</v>
      </c>
      <c r="AD3124" t="s">
        <v>113</v>
      </c>
      <c r="AE3124" t="s">
        <v>120</v>
      </c>
      <c r="AG3124" t="s">
        <v>121</v>
      </c>
    </row>
    <row r="3125" spans="1:33" x14ac:dyDescent="0.25">
      <c r="A3125" t="str">
        <f>"1003815200"</f>
        <v>1003815200</v>
      </c>
      <c r="B3125" t="str">
        <f>"00769966"</f>
        <v>00769966</v>
      </c>
      <c r="C3125" t="s">
        <v>17705</v>
      </c>
      <c r="D3125" t="s">
        <v>17706</v>
      </c>
      <c r="E3125" t="s">
        <v>17707</v>
      </c>
      <c r="L3125" t="s">
        <v>142</v>
      </c>
      <c r="M3125" t="s">
        <v>113</v>
      </c>
      <c r="R3125" t="s">
        <v>17708</v>
      </c>
      <c r="W3125" t="s">
        <v>17709</v>
      </c>
      <c r="X3125" t="s">
        <v>17710</v>
      </c>
      <c r="Y3125" t="s">
        <v>305</v>
      </c>
      <c r="Z3125" t="s">
        <v>117</v>
      </c>
      <c r="AA3125" t="str">
        <f>"14760-1598"</f>
        <v>14760-1598</v>
      </c>
      <c r="AB3125" t="s">
        <v>118</v>
      </c>
      <c r="AC3125" t="s">
        <v>119</v>
      </c>
      <c r="AD3125" t="s">
        <v>113</v>
      </c>
      <c r="AE3125" t="s">
        <v>120</v>
      </c>
      <c r="AG3125" t="s">
        <v>121</v>
      </c>
    </row>
    <row r="3126" spans="1:33" x14ac:dyDescent="0.25">
      <c r="A3126" t="str">
        <f>"1003819590"</f>
        <v>1003819590</v>
      </c>
      <c r="C3126" t="s">
        <v>17711</v>
      </c>
      <c r="H3126" t="s">
        <v>17187</v>
      </c>
      <c r="K3126" t="s">
        <v>303</v>
      </c>
      <c r="L3126" t="s">
        <v>229</v>
      </c>
      <c r="M3126" t="s">
        <v>113</v>
      </c>
      <c r="R3126" t="s">
        <v>17711</v>
      </c>
      <c r="S3126" t="s">
        <v>1509</v>
      </c>
      <c r="T3126" t="s">
        <v>153</v>
      </c>
      <c r="U3126" t="s">
        <v>117</v>
      </c>
      <c r="V3126" t="str">
        <f>"143011136"</f>
        <v>143011136</v>
      </c>
      <c r="AC3126" t="s">
        <v>119</v>
      </c>
      <c r="AD3126" t="s">
        <v>113</v>
      </c>
      <c r="AE3126" t="s">
        <v>306</v>
      </c>
      <c r="AG3126" t="s">
        <v>121</v>
      </c>
    </row>
    <row r="3127" spans="1:33" x14ac:dyDescent="0.25">
      <c r="A3127" t="str">
        <f>"1003835901"</f>
        <v>1003835901</v>
      </c>
      <c r="B3127" t="str">
        <f>"02641216"</f>
        <v>02641216</v>
      </c>
      <c r="C3127" t="s">
        <v>17712</v>
      </c>
      <c r="D3127" t="s">
        <v>17713</v>
      </c>
      <c r="E3127" t="s">
        <v>17714</v>
      </c>
      <c r="G3127" t="s">
        <v>17712</v>
      </c>
      <c r="H3127" t="s">
        <v>2280</v>
      </c>
      <c r="J3127" t="s">
        <v>17715</v>
      </c>
      <c r="L3127" t="s">
        <v>142</v>
      </c>
      <c r="M3127" t="s">
        <v>113</v>
      </c>
      <c r="R3127" t="s">
        <v>17716</v>
      </c>
      <c r="W3127" t="s">
        <v>17714</v>
      </c>
      <c r="X3127" t="s">
        <v>176</v>
      </c>
      <c r="Y3127" t="s">
        <v>116</v>
      </c>
      <c r="Z3127" t="s">
        <v>117</v>
      </c>
      <c r="AA3127" t="str">
        <f>"14203-1126"</f>
        <v>14203-1126</v>
      </c>
      <c r="AB3127" t="s">
        <v>118</v>
      </c>
      <c r="AC3127" t="s">
        <v>119</v>
      </c>
      <c r="AD3127" t="s">
        <v>113</v>
      </c>
      <c r="AE3127" t="s">
        <v>120</v>
      </c>
      <c r="AG3127" t="s">
        <v>121</v>
      </c>
    </row>
    <row r="3128" spans="1:33" x14ac:dyDescent="0.25">
      <c r="A3128" t="str">
        <f>"1003847484"</f>
        <v>1003847484</v>
      </c>
      <c r="B3128" t="str">
        <f>"02792501"</f>
        <v>02792501</v>
      </c>
      <c r="C3128" t="s">
        <v>17717</v>
      </c>
      <c r="D3128" t="s">
        <v>17718</v>
      </c>
      <c r="E3128" t="s">
        <v>17719</v>
      </c>
      <c r="G3128" t="s">
        <v>17717</v>
      </c>
      <c r="H3128" t="s">
        <v>3800</v>
      </c>
      <c r="J3128" t="s">
        <v>17720</v>
      </c>
      <c r="L3128" t="s">
        <v>142</v>
      </c>
      <c r="M3128" t="s">
        <v>113</v>
      </c>
      <c r="R3128" t="s">
        <v>17721</v>
      </c>
      <c r="W3128" t="s">
        <v>17719</v>
      </c>
      <c r="X3128" t="s">
        <v>778</v>
      </c>
      <c r="Y3128" t="s">
        <v>240</v>
      </c>
      <c r="Z3128" t="s">
        <v>117</v>
      </c>
      <c r="AA3128" t="str">
        <f>"14221-8214"</f>
        <v>14221-8214</v>
      </c>
      <c r="AB3128" t="s">
        <v>118</v>
      </c>
      <c r="AC3128" t="s">
        <v>119</v>
      </c>
      <c r="AD3128" t="s">
        <v>113</v>
      </c>
      <c r="AE3128" t="s">
        <v>120</v>
      </c>
      <c r="AG3128" t="s">
        <v>121</v>
      </c>
    </row>
    <row r="3129" spans="1:33" x14ac:dyDescent="0.25">
      <c r="A3129" t="str">
        <f>"1003855263"</f>
        <v>1003855263</v>
      </c>
      <c r="B3129" t="str">
        <f>"01480437"</f>
        <v>01480437</v>
      </c>
      <c r="C3129" t="s">
        <v>17722</v>
      </c>
      <c r="D3129" t="s">
        <v>17723</v>
      </c>
      <c r="E3129" t="s">
        <v>17724</v>
      </c>
      <c r="G3129" t="s">
        <v>17722</v>
      </c>
      <c r="H3129" t="s">
        <v>264</v>
      </c>
      <c r="J3129" t="s">
        <v>17725</v>
      </c>
      <c r="L3129" t="s">
        <v>142</v>
      </c>
      <c r="M3129" t="s">
        <v>113</v>
      </c>
      <c r="R3129" t="s">
        <v>17726</v>
      </c>
      <c r="W3129" t="s">
        <v>17724</v>
      </c>
      <c r="X3129" t="s">
        <v>17727</v>
      </c>
      <c r="Y3129" t="s">
        <v>240</v>
      </c>
      <c r="Z3129" t="s">
        <v>117</v>
      </c>
      <c r="AA3129" t="str">
        <f>"14221-4648"</f>
        <v>14221-4648</v>
      </c>
      <c r="AB3129" t="s">
        <v>118</v>
      </c>
      <c r="AC3129" t="s">
        <v>119</v>
      </c>
      <c r="AD3129" t="s">
        <v>113</v>
      </c>
      <c r="AE3129" t="s">
        <v>120</v>
      </c>
      <c r="AG3129" t="s">
        <v>121</v>
      </c>
    </row>
    <row r="3130" spans="1:33" x14ac:dyDescent="0.25">
      <c r="A3130" t="str">
        <f>"1003865700"</f>
        <v>1003865700</v>
      </c>
      <c r="B3130" t="str">
        <f>"02429385"</f>
        <v>02429385</v>
      </c>
      <c r="C3130" t="s">
        <v>17728</v>
      </c>
      <c r="D3130" t="s">
        <v>17729</v>
      </c>
      <c r="E3130" t="s">
        <v>17730</v>
      </c>
      <c r="G3130" t="s">
        <v>17731</v>
      </c>
      <c r="H3130" t="s">
        <v>17732</v>
      </c>
      <c r="J3130" t="s">
        <v>17733</v>
      </c>
      <c r="L3130" t="s">
        <v>112</v>
      </c>
      <c r="M3130" t="s">
        <v>113</v>
      </c>
      <c r="R3130" t="s">
        <v>17734</v>
      </c>
      <c r="W3130" t="s">
        <v>17730</v>
      </c>
      <c r="X3130" t="s">
        <v>838</v>
      </c>
      <c r="Y3130" t="s">
        <v>240</v>
      </c>
      <c r="Z3130" t="s">
        <v>117</v>
      </c>
      <c r="AA3130" t="str">
        <f>"14221-3647"</f>
        <v>14221-3647</v>
      </c>
      <c r="AB3130" t="s">
        <v>118</v>
      </c>
      <c r="AC3130" t="s">
        <v>119</v>
      </c>
      <c r="AD3130" t="s">
        <v>113</v>
      </c>
      <c r="AE3130" t="s">
        <v>120</v>
      </c>
      <c r="AG3130" t="s">
        <v>121</v>
      </c>
    </row>
    <row r="3131" spans="1:33" x14ac:dyDescent="0.25">
      <c r="A3131" t="str">
        <f>"1003870056"</f>
        <v>1003870056</v>
      </c>
      <c r="B3131" t="str">
        <f>"01827536"</f>
        <v>01827536</v>
      </c>
      <c r="C3131" t="s">
        <v>17735</v>
      </c>
      <c r="D3131" t="s">
        <v>17736</v>
      </c>
      <c r="E3131" t="s">
        <v>17737</v>
      </c>
      <c r="G3131" t="s">
        <v>17735</v>
      </c>
      <c r="H3131" t="s">
        <v>17738</v>
      </c>
      <c r="J3131" t="s">
        <v>17739</v>
      </c>
      <c r="L3131" t="s">
        <v>150</v>
      </c>
      <c r="M3131" t="s">
        <v>113</v>
      </c>
      <c r="R3131" t="s">
        <v>17740</v>
      </c>
      <c r="W3131" t="s">
        <v>17737</v>
      </c>
      <c r="X3131" t="s">
        <v>2827</v>
      </c>
      <c r="Y3131" t="s">
        <v>240</v>
      </c>
      <c r="Z3131" t="s">
        <v>117</v>
      </c>
      <c r="AA3131" t="str">
        <f>"14221-2780"</f>
        <v>14221-2780</v>
      </c>
      <c r="AB3131" t="s">
        <v>118</v>
      </c>
      <c r="AC3131" t="s">
        <v>119</v>
      </c>
      <c r="AD3131" t="s">
        <v>113</v>
      </c>
      <c r="AE3131" t="s">
        <v>120</v>
      </c>
      <c r="AG3131" t="s">
        <v>121</v>
      </c>
    </row>
    <row r="3132" spans="1:33" x14ac:dyDescent="0.25">
      <c r="A3132" t="str">
        <f>"1003873316"</f>
        <v>1003873316</v>
      </c>
      <c r="B3132" t="str">
        <f>"02775973"</f>
        <v>02775973</v>
      </c>
      <c r="C3132" t="s">
        <v>17741</v>
      </c>
      <c r="D3132" t="s">
        <v>17742</v>
      </c>
      <c r="E3132" t="s">
        <v>17743</v>
      </c>
      <c r="G3132" t="s">
        <v>17741</v>
      </c>
      <c r="H3132" t="s">
        <v>17744</v>
      </c>
      <c r="J3132" t="s">
        <v>17745</v>
      </c>
      <c r="L3132" t="s">
        <v>112</v>
      </c>
      <c r="M3132" t="s">
        <v>113</v>
      </c>
      <c r="R3132" t="s">
        <v>17746</v>
      </c>
      <c r="W3132" t="s">
        <v>17743</v>
      </c>
      <c r="X3132" t="s">
        <v>7392</v>
      </c>
      <c r="Y3132" t="s">
        <v>326</v>
      </c>
      <c r="Z3132" t="s">
        <v>117</v>
      </c>
      <c r="AA3132" t="str">
        <f>"14127-2604"</f>
        <v>14127-2604</v>
      </c>
      <c r="AB3132" t="s">
        <v>118</v>
      </c>
      <c r="AC3132" t="s">
        <v>119</v>
      </c>
      <c r="AD3132" t="s">
        <v>113</v>
      </c>
      <c r="AE3132" t="s">
        <v>120</v>
      </c>
      <c r="AG3132" t="s">
        <v>121</v>
      </c>
    </row>
    <row r="3133" spans="1:33" x14ac:dyDescent="0.25">
      <c r="A3133" t="str">
        <f>"1003875048"</f>
        <v>1003875048</v>
      </c>
      <c r="B3133" t="str">
        <f>"01008011"</f>
        <v>01008011</v>
      </c>
      <c r="C3133" t="s">
        <v>923</v>
      </c>
      <c r="D3133" t="s">
        <v>17747</v>
      </c>
      <c r="E3133" t="s">
        <v>17748</v>
      </c>
      <c r="H3133" t="s">
        <v>925</v>
      </c>
      <c r="L3133" t="s">
        <v>69</v>
      </c>
      <c r="M3133" t="s">
        <v>113</v>
      </c>
      <c r="R3133" t="s">
        <v>923</v>
      </c>
      <c r="W3133" t="s">
        <v>17749</v>
      </c>
      <c r="X3133" t="s">
        <v>17750</v>
      </c>
      <c r="Y3133" t="s">
        <v>116</v>
      </c>
      <c r="Z3133" t="s">
        <v>117</v>
      </c>
      <c r="AA3133" t="str">
        <f>"14204-2359"</f>
        <v>14204-2359</v>
      </c>
      <c r="AB3133" t="s">
        <v>282</v>
      </c>
      <c r="AC3133" t="s">
        <v>119</v>
      </c>
      <c r="AD3133" t="s">
        <v>113</v>
      </c>
      <c r="AE3133" t="s">
        <v>120</v>
      </c>
      <c r="AG3133" t="s">
        <v>121</v>
      </c>
    </row>
    <row r="3134" spans="1:33" x14ac:dyDescent="0.25">
      <c r="B3134" t="str">
        <f>"02003107"</f>
        <v>02003107</v>
      </c>
      <c r="C3134" t="s">
        <v>1572</v>
      </c>
      <c r="D3134" t="s">
        <v>1573</v>
      </c>
      <c r="E3134" t="s">
        <v>1574</v>
      </c>
      <c r="F3134">
        <v>160794847</v>
      </c>
      <c r="L3134" t="s">
        <v>67</v>
      </c>
      <c r="M3134" t="s">
        <v>113</v>
      </c>
      <c r="W3134" t="s">
        <v>1574</v>
      </c>
      <c r="X3134" t="s">
        <v>1575</v>
      </c>
      <c r="Y3134" t="s">
        <v>153</v>
      </c>
      <c r="Z3134" t="s">
        <v>117</v>
      </c>
      <c r="AA3134" t="str">
        <f>"14304-0360"</f>
        <v>14304-0360</v>
      </c>
      <c r="AB3134" t="s">
        <v>291</v>
      </c>
      <c r="AC3134" t="s">
        <v>119</v>
      </c>
      <c r="AD3134" t="s">
        <v>113</v>
      </c>
      <c r="AE3134" t="s">
        <v>120</v>
      </c>
      <c r="AG3134" t="s">
        <v>121</v>
      </c>
    </row>
    <row r="3135" spans="1:33" x14ac:dyDescent="0.25">
      <c r="A3135" t="str">
        <f>"1083792253"</f>
        <v>1083792253</v>
      </c>
      <c r="B3135" t="str">
        <f>"00770732"</f>
        <v>00770732</v>
      </c>
      <c r="C3135" t="s">
        <v>17759</v>
      </c>
      <c r="D3135" t="s">
        <v>17760</v>
      </c>
      <c r="E3135" t="s">
        <v>17761</v>
      </c>
      <c r="G3135" t="s">
        <v>17759</v>
      </c>
      <c r="H3135" t="s">
        <v>17762</v>
      </c>
      <c r="J3135" t="s">
        <v>17763</v>
      </c>
      <c r="L3135" t="s">
        <v>142</v>
      </c>
      <c r="M3135" t="s">
        <v>113</v>
      </c>
      <c r="R3135" t="s">
        <v>17764</v>
      </c>
      <c r="W3135" t="s">
        <v>17761</v>
      </c>
      <c r="X3135" t="s">
        <v>17765</v>
      </c>
      <c r="Y3135" t="s">
        <v>153</v>
      </c>
      <c r="Z3135" t="s">
        <v>117</v>
      </c>
      <c r="AA3135" t="str">
        <f>"14303-1200"</f>
        <v>14303-1200</v>
      </c>
      <c r="AB3135" t="s">
        <v>118</v>
      </c>
      <c r="AC3135" t="s">
        <v>119</v>
      </c>
      <c r="AD3135" t="s">
        <v>113</v>
      </c>
      <c r="AE3135" t="s">
        <v>120</v>
      </c>
      <c r="AG3135" t="s">
        <v>121</v>
      </c>
    </row>
    <row r="3136" spans="1:33" x14ac:dyDescent="0.25">
      <c r="A3136" t="str">
        <f>"1083793566"</f>
        <v>1083793566</v>
      </c>
      <c r="B3136" t="str">
        <f>"02993979"</f>
        <v>02993979</v>
      </c>
      <c r="C3136" t="s">
        <v>17766</v>
      </c>
      <c r="D3136" t="s">
        <v>17767</v>
      </c>
      <c r="E3136" t="s">
        <v>17766</v>
      </c>
      <c r="H3136" t="s">
        <v>17768</v>
      </c>
      <c r="L3136" t="s">
        <v>12144</v>
      </c>
      <c r="M3136" t="s">
        <v>113</v>
      </c>
      <c r="R3136" t="s">
        <v>17766</v>
      </c>
      <c r="W3136" t="s">
        <v>17766</v>
      </c>
      <c r="X3136" t="s">
        <v>17766</v>
      </c>
      <c r="Y3136" t="s">
        <v>240</v>
      </c>
      <c r="Z3136" t="s">
        <v>117</v>
      </c>
      <c r="AA3136" t="str">
        <f>"14221-7039"</f>
        <v>14221-7039</v>
      </c>
      <c r="AB3136" t="s">
        <v>5777</v>
      </c>
      <c r="AC3136" t="s">
        <v>119</v>
      </c>
      <c r="AD3136" t="s">
        <v>113</v>
      </c>
      <c r="AE3136" t="s">
        <v>120</v>
      </c>
      <c r="AG3136" t="s">
        <v>121</v>
      </c>
    </row>
    <row r="3137" spans="1:33" x14ac:dyDescent="0.25">
      <c r="A3137" t="str">
        <f>"1083797419"</f>
        <v>1083797419</v>
      </c>
      <c r="B3137" t="str">
        <f>"01964410"</f>
        <v>01964410</v>
      </c>
      <c r="C3137" t="s">
        <v>17769</v>
      </c>
      <c r="D3137" t="s">
        <v>17770</v>
      </c>
      <c r="E3137" t="s">
        <v>17771</v>
      </c>
      <c r="G3137" t="s">
        <v>17769</v>
      </c>
      <c r="H3137" t="s">
        <v>213</v>
      </c>
      <c r="J3137" t="s">
        <v>17772</v>
      </c>
      <c r="L3137" t="s">
        <v>728</v>
      </c>
      <c r="M3137" t="s">
        <v>113</v>
      </c>
      <c r="R3137" t="s">
        <v>17773</v>
      </c>
      <c r="W3137" t="s">
        <v>17771</v>
      </c>
      <c r="X3137" t="s">
        <v>216</v>
      </c>
      <c r="Y3137" t="s">
        <v>116</v>
      </c>
      <c r="Z3137" t="s">
        <v>117</v>
      </c>
      <c r="AA3137" t="str">
        <f>"14222-2006"</f>
        <v>14222-2006</v>
      </c>
      <c r="AB3137" t="s">
        <v>118</v>
      </c>
      <c r="AC3137" t="s">
        <v>119</v>
      </c>
      <c r="AD3137" t="s">
        <v>113</v>
      </c>
      <c r="AE3137" t="s">
        <v>120</v>
      </c>
      <c r="AG3137" t="s">
        <v>121</v>
      </c>
    </row>
    <row r="3138" spans="1:33" x14ac:dyDescent="0.25">
      <c r="A3138" t="str">
        <f>"1083830525"</f>
        <v>1083830525</v>
      </c>
      <c r="B3138" t="str">
        <f>"03989599"</f>
        <v>03989599</v>
      </c>
      <c r="C3138" t="s">
        <v>17774</v>
      </c>
      <c r="D3138" t="s">
        <v>17775</v>
      </c>
      <c r="E3138" t="s">
        <v>17776</v>
      </c>
      <c r="G3138" t="s">
        <v>17777</v>
      </c>
      <c r="H3138" t="s">
        <v>1115</v>
      </c>
      <c r="J3138" t="s">
        <v>438</v>
      </c>
      <c r="L3138" t="s">
        <v>112</v>
      </c>
      <c r="M3138" t="s">
        <v>113</v>
      </c>
      <c r="R3138" t="s">
        <v>17778</v>
      </c>
      <c r="W3138" t="s">
        <v>17776</v>
      </c>
      <c r="X3138" t="s">
        <v>17779</v>
      </c>
      <c r="Y3138" t="s">
        <v>240</v>
      </c>
      <c r="Z3138" t="s">
        <v>117</v>
      </c>
      <c r="AA3138" t="str">
        <f>"14221-5773"</f>
        <v>14221-5773</v>
      </c>
      <c r="AB3138" t="s">
        <v>621</v>
      </c>
      <c r="AC3138" t="s">
        <v>119</v>
      </c>
      <c r="AD3138" t="s">
        <v>113</v>
      </c>
      <c r="AE3138" t="s">
        <v>120</v>
      </c>
      <c r="AG3138" t="s">
        <v>121</v>
      </c>
    </row>
    <row r="3139" spans="1:33" x14ac:dyDescent="0.25">
      <c r="A3139" t="str">
        <f>"1083839070"</f>
        <v>1083839070</v>
      </c>
      <c r="B3139" t="str">
        <f>"03649983"</f>
        <v>03649983</v>
      </c>
      <c r="C3139" t="s">
        <v>17780</v>
      </c>
      <c r="D3139" t="s">
        <v>17781</v>
      </c>
      <c r="E3139" t="s">
        <v>17782</v>
      </c>
      <c r="G3139" t="s">
        <v>17780</v>
      </c>
      <c r="H3139" t="s">
        <v>7991</v>
      </c>
      <c r="L3139" t="s">
        <v>112</v>
      </c>
      <c r="M3139" t="s">
        <v>113</v>
      </c>
      <c r="R3139" t="s">
        <v>17783</v>
      </c>
      <c r="W3139" t="s">
        <v>17782</v>
      </c>
      <c r="X3139" t="s">
        <v>17784</v>
      </c>
      <c r="Y3139" t="s">
        <v>116</v>
      </c>
      <c r="Z3139" t="s">
        <v>117</v>
      </c>
      <c r="AA3139" t="str">
        <f>"14213-1207"</f>
        <v>14213-1207</v>
      </c>
      <c r="AB3139" t="s">
        <v>118</v>
      </c>
      <c r="AC3139" t="s">
        <v>119</v>
      </c>
      <c r="AD3139" t="s">
        <v>113</v>
      </c>
      <c r="AE3139" t="s">
        <v>120</v>
      </c>
      <c r="AG3139" t="s">
        <v>121</v>
      </c>
    </row>
    <row r="3140" spans="1:33" x14ac:dyDescent="0.25">
      <c r="A3140" t="str">
        <f>"1083844302"</f>
        <v>1083844302</v>
      </c>
      <c r="B3140" t="str">
        <f>"03191435"</f>
        <v>03191435</v>
      </c>
      <c r="C3140" t="s">
        <v>17785</v>
      </c>
      <c r="D3140" t="s">
        <v>17786</v>
      </c>
      <c r="E3140" t="s">
        <v>17787</v>
      </c>
      <c r="G3140" t="s">
        <v>17785</v>
      </c>
      <c r="H3140" t="s">
        <v>1272</v>
      </c>
      <c r="J3140" t="s">
        <v>17788</v>
      </c>
      <c r="L3140" t="s">
        <v>142</v>
      </c>
      <c r="M3140" t="s">
        <v>113</v>
      </c>
      <c r="R3140" t="s">
        <v>17789</v>
      </c>
      <c r="W3140" t="s">
        <v>17790</v>
      </c>
      <c r="X3140" t="s">
        <v>2607</v>
      </c>
      <c r="Y3140" t="s">
        <v>116</v>
      </c>
      <c r="Z3140" t="s">
        <v>117</v>
      </c>
      <c r="AA3140" t="str">
        <f>"14203-1149"</f>
        <v>14203-1149</v>
      </c>
      <c r="AB3140" t="s">
        <v>118</v>
      </c>
      <c r="AC3140" t="s">
        <v>119</v>
      </c>
      <c r="AD3140" t="s">
        <v>113</v>
      </c>
      <c r="AE3140" t="s">
        <v>120</v>
      </c>
      <c r="AG3140" t="s">
        <v>121</v>
      </c>
    </row>
    <row r="3141" spans="1:33" x14ac:dyDescent="0.25">
      <c r="A3141" t="str">
        <f>"1194925339"</f>
        <v>1194925339</v>
      </c>
      <c r="C3141" t="s">
        <v>17791</v>
      </c>
      <c r="G3141" t="s">
        <v>17792</v>
      </c>
      <c r="H3141" t="s">
        <v>17793</v>
      </c>
      <c r="J3141" t="s">
        <v>17794</v>
      </c>
      <c r="K3141" t="s">
        <v>303</v>
      </c>
      <c r="L3141" t="s">
        <v>229</v>
      </c>
      <c r="M3141" t="s">
        <v>113</v>
      </c>
      <c r="R3141" t="s">
        <v>17795</v>
      </c>
      <c r="S3141" t="s">
        <v>17796</v>
      </c>
      <c r="T3141" t="s">
        <v>527</v>
      </c>
      <c r="U3141" t="s">
        <v>117</v>
      </c>
      <c r="V3141" t="str">
        <f>"141031063"</f>
        <v>141031063</v>
      </c>
      <c r="AC3141" t="s">
        <v>119</v>
      </c>
      <c r="AD3141" t="s">
        <v>113</v>
      </c>
      <c r="AE3141" t="s">
        <v>306</v>
      </c>
      <c r="AG3141" t="s">
        <v>121</v>
      </c>
    </row>
    <row r="3142" spans="1:33" x14ac:dyDescent="0.25">
      <c r="A3142" t="str">
        <f>"1194928416"</f>
        <v>1194928416</v>
      </c>
      <c r="B3142" t="str">
        <f>"03579655"</f>
        <v>03579655</v>
      </c>
      <c r="C3142" t="s">
        <v>17797</v>
      </c>
      <c r="D3142" t="s">
        <v>17798</v>
      </c>
      <c r="E3142" t="s">
        <v>17799</v>
      </c>
      <c r="G3142" t="s">
        <v>17797</v>
      </c>
      <c r="H3142" t="s">
        <v>227</v>
      </c>
      <c r="J3142" t="s">
        <v>17800</v>
      </c>
      <c r="L3142" t="s">
        <v>142</v>
      </c>
      <c r="M3142" t="s">
        <v>113</v>
      </c>
      <c r="R3142" t="s">
        <v>17801</v>
      </c>
      <c r="W3142" t="s">
        <v>17799</v>
      </c>
      <c r="X3142" t="s">
        <v>17802</v>
      </c>
      <c r="Y3142" t="s">
        <v>17803</v>
      </c>
      <c r="Z3142" t="s">
        <v>117</v>
      </c>
      <c r="AA3142" t="str">
        <f>"11501-3957"</f>
        <v>11501-3957</v>
      </c>
      <c r="AB3142" t="s">
        <v>118</v>
      </c>
      <c r="AC3142" t="s">
        <v>119</v>
      </c>
      <c r="AD3142" t="s">
        <v>113</v>
      </c>
      <c r="AE3142" t="s">
        <v>120</v>
      </c>
      <c r="AG3142" t="s">
        <v>121</v>
      </c>
    </row>
    <row r="3143" spans="1:33" x14ac:dyDescent="0.25">
      <c r="A3143" t="str">
        <f>"1194957639"</f>
        <v>1194957639</v>
      </c>
      <c r="B3143" t="str">
        <f>"03646040"</f>
        <v>03646040</v>
      </c>
      <c r="C3143" t="s">
        <v>17804</v>
      </c>
      <c r="D3143" t="s">
        <v>17805</v>
      </c>
      <c r="E3143" t="s">
        <v>17806</v>
      </c>
      <c r="G3143" t="s">
        <v>17807</v>
      </c>
      <c r="J3143" t="s">
        <v>17808</v>
      </c>
      <c r="L3143" t="s">
        <v>112</v>
      </c>
      <c r="M3143" t="s">
        <v>113</v>
      </c>
      <c r="R3143" t="s">
        <v>17806</v>
      </c>
      <c r="W3143" t="s">
        <v>17806</v>
      </c>
      <c r="X3143" t="s">
        <v>17809</v>
      </c>
      <c r="Y3143" t="s">
        <v>889</v>
      </c>
      <c r="Z3143" t="s">
        <v>117</v>
      </c>
      <c r="AA3143" t="str">
        <f>"14120-2019"</f>
        <v>14120-2019</v>
      </c>
      <c r="AB3143" t="s">
        <v>118</v>
      </c>
      <c r="AC3143" t="s">
        <v>119</v>
      </c>
      <c r="AD3143" t="s">
        <v>113</v>
      </c>
      <c r="AE3143" t="s">
        <v>120</v>
      </c>
      <c r="AG3143" t="s">
        <v>121</v>
      </c>
    </row>
    <row r="3144" spans="1:33" x14ac:dyDescent="0.25">
      <c r="A3144" t="str">
        <f>"1194995662"</f>
        <v>1194995662</v>
      </c>
      <c r="B3144" t="str">
        <f>"03015574"</f>
        <v>03015574</v>
      </c>
      <c r="C3144" t="s">
        <v>17810</v>
      </c>
      <c r="D3144" t="s">
        <v>17811</v>
      </c>
      <c r="E3144" t="s">
        <v>17812</v>
      </c>
      <c r="G3144" t="s">
        <v>17813</v>
      </c>
      <c r="H3144" t="s">
        <v>2252</v>
      </c>
      <c r="J3144" t="s">
        <v>17814</v>
      </c>
      <c r="L3144" t="s">
        <v>112</v>
      </c>
      <c r="M3144" t="s">
        <v>113</v>
      </c>
      <c r="R3144" t="s">
        <v>17815</v>
      </c>
      <c r="W3144" t="s">
        <v>17816</v>
      </c>
      <c r="X3144" t="s">
        <v>176</v>
      </c>
      <c r="Y3144" t="s">
        <v>116</v>
      </c>
      <c r="Z3144" t="s">
        <v>117</v>
      </c>
      <c r="AA3144" t="str">
        <f>"14203-1126"</f>
        <v>14203-1126</v>
      </c>
      <c r="AB3144" t="s">
        <v>118</v>
      </c>
      <c r="AC3144" t="s">
        <v>119</v>
      </c>
      <c r="AD3144" t="s">
        <v>113</v>
      </c>
      <c r="AE3144" t="s">
        <v>120</v>
      </c>
      <c r="AG3144" t="s">
        <v>121</v>
      </c>
    </row>
    <row r="3145" spans="1:33" x14ac:dyDescent="0.25">
      <c r="A3145" t="str">
        <f>"1205009776"</f>
        <v>1205009776</v>
      </c>
      <c r="B3145" t="str">
        <f>"03064775"</f>
        <v>03064775</v>
      </c>
      <c r="C3145" t="s">
        <v>17817</v>
      </c>
      <c r="D3145" t="s">
        <v>17818</v>
      </c>
      <c r="E3145" t="s">
        <v>17819</v>
      </c>
      <c r="G3145" t="s">
        <v>17820</v>
      </c>
      <c r="H3145" t="s">
        <v>17821</v>
      </c>
      <c r="J3145" t="s">
        <v>17822</v>
      </c>
      <c r="L3145" t="s">
        <v>112</v>
      </c>
      <c r="M3145" t="s">
        <v>113</v>
      </c>
      <c r="R3145" t="s">
        <v>17823</v>
      </c>
      <c r="W3145" t="s">
        <v>17824</v>
      </c>
      <c r="X3145" t="s">
        <v>253</v>
      </c>
      <c r="Y3145" t="s">
        <v>116</v>
      </c>
      <c r="Z3145" t="s">
        <v>117</v>
      </c>
      <c r="AA3145" t="str">
        <f>"14215-3021"</f>
        <v>14215-3021</v>
      </c>
      <c r="AB3145" t="s">
        <v>118</v>
      </c>
      <c r="AC3145" t="s">
        <v>119</v>
      </c>
      <c r="AD3145" t="s">
        <v>113</v>
      </c>
      <c r="AE3145" t="s">
        <v>120</v>
      </c>
      <c r="AG3145" t="s">
        <v>121</v>
      </c>
    </row>
    <row r="3146" spans="1:33" x14ac:dyDescent="0.25">
      <c r="A3146" t="str">
        <f>"1316969728"</f>
        <v>1316969728</v>
      </c>
      <c r="B3146" t="str">
        <f>"02822388"</f>
        <v>02822388</v>
      </c>
      <c r="C3146" t="s">
        <v>17825</v>
      </c>
      <c r="D3146" t="s">
        <v>17826</v>
      </c>
      <c r="E3146" t="s">
        <v>17827</v>
      </c>
      <c r="G3146" t="s">
        <v>17828</v>
      </c>
      <c r="H3146" t="s">
        <v>110</v>
      </c>
      <c r="J3146" t="s">
        <v>17829</v>
      </c>
      <c r="L3146" t="s">
        <v>142</v>
      </c>
      <c r="M3146" t="s">
        <v>113</v>
      </c>
      <c r="R3146" t="s">
        <v>17830</v>
      </c>
      <c r="W3146" t="s">
        <v>17831</v>
      </c>
      <c r="X3146" t="s">
        <v>115</v>
      </c>
      <c r="Y3146" t="s">
        <v>116</v>
      </c>
      <c r="Z3146" t="s">
        <v>117</v>
      </c>
      <c r="AA3146" t="str">
        <f>"14209-2087"</f>
        <v>14209-2087</v>
      </c>
      <c r="AB3146" t="s">
        <v>118</v>
      </c>
      <c r="AC3146" t="s">
        <v>119</v>
      </c>
      <c r="AD3146" t="s">
        <v>113</v>
      </c>
      <c r="AE3146" t="s">
        <v>120</v>
      </c>
      <c r="AG3146" t="s">
        <v>121</v>
      </c>
    </row>
    <row r="3147" spans="1:33" x14ac:dyDescent="0.25">
      <c r="A3147" t="str">
        <f>"1316973282"</f>
        <v>1316973282</v>
      </c>
      <c r="B3147" t="str">
        <f>"01624226"</f>
        <v>01624226</v>
      </c>
      <c r="C3147" t="s">
        <v>17832</v>
      </c>
      <c r="D3147" t="s">
        <v>17833</v>
      </c>
      <c r="E3147" t="s">
        <v>17834</v>
      </c>
      <c r="G3147" t="s">
        <v>17832</v>
      </c>
      <c r="H3147" t="s">
        <v>17835</v>
      </c>
      <c r="J3147" t="s">
        <v>17836</v>
      </c>
      <c r="L3147" t="s">
        <v>112</v>
      </c>
      <c r="M3147" t="s">
        <v>113</v>
      </c>
      <c r="R3147" t="s">
        <v>17837</v>
      </c>
      <c r="W3147" t="s">
        <v>17834</v>
      </c>
      <c r="X3147" t="s">
        <v>17838</v>
      </c>
      <c r="Y3147" t="s">
        <v>240</v>
      </c>
      <c r="Z3147" t="s">
        <v>117</v>
      </c>
      <c r="AA3147" t="str">
        <f>"14221-2322"</f>
        <v>14221-2322</v>
      </c>
      <c r="AB3147" t="s">
        <v>118</v>
      </c>
      <c r="AC3147" t="s">
        <v>119</v>
      </c>
      <c r="AD3147" t="s">
        <v>113</v>
      </c>
      <c r="AE3147" t="s">
        <v>120</v>
      </c>
      <c r="AG3147" t="s">
        <v>121</v>
      </c>
    </row>
    <row r="3148" spans="1:33" x14ac:dyDescent="0.25">
      <c r="A3148" t="str">
        <f>"1316377898"</f>
        <v>1316377898</v>
      </c>
      <c r="C3148" t="s">
        <v>17839</v>
      </c>
      <c r="G3148" t="s">
        <v>17840</v>
      </c>
      <c r="H3148" t="s">
        <v>351</v>
      </c>
      <c r="J3148" t="s">
        <v>352</v>
      </c>
      <c r="K3148" t="s">
        <v>303</v>
      </c>
      <c r="L3148" t="s">
        <v>229</v>
      </c>
      <c r="M3148" t="s">
        <v>113</v>
      </c>
      <c r="R3148" t="s">
        <v>17841</v>
      </c>
      <c r="S3148" t="s">
        <v>409</v>
      </c>
      <c r="T3148" t="s">
        <v>116</v>
      </c>
      <c r="U3148" t="s">
        <v>117</v>
      </c>
      <c r="V3148" t="str">
        <f>"142152814"</f>
        <v>142152814</v>
      </c>
      <c r="AC3148" t="s">
        <v>119</v>
      </c>
      <c r="AD3148" t="s">
        <v>113</v>
      </c>
      <c r="AE3148" t="s">
        <v>306</v>
      </c>
      <c r="AG3148" t="s">
        <v>121</v>
      </c>
    </row>
    <row r="3149" spans="1:33" x14ac:dyDescent="0.25">
      <c r="A3149" t="str">
        <f>"1316385065"</f>
        <v>1316385065</v>
      </c>
      <c r="C3149" t="s">
        <v>17842</v>
      </c>
      <c r="G3149" t="s">
        <v>17843</v>
      </c>
      <c r="H3149" t="s">
        <v>351</v>
      </c>
      <c r="J3149" t="s">
        <v>352</v>
      </c>
      <c r="K3149" t="s">
        <v>303</v>
      </c>
      <c r="L3149" t="s">
        <v>229</v>
      </c>
      <c r="M3149" t="s">
        <v>113</v>
      </c>
      <c r="R3149" t="s">
        <v>17844</v>
      </c>
      <c r="S3149" t="s">
        <v>354</v>
      </c>
      <c r="T3149" t="s">
        <v>116</v>
      </c>
      <c r="U3149" t="s">
        <v>117</v>
      </c>
      <c r="V3149" t="str">
        <f>"142152814"</f>
        <v>142152814</v>
      </c>
      <c r="AC3149" t="s">
        <v>119</v>
      </c>
      <c r="AD3149" t="s">
        <v>113</v>
      </c>
      <c r="AE3149" t="s">
        <v>306</v>
      </c>
      <c r="AG3149" t="s">
        <v>121</v>
      </c>
    </row>
    <row r="3150" spans="1:33" x14ac:dyDescent="0.25">
      <c r="A3150" t="str">
        <f>"1316900616"</f>
        <v>1316900616</v>
      </c>
      <c r="B3150" t="str">
        <f>"01866100"</f>
        <v>01866100</v>
      </c>
      <c r="C3150" t="s">
        <v>17845</v>
      </c>
      <c r="D3150" t="s">
        <v>17846</v>
      </c>
      <c r="E3150" t="s">
        <v>17847</v>
      </c>
      <c r="G3150" t="s">
        <v>17848</v>
      </c>
      <c r="H3150" t="s">
        <v>17849</v>
      </c>
      <c r="J3150" t="s">
        <v>17850</v>
      </c>
      <c r="L3150" t="s">
        <v>112</v>
      </c>
      <c r="M3150" t="s">
        <v>113</v>
      </c>
      <c r="R3150" t="s">
        <v>17851</v>
      </c>
      <c r="W3150" t="s">
        <v>17847</v>
      </c>
      <c r="X3150" t="s">
        <v>1397</v>
      </c>
      <c r="Y3150" t="s">
        <v>1398</v>
      </c>
      <c r="Z3150" t="s">
        <v>117</v>
      </c>
      <c r="AA3150" t="str">
        <f>"14125-1014"</f>
        <v>14125-1014</v>
      </c>
      <c r="AB3150" t="s">
        <v>118</v>
      </c>
      <c r="AC3150" t="s">
        <v>119</v>
      </c>
      <c r="AD3150" t="s">
        <v>113</v>
      </c>
      <c r="AE3150" t="s">
        <v>120</v>
      </c>
      <c r="AG3150" t="s">
        <v>121</v>
      </c>
    </row>
    <row r="3151" spans="1:33" x14ac:dyDescent="0.25">
      <c r="A3151" t="str">
        <f>"1316901226"</f>
        <v>1316901226</v>
      </c>
      <c r="B3151" t="str">
        <f>"02431107"</f>
        <v>02431107</v>
      </c>
      <c r="C3151" t="s">
        <v>17852</v>
      </c>
      <c r="D3151" t="s">
        <v>17853</v>
      </c>
      <c r="E3151" t="s">
        <v>17854</v>
      </c>
      <c r="G3151" t="s">
        <v>17855</v>
      </c>
      <c r="H3151" t="s">
        <v>17856</v>
      </c>
      <c r="J3151" t="s">
        <v>17857</v>
      </c>
      <c r="L3151" t="s">
        <v>1033</v>
      </c>
      <c r="M3151" t="s">
        <v>113</v>
      </c>
      <c r="R3151" t="s">
        <v>17858</v>
      </c>
      <c r="W3151" t="s">
        <v>17854</v>
      </c>
      <c r="X3151" t="s">
        <v>216</v>
      </c>
      <c r="Y3151" t="s">
        <v>116</v>
      </c>
      <c r="Z3151" t="s">
        <v>117</v>
      </c>
      <c r="AA3151" t="str">
        <f>"14222-2006"</f>
        <v>14222-2006</v>
      </c>
      <c r="AB3151" t="s">
        <v>118</v>
      </c>
      <c r="AC3151" t="s">
        <v>119</v>
      </c>
      <c r="AD3151" t="s">
        <v>113</v>
      </c>
      <c r="AE3151" t="s">
        <v>120</v>
      </c>
      <c r="AG3151" t="s">
        <v>121</v>
      </c>
    </row>
    <row r="3152" spans="1:33" x14ac:dyDescent="0.25">
      <c r="A3152" t="str">
        <f>"1316903321"</f>
        <v>1316903321</v>
      </c>
      <c r="B3152" t="str">
        <f>"00716610"</f>
        <v>00716610</v>
      </c>
      <c r="C3152" t="s">
        <v>17859</v>
      </c>
      <c r="D3152" t="s">
        <v>17860</v>
      </c>
      <c r="E3152" t="s">
        <v>17861</v>
      </c>
      <c r="G3152" t="s">
        <v>17859</v>
      </c>
      <c r="H3152" t="s">
        <v>707</v>
      </c>
      <c r="J3152" t="s">
        <v>17862</v>
      </c>
      <c r="L3152" t="s">
        <v>142</v>
      </c>
      <c r="M3152" t="s">
        <v>113</v>
      </c>
      <c r="R3152" t="s">
        <v>17863</v>
      </c>
      <c r="W3152" t="s">
        <v>17864</v>
      </c>
      <c r="X3152" t="s">
        <v>176</v>
      </c>
      <c r="Y3152" t="s">
        <v>116</v>
      </c>
      <c r="Z3152" t="s">
        <v>117</v>
      </c>
      <c r="AA3152" t="str">
        <f>"14203-1126"</f>
        <v>14203-1126</v>
      </c>
      <c r="AB3152" t="s">
        <v>118</v>
      </c>
      <c r="AC3152" t="s">
        <v>119</v>
      </c>
      <c r="AD3152" t="s">
        <v>113</v>
      </c>
      <c r="AE3152" t="s">
        <v>120</v>
      </c>
      <c r="AG3152" t="s">
        <v>121</v>
      </c>
    </row>
    <row r="3153" spans="1:33" x14ac:dyDescent="0.25">
      <c r="A3153" t="str">
        <f>"1316903586"</f>
        <v>1316903586</v>
      </c>
      <c r="B3153" t="str">
        <f>"01100334"</f>
        <v>01100334</v>
      </c>
      <c r="C3153" t="s">
        <v>17865</v>
      </c>
      <c r="D3153" t="s">
        <v>17866</v>
      </c>
      <c r="E3153" t="s">
        <v>17867</v>
      </c>
      <c r="G3153" t="s">
        <v>17865</v>
      </c>
      <c r="H3153" t="s">
        <v>133</v>
      </c>
      <c r="J3153" t="s">
        <v>17868</v>
      </c>
      <c r="L3153" t="s">
        <v>112</v>
      </c>
      <c r="M3153" t="s">
        <v>113</v>
      </c>
      <c r="R3153" t="s">
        <v>17869</v>
      </c>
      <c r="W3153" t="s">
        <v>17867</v>
      </c>
      <c r="X3153" t="s">
        <v>136</v>
      </c>
      <c r="Y3153" t="s">
        <v>116</v>
      </c>
      <c r="Z3153" t="s">
        <v>117</v>
      </c>
      <c r="AA3153" t="str">
        <f>"14209-1120"</f>
        <v>14209-1120</v>
      </c>
      <c r="AB3153" t="s">
        <v>118</v>
      </c>
      <c r="AC3153" t="s">
        <v>119</v>
      </c>
      <c r="AD3153" t="s">
        <v>113</v>
      </c>
      <c r="AE3153" t="s">
        <v>120</v>
      </c>
      <c r="AG3153" t="s">
        <v>121</v>
      </c>
    </row>
    <row r="3154" spans="1:33" x14ac:dyDescent="0.25">
      <c r="A3154" t="str">
        <f>"1316906118"</f>
        <v>1316906118</v>
      </c>
      <c r="B3154" t="str">
        <f>"00684831"</f>
        <v>00684831</v>
      </c>
      <c r="C3154" t="s">
        <v>17870</v>
      </c>
      <c r="D3154" t="s">
        <v>17871</v>
      </c>
      <c r="E3154" t="s">
        <v>17872</v>
      </c>
      <c r="G3154" t="s">
        <v>17870</v>
      </c>
      <c r="H3154" t="s">
        <v>17873</v>
      </c>
      <c r="J3154" t="s">
        <v>17874</v>
      </c>
      <c r="L3154" t="s">
        <v>142</v>
      </c>
      <c r="M3154" t="s">
        <v>113</v>
      </c>
      <c r="R3154" t="s">
        <v>17875</v>
      </c>
      <c r="W3154" t="s">
        <v>17875</v>
      </c>
      <c r="X3154" t="s">
        <v>176</v>
      </c>
      <c r="Y3154" t="s">
        <v>116</v>
      </c>
      <c r="Z3154" t="s">
        <v>117</v>
      </c>
      <c r="AA3154" t="str">
        <f>"14203-1154"</f>
        <v>14203-1154</v>
      </c>
      <c r="AB3154" t="s">
        <v>118</v>
      </c>
      <c r="AC3154" t="s">
        <v>119</v>
      </c>
      <c r="AD3154" t="s">
        <v>113</v>
      </c>
      <c r="AE3154" t="s">
        <v>120</v>
      </c>
      <c r="AG3154" t="s">
        <v>121</v>
      </c>
    </row>
    <row r="3155" spans="1:33" x14ac:dyDescent="0.25">
      <c r="A3155" t="str">
        <f>"1316911779"</f>
        <v>1316911779</v>
      </c>
      <c r="B3155" t="str">
        <f>"01482177"</f>
        <v>01482177</v>
      </c>
      <c r="C3155" t="s">
        <v>17876</v>
      </c>
      <c r="D3155" t="s">
        <v>17877</v>
      </c>
      <c r="E3155" t="s">
        <v>17878</v>
      </c>
      <c r="G3155" t="s">
        <v>17876</v>
      </c>
      <c r="H3155" t="s">
        <v>7498</v>
      </c>
      <c r="J3155" t="s">
        <v>17879</v>
      </c>
      <c r="L3155" t="s">
        <v>142</v>
      </c>
      <c r="M3155" t="s">
        <v>113</v>
      </c>
      <c r="R3155" t="s">
        <v>17880</v>
      </c>
      <c r="W3155" t="s">
        <v>17881</v>
      </c>
      <c r="X3155" t="s">
        <v>3420</v>
      </c>
      <c r="Y3155" t="s">
        <v>116</v>
      </c>
      <c r="Z3155" t="s">
        <v>117</v>
      </c>
      <c r="AA3155" t="str">
        <f>"14214-2648"</f>
        <v>14214-2648</v>
      </c>
      <c r="AB3155" t="s">
        <v>118</v>
      </c>
      <c r="AC3155" t="s">
        <v>119</v>
      </c>
      <c r="AD3155" t="s">
        <v>113</v>
      </c>
      <c r="AE3155" t="s">
        <v>120</v>
      </c>
      <c r="AG3155" t="s">
        <v>121</v>
      </c>
    </row>
    <row r="3156" spans="1:33" x14ac:dyDescent="0.25">
      <c r="A3156" t="str">
        <f>"1316913338"</f>
        <v>1316913338</v>
      </c>
      <c r="B3156" t="str">
        <f>"01289174"</f>
        <v>01289174</v>
      </c>
      <c r="C3156" t="s">
        <v>17882</v>
      </c>
      <c r="D3156" t="s">
        <v>17883</v>
      </c>
      <c r="E3156" t="s">
        <v>17884</v>
      </c>
      <c r="G3156" t="s">
        <v>17885</v>
      </c>
      <c r="H3156" t="s">
        <v>1659</v>
      </c>
      <c r="J3156" t="s">
        <v>17886</v>
      </c>
      <c r="L3156" t="s">
        <v>150</v>
      </c>
      <c r="M3156" t="s">
        <v>113</v>
      </c>
      <c r="R3156" t="s">
        <v>17887</v>
      </c>
      <c r="W3156" t="s">
        <v>17888</v>
      </c>
      <c r="X3156" t="s">
        <v>17889</v>
      </c>
      <c r="Y3156" t="s">
        <v>1381</v>
      </c>
      <c r="Z3156" t="s">
        <v>117</v>
      </c>
      <c r="AA3156" t="str">
        <f>"14063-1769"</f>
        <v>14063-1769</v>
      </c>
      <c r="AB3156" t="s">
        <v>118</v>
      </c>
      <c r="AC3156" t="s">
        <v>119</v>
      </c>
      <c r="AD3156" t="s">
        <v>113</v>
      </c>
      <c r="AE3156" t="s">
        <v>120</v>
      </c>
      <c r="AG3156" t="s">
        <v>121</v>
      </c>
    </row>
    <row r="3157" spans="1:33" x14ac:dyDescent="0.25">
      <c r="A3157" t="str">
        <f>"1265511505"</f>
        <v>1265511505</v>
      </c>
      <c r="B3157" t="str">
        <f>"01754916"</f>
        <v>01754916</v>
      </c>
      <c r="C3157" t="s">
        <v>17890</v>
      </c>
      <c r="D3157" t="s">
        <v>17891</v>
      </c>
      <c r="E3157" t="s">
        <v>17892</v>
      </c>
      <c r="G3157" t="s">
        <v>17893</v>
      </c>
      <c r="H3157" t="s">
        <v>17894</v>
      </c>
      <c r="J3157" t="s">
        <v>17895</v>
      </c>
      <c r="L3157" t="s">
        <v>112</v>
      </c>
      <c r="M3157" t="s">
        <v>113</v>
      </c>
      <c r="R3157" t="s">
        <v>17890</v>
      </c>
      <c r="W3157" t="s">
        <v>17892</v>
      </c>
      <c r="X3157" t="s">
        <v>15577</v>
      </c>
      <c r="Y3157" t="s">
        <v>116</v>
      </c>
      <c r="Z3157" t="s">
        <v>117</v>
      </c>
      <c r="AA3157" t="str">
        <f>"14214-3001"</f>
        <v>14214-3001</v>
      </c>
      <c r="AB3157" t="s">
        <v>634</v>
      </c>
      <c r="AC3157" t="s">
        <v>119</v>
      </c>
      <c r="AD3157" t="s">
        <v>113</v>
      </c>
      <c r="AE3157" t="s">
        <v>120</v>
      </c>
      <c r="AG3157" t="s">
        <v>121</v>
      </c>
    </row>
    <row r="3158" spans="1:33" x14ac:dyDescent="0.25">
      <c r="A3158" t="str">
        <f>"1265518427"</f>
        <v>1265518427</v>
      </c>
      <c r="B3158" t="str">
        <f>"01153731"</f>
        <v>01153731</v>
      </c>
      <c r="C3158" t="s">
        <v>17896</v>
      </c>
      <c r="D3158" t="s">
        <v>17897</v>
      </c>
      <c r="E3158" t="s">
        <v>17898</v>
      </c>
      <c r="G3158" t="s">
        <v>17899</v>
      </c>
      <c r="H3158" t="s">
        <v>17900</v>
      </c>
      <c r="J3158" t="s">
        <v>17901</v>
      </c>
      <c r="L3158" t="s">
        <v>1033</v>
      </c>
      <c r="M3158" t="s">
        <v>113</v>
      </c>
      <c r="R3158" t="s">
        <v>17902</v>
      </c>
      <c r="W3158" t="s">
        <v>17898</v>
      </c>
      <c r="X3158" t="s">
        <v>17903</v>
      </c>
      <c r="Y3158" t="s">
        <v>153</v>
      </c>
      <c r="Z3158" t="s">
        <v>117</v>
      </c>
      <c r="AA3158" t="str">
        <f>"14301-1755"</f>
        <v>14301-1755</v>
      </c>
      <c r="AB3158" t="s">
        <v>118</v>
      </c>
      <c r="AC3158" t="s">
        <v>119</v>
      </c>
      <c r="AD3158" t="s">
        <v>113</v>
      </c>
      <c r="AE3158" t="s">
        <v>120</v>
      </c>
      <c r="AG3158" t="s">
        <v>121</v>
      </c>
    </row>
    <row r="3159" spans="1:33" x14ac:dyDescent="0.25">
      <c r="A3159" t="str">
        <f>"1265523674"</f>
        <v>1265523674</v>
      </c>
      <c r="C3159" t="s">
        <v>17904</v>
      </c>
      <c r="G3159" t="s">
        <v>17905</v>
      </c>
      <c r="J3159" t="s">
        <v>352</v>
      </c>
      <c r="K3159" t="s">
        <v>303</v>
      </c>
      <c r="L3159" t="s">
        <v>229</v>
      </c>
      <c r="M3159" t="s">
        <v>113</v>
      </c>
      <c r="R3159" t="s">
        <v>17906</v>
      </c>
      <c r="S3159" t="s">
        <v>409</v>
      </c>
      <c r="T3159" t="s">
        <v>116</v>
      </c>
      <c r="U3159" t="s">
        <v>117</v>
      </c>
      <c r="V3159" t="str">
        <f>"142152814"</f>
        <v>142152814</v>
      </c>
      <c r="AC3159" t="s">
        <v>119</v>
      </c>
      <c r="AD3159" t="s">
        <v>113</v>
      </c>
      <c r="AE3159" t="s">
        <v>306</v>
      </c>
      <c r="AG3159" t="s">
        <v>121</v>
      </c>
    </row>
    <row r="3160" spans="1:33" x14ac:dyDescent="0.25">
      <c r="A3160" t="str">
        <f>"1265586556"</f>
        <v>1265586556</v>
      </c>
      <c r="B3160" t="str">
        <f>"01461265"</f>
        <v>01461265</v>
      </c>
      <c r="C3160" t="s">
        <v>6038</v>
      </c>
      <c r="D3160" t="s">
        <v>17907</v>
      </c>
      <c r="E3160" t="s">
        <v>17908</v>
      </c>
      <c r="F3160">
        <v>160786061</v>
      </c>
      <c r="G3160" t="s">
        <v>6041</v>
      </c>
      <c r="H3160" t="s">
        <v>6042</v>
      </c>
      <c r="I3160">
        <v>126</v>
      </c>
      <c r="J3160" t="s">
        <v>6043</v>
      </c>
      <c r="L3160" t="s">
        <v>69</v>
      </c>
      <c r="M3160" t="s">
        <v>199</v>
      </c>
      <c r="R3160" t="s">
        <v>6038</v>
      </c>
      <c r="W3160" t="s">
        <v>17908</v>
      </c>
      <c r="X3160" t="s">
        <v>17909</v>
      </c>
      <c r="Y3160" t="s">
        <v>153</v>
      </c>
      <c r="Z3160" t="s">
        <v>117</v>
      </c>
      <c r="AA3160" t="str">
        <f>"14303-1721"</f>
        <v>14303-1721</v>
      </c>
      <c r="AB3160" t="s">
        <v>1146</v>
      </c>
      <c r="AC3160" t="s">
        <v>119</v>
      </c>
      <c r="AD3160" t="s">
        <v>113</v>
      </c>
      <c r="AE3160" t="s">
        <v>120</v>
      </c>
      <c r="AG3160" t="s">
        <v>121</v>
      </c>
    </row>
    <row r="3161" spans="1:33" x14ac:dyDescent="0.25">
      <c r="A3161" t="str">
        <f>"1265594733"</f>
        <v>1265594733</v>
      </c>
      <c r="B3161" t="str">
        <f>"01078266"</f>
        <v>01078266</v>
      </c>
      <c r="C3161" t="s">
        <v>17910</v>
      </c>
      <c r="D3161" t="s">
        <v>17911</v>
      </c>
      <c r="E3161" t="s">
        <v>17912</v>
      </c>
      <c r="G3161" t="s">
        <v>17910</v>
      </c>
      <c r="H3161" t="s">
        <v>1227</v>
      </c>
      <c r="J3161" t="s">
        <v>17913</v>
      </c>
      <c r="L3161" t="s">
        <v>142</v>
      </c>
      <c r="M3161" t="s">
        <v>113</v>
      </c>
      <c r="R3161" t="s">
        <v>17914</v>
      </c>
      <c r="W3161" t="s">
        <v>17912</v>
      </c>
      <c r="X3161" t="s">
        <v>260</v>
      </c>
      <c r="Y3161" t="s">
        <v>116</v>
      </c>
      <c r="Z3161" t="s">
        <v>117</v>
      </c>
      <c r="AA3161" t="str">
        <f>"14209-1194"</f>
        <v>14209-1194</v>
      </c>
      <c r="AB3161" t="s">
        <v>118</v>
      </c>
      <c r="AC3161" t="s">
        <v>119</v>
      </c>
      <c r="AD3161" t="s">
        <v>113</v>
      </c>
      <c r="AE3161" t="s">
        <v>120</v>
      </c>
      <c r="AG3161" t="s">
        <v>121</v>
      </c>
    </row>
    <row r="3162" spans="1:33" x14ac:dyDescent="0.25">
      <c r="A3162" t="str">
        <f>"1265594840"</f>
        <v>1265594840</v>
      </c>
      <c r="B3162" t="str">
        <f>"02588681"</f>
        <v>02588681</v>
      </c>
      <c r="C3162" t="s">
        <v>17915</v>
      </c>
      <c r="D3162" t="s">
        <v>17916</v>
      </c>
      <c r="E3162" t="s">
        <v>17917</v>
      </c>
      <c r="L3162" t="s">
        <v>142</v>
      </c>
      <c r="M3162" t="s">
        <v>113</v>
      </c>
      <c r="R3162" t="s">
        <v>17918</v>
      </c>
      <c r="W3162" t="s">
        <v>17919</v>
      </c>
      <c r="X3162" t="s">
        <v>14735</v>
      </c>
      <c r="Y3162" t="s">
        <v>116</v>
      </c>
      <c r="Z3162" t="s">
        <v>117</v>
      </c>
      <c r="AA3162" t="str">
        <f>"14201-1108"</f>
        <v>14201-1108</v>
      </c>
      <c r="AB3162" t="s">
        <v>118</v>
      </c>
      <c r="AC3162" t="s">
        <v>119</v>
      </c>
      <c r="AD3162" t="s">
        <v>113</v>
      </c>
      <c r="AE3162" t="s">
        <v>120</v>
      </c>
      <c r="AG3162" t="s">
        <v>121</v>
      </c>
    </row>
    <row r="3163" spans="1:33" x14ac:dyDescent="0.25">
      <c r="A3163" t="str">
        <f>"1265639710"</f>
        <v>1265639710</v>
      </c>
      <c r="C3163" t="s">
        <v>17920</v>
      </c>
      <c r="G3163" t="s">
        <v>17920</v>
      </c>
      <c r="H3163" t="s">
        <v>17921</v>
      </c>
      <c r="J3163" t="s">
        <v>17922</v>
      </c>
      <c r="K3163" t="s">
        <v>303</v>
      </c>
      <c r="L3163" t="s">
        <v>229</v>
      </c>
      <c r="M3163" t="s">
        <v>113</v>
      </c>
      <c r="R3163" t="s">
        <v>17923</v>
      </c>
      <c r="S3163" t="s">
        <v>17924</v>
      </c>
      <c r="T3163" t="s">
        <v>17925</v>
      </c>
      <c r="U3163" t="s">
        <v>17926</v>
      </c>
      <c r="V3163" t="str">
        <f>"198033607"</f>
        <v>198033607</v>
      </c>
      <c r="AC3163" t="s">
        <v>119</v>
      </c>
      <c r="AD3163" t="s">
        <v>113</v>
      </c>
      <c r="AE3163" t="s">
        <v>306</v>
      </c>
      <c r="AG3163" t="s">
        <v>121</v>
      </c>
    </row>
    <row r="3164" spans="1:33" x14ac:dyDescent="0.25">
      <c r="A3164" t="str">
        <f>"1265665954"</f>
        <v>1265665954</v>
      </c>
      <c r="B3164" t="str">
        <f>"03156952"</f>
        <v>03156952</v>
      </c>
      <c r="C3164" t="s">
        <v>17927</v>
      </c>
      <c r="D3164" t="s">
        <v>17928</v>
      </c>
      <c r="E3164" t="s">
        <v>17927</v>
      </c>
      <c r="G3164" t="s">
        <v>17929</v>
      </c>
      <c r="H3164" t="s">
        <v>17930</v>
      </c>
      <c r="J3164" t="s">
        <v>17931</v>
      </c>
      <c r="L3164" t="s">
        <v>15</v>
      </c>
      <c r="M3164" t="s">
        <v>199</v>
      </c>
      <c r="R3164" t="s">
        <v>17927</v>
      </c>
      <c r="W3164" t="s">
        <v>17927</v>
      </c>
      <c r="X3164" t="s">
        <v>6742</v>
      </c>
      <c r="Y3164" t="s">
        <v>153</v>
      </c>
      <c r="Z3164" t="s">
        <v>117</v>
      </c>
      <c r="AA3164" t="str">
        <f>"14301-1201"</f>
        <v>14301-1201</v>
      </c>
      <c r="AB3164" t="s">
        <v>1146</v>
      </c>
      <c r="AC3164" t="s">
        <v>119</v>
      </c>
      <c r="AD3164" t="s">
        <v>113</v>
      </c>
      <c r="AE3164" t="s">
        <v>120</v>
      </c>
      <c r="AG3164" t="s">
        <v>121</v>
      </c>
    </row>
    <row r="3165" spans="1:33" x14ac:dyDescent="0.25">
      <c r="A3165" t="str">
        <f>"1265667588"</f>
        <v>1265667588</v>
      </c>
      <c r="B3165" t="str">
        <f>"03509120"</f>
        <v>03509120</v>
      </c>
      <c r="C3165" t="s">
        <v>17932</v>
      </c>
      <c r="D3165" t="s">
        <v>17933</v>
      </c>
      <c r="E3165" t="s">
        <v>17934</v>
      </c>
      <c r="G3165" t="s">
        <v>17935</v>
      </c>
      <c r="H3165" t="s">
        <v>17936</v>
      </c>
      <c r="J3165" t="s">
        <v>17937</v>
      </c>
      <c r="L3165" t="s">
        <v>150</v>
      </c>
      <c r="M3165" t="s">
        <v>113</v>
      </c>
      <c r="R3165" t="s">
        <v>17938</v>
      </c>
      <c r="W3165" t="s">
        <v>17934</v>
      </c>
      <c r="X3165" t="s">
        <v>216</v>
      </c>
      <c r="Y3165" t="s">
        <v>116</v>
      </c>
      <c r="Z3165" t="s">
        <v>117</v>
      </c>
      <c r="AA3165" t="str">
        <f>"14222-2006"</f>
        <v>14222-2006</v>
      </c>
      <c r="AB3165" t="s">
        <v>118</v>
      </c>
      <c r="AC3165" t="s">
        <v>119</v>
      </c>
      <c r="AD3165" t="s">
        <v>113</v>
      </c>
      <c r="AE3165" t="s">
        <v>120</v>
      </c>
      <c r="AG3165" t="s">
        <v>121</v>
      </c>
    </row>
    <row r="3166" spans="1:33" x14ac:dyDescent="0.25">
      <c r="A3166" t="str">
        <f>"1265690788"</f>
        <v>1265690788</v>
      </c>
      <c r="B3166" t="str">
        <f>"03834948"</f>
        <v>03834948</v>
      </c>
      <c r="C3166" t="s">
        <v>17939</v>
      </c>
      <c r="D3166" t="s">
        <v>17940</v>
      </c>
      <c r="E3166" t="s">
        <v>17941</v>
      </c>
      <c r="G3166" t="s">
        <v>17942</v>
      </c>
      <c r="H3166" t="s">
        <v>9572</v>
      </c>
      <c r="J3166" t="s">
        <v>17943</v>
      </c>
      <c r="L3166" t="s">
        <v>112</v>
      </c>
      <c r="M3166" t="s">
        <v>113</v>
      </c>
      <c r="R3166" t="s">
        <v>17944</v>
      </c>
      <c r="W3166" t="s">
        <v>17941</v>
      </c>
      <c r="X3166" t="s">
        <v>216</v>
      </c>
      <c r="Y3166" t="s">
        <v>116</v>
      </c>
      <c r="Z3166" t="s">
        <v>117</v>
      </c>
      <c r="AA3166" t="str">
        <f>"14222-2006"</f>
        <v>14222-2006</v>
      </c>
      <c r="AB3166" t="s">
        <v>118</v>
      </c>
      <c r="AC3166" t="s">
        <v>119</v>
      </c>
      <c r="AD3166" t="s">
        <v>113</v>
      </c>
      <c r="AE3166" t="s">
        <v>120</v>
      </c>
      <c r="AG3166" t="s">
        <v>121</v>
      </c>
    </row>
    <row r="3167" spans="1:33" x14ac:dyDescent="0.25">
      <c r="A3167" t="str">
        <f>"1265719652"</f>
        <v>1265719652</v>
      </c>
      <c r="C3167" t="s">
        <v>17945</v>
      </c>
      <c r="G3167" t="s">
        <v>17945</v>
      </c>
      <c r="H3167" t="s">
        <v>937</v>
      </c>
      <c r="J3167" t="s">
        <v>17946</v>
      </c>
      <c r="K3167" t="s">
        <v>303</v>
      </c>
      <c r="L3167" t="s">
        <v>229</v>
      </c>
      <c r="M3167" t="s">
        <v>113</v>
      </c>
      <c r="R3167" t="s">
        <v>17947</v>
      </c>
      <c r="S3167" t="s">
        <v>3739</v>
      </c>
      <c r="T3167" t="s">
        <v>240</v>
      </c>
      <c r="U3167" t="s">
        <v>117</v>
      </c>
      <c r="V3167" t="str">
        <f>"142216728"</f>
        <v>142216728</v>
      </c>
      <c r="AC3167" t="s">
        <v>119</v>
      </c>
      <c r="AD3167" t="s">
        <v>113</v>
      </c>
      <c r="AE3167" t="s">
        <v>306</v>
      </c>
      <c r="AG3167" t="s">
        <v>121</v>
      </c>
    </row>
    <row r="3168" spans="1:33" x14ac:dyDescent="0.25">
      <c r="A3168" t="str">
        <f>"1265722029"</f>
        <v>1265722029</v>
      </c>
      <c r="B3168" t="str">
        <f>"04541195"</f>
        <v>04541195</v>
      </c>
      <c r="C3168" t="s">
        <v>17948</v>
      </c>
      <c r="D3168" t="s">
        <v>17949</v>
      </c>
      <c r="E3168" t="s">
        <v>17950</v>
      </c>
      <c r="G3168" t="s">
        <v>17948</v>
      </c>
      <c r="H3168" t="s">
        <v>17951</v>
      </c>
      <c r="J3168" t="s">
        <v>17952</v>
      </c>
      <c r="L3168" t="s">
        <v>229</v>
      </c>
      <c r="M3168" t="s">
        <v>113</v>
      </c>
      <c r="R3168" t="s">
        <v>17953</v>
      </c>
      <c r="W3168" t="s">
        <v>17954</v>
      </c>
      <c r="AB3168" t="s">
        <v>634</v>
      </c>
      <c r="AC3168" t="s">
        <v>119</v>
      </c>
      <c r="AD3168" t="s">
        <v>113</v>
      </c>
      <c r="AE3168" t="s">
        <v>120</v>
      </c>
      <c r="AG3168" t="s">
        <v>121</v>
      </c>
    </row>
    <row r="3169" spans="1:33" x14ac:dyDescent="0.25">
      <c r="A3169" t="str">
        <f>"1265773717"</f>
        <v>1265773717</v>
      </c>
      <c r="B3169" t="str">
        <f>"03606122"</f>
        <v>03606122</v>
      </c>
      <c r="C3169" t="s">
        <v>17955</v>
      </c>
      <c r="D3169" t="s">
        <v>17956</v>
      </c>
      <c r="E3169" t="s">
        <v>17957</v>
      </c>
      <c r="G3169" t="s">
        <v>17955</v>
      </c>
      <c r="H3169" t="s">
        <v>2396</v>
      </c>
      <c r="J3169" t="s">
        <v>17958</v>
      </c>
      <c r="L3169" t="s">
        <v>112</v>
      </c>
      <c r="M3169" t="s">
        <v>113</v>
      </c>
      <c r="R3169" t="s">
        <v>17959</v>
      </c>
      <c r="W3169" t="s">
        <v>17957</v>
      </c>
      <c r="X3169" t="s">
        <v>176</v>
      </c>
      <c r="Y3169" t="s">
        <v>116</v>
      </c>
      <c r="Z3169" t="s">
        <v>117</v>
      </c>
      <c r="AA3169" t="str">
        <f>"14203-1126"</f>
        <v>14203-1126</v>
      </c>
      <c r="AB3169" t="s">
        <v>118</v>
      </c>
      <c r="AC3169" t="s">
        <v>119</v>
      </c>
      <c r="AD3169" t="s">
        <v>113</v>
      </c>
      <c r="AE3169" t="s">
        <v>120</v>
      </c>
      <c r="AG3169" t="s">
        <v>121</v>
      </c>
    </row>
    <row r="3170" spans="1:33" x14ac:dyDescent="0.25">
      <c r="A3170" t="str">
        <f>"1265778880"</f>
        <v>1265778880</v>
      </c>
      <c r="C3170" t="s">
        <v>17960</v>
      </c>
      <c r="G3170" t="s">
        <v>17961</v>
      </c>
      <c r="H3170" t="s">
        <v>590</v>
      </c>
      <c r="J3170" t="s">
        <v>17962</v>
      </c>
      <c r="K3170" t="s">
        <v>303</v>
      </c>
      <c r="L3170" t="s">
        <v>112</v>
      </c>
      <c r="M3170" t="s">
        <v>113</v>
      </c>
      <c r="R3170" t="s">
        <v>17963</v>
      </c>
      <c r="S3170" t="s">
        <v>17964</v>
      </c>
      <c r="T3170" t="s">
        <v>116</v>
      </c>
      <c r="U3170" t="s">
        <v>117</v>
      </c>
      <c r="V3170" t="str">
        <f>"142091912"</f>
        <v>142091912</v>
      </c>
      <c r="AC3170" t="s">
        <v>119</v>
      </c>
      <c r="AD3170" t="s">
        <v>113</v>
      </c>
      <c r="AE3170" t="s">
        <v>306</v>
      </c>
      <c r="AG3170" t="s">
        <v>121</v>
      </c>
    </row>
    <row r="3171" spans="1:33" x14ac:dyDescent="0.25">
      <c r="A3171" t="str">
        <f>"1033354311"</f>
        <v>1033354311</v>
      </c>
      <c r="B3171" t="str">
        <f>"03237221"</f>
        <v>03237221</v>
      </c>
      <c r="C3171" t="s">
        <v>17965</v>
      </c>
      <c r="D3171" t="s">
        <v>17966</v>
      </c>
      <c r="E3171" t="s">
        <v>17967</v>
      </c>
      <c r="G3171" t="s">
        <v>17965</v>
      </c>
      <c r="H3171" t="s">
        <v>14574</v>
      </c>
      <c r="J3171" t="s">
        <v>17968</v>
      </c>
      <c r="L3171" t="s">
        <v>150</v>
      </c>
      <c r="M3171" t="s">
        <v>199</v>
      </c>
      <c r="R3171" t="s">
        <v>17969</v>
      </c>
      <c r="W3171" t="s">
        <v>17970</v>
      </c>
      <c r="X3171" t="s">
        <v>17971</v>
      </c>
      <c r="Y3171" t="s">
        <v>268</v>
      </c>
      <c r="Z3171" t="s">
        <v>117</v>
      </c>
      <c r="AA3171" t="str">
        <f>"14150-9407"</f>
        <v>14150-9407</v>
      </c>
      <c r="AB3171" t="s">
        <v>118</v>
      </c>
      <c r="AC3171" t="s">
        <v>119</v>
      </c>
      <c r="AD3171" t="s">
        <v>113</v>
      </c>
      <c r="AE3171" t="s">
        <v>120</v>
      </c>
      <c r="AG3171" t="s">
        <v>121</v>
      </c>
    </row>
    <row r="3172" spans="1:33" x14ac:dyDescent="0.25">
      <c r="A3172" t="str">
        <f>"1033360102"</f>
        <v>1033360102</v>
      </c>
      <c r="B3172" t="str">
        <f>"03116245"</f>
        <v>03116245</v>
      </c>
      <c r="C3172" t="s">
        <v>17972</v>
      </c>
      <c r="D3172" t="s">
        <v>17973</v>
      </c>
      <c r="E3172" t="s">
        <v>17974</v>
      </c>
      <c r="G3172" t="s">
        <v>17975</v>
      </c>
      <c r="H3172" t="s">
        <v>944</v>
      </c>
      <c r="J3172" t="s">
        <v>352</v>
      </c>
      <c r="L3172" t="s">
        <v>112</v>
      </c>
      <c r="M3172" t="s">
        <v>113</v>
      </c>
      <c r="R3172" t="s">
        <v>17974</v>
      </c>
      <c r="W3172" t="s">
        <v>17974</v>
      </c>
      <c r="X3172" t="s">
        <v>17976</v>
      </c>
      <c r="Y3172" t="s">
        <v>240</v>
      </c>
      <c r="Z3172" t="s">
        <v>117</v>
      </c>
      <c r="AA3172" t="str">
        <f>"14221-5360"</f>
        <v>14221-5360</v>
      </c>
      <c r="AB3172" t="s">
        <v>118</v>
      </c>
      <c r="AC3172" t="s">
        <v>119</v>
      </c>
      <c r="AD3172" t="s">
        <v>113</v>
      </c>
      <c r="AE3172" t="s">
        <v>120</v>
      </c>
      <c r="AG3172" t="s">
        <v>121</v>
      </c>
    </row>
    <row r="3173" spans="1:33" x14ac:dyDescent="0.25">
      <c r="A3173" t="str">
        <f>"1033387543"</f>
        <v>1033387543</v>
      </c>
      <c r="C3173" t="s">
        <v>17977</v>
      </c>
      <c r="G3173" t="s">
        <v>17978</v>
      </c>
      <c r="H3173" t="s">
        <v>17979</v>
      </c>
      <c r="J3173" t="s">
        <v>438</v>
      </c>
      <c r="K3173" t="s">
        <v>303</v>
      </c>
      <c r="L3173" t="s">
        <v>112</v>
      </c>
      <c r="M3173" t="s">
        <v>113</v>
      </c>
      <c r="R3173" t="s">
        <v>17980</v>
      </c>
      <c r="S3173" t="s">
        <v>2785</v>
      </c>
      <c r="T3173" t="s">
        <v>2786</v>
      </c>
      <c r="U3173" t="s">
        <v>117</v>
      </c>
      <c r="V3173" t="str">
        <f>"140261044"</f>
        <v>140261044</v>
      </c>
      <c r="AC3173" t="s">
        <v>119</v>
      </c>
      <c r="AD3173" t="s">
        <v>113</v>
      </c>
      <c r="AE3173" t="s">
        <v>306</v>
      </c>
      <c r="AG3173" t="s">
        <v>121</v>
      </c>
    </row>
    <row r="3174" spans="1:33" x14ac:dyDescent="0.25">
      <c r="A3174" t="str">
        <f>"1073667176"</f>
        <v>1073667176</v>
      </c>
      <c r="B3174" t="str">
        <f>"01115017"</f>
        <v>01115017</v>
      </c>
      <c r="C3174" t="s">
        <v>6038</v>
      </c>
      <c r="D3174" t="s">
        <v>17981</v>
      </c>
      <c r="E3174" t="s">
        <v>17982</v>
      </c>
      <c r="F3174">
        <v>160786061</v>
      </c>
      <c r="G3174" t="s">
        <v>6041</v>
      </c>
      <c r="H3174" t="s">
        <v>6042</v>
      </c>
      <c r="I3174">
        <v>126</v>
      </c>
      <c r="J3174" t="s">
        <v>6043</v>
      </c>
      <c r="L3174" t="s">
        <v>69</v>
      </c>
      <c r="M3174" t="s">
        <v>199</v>
      </c>
      <c r="R3174" t="s">
        <v>6038</v>
      </c>
      <c r="W3174" t="s">
        <v>17982</v>
      </c>
      <c r="X3174" t="s">
        <v>17983</v>
      </c>
      <c r="Y3174" t="s">
        <v>153</v>
      </c>
      <c r="Z3174" t="s">
        <v>117</v>
      </c>
      <c r="AA3174" t="str">
        <f>"14301-1210"</f>
        <v>14301-1210</v>
      </c>
      <c r="AB3174" t="s">
        <v>282</v>
      </c>
      <c r="AC3174" t="s">
        <v>119</v>
      </c>
      <c r="AD3174" t="s">
        <v>113</v>
      </c>
      <c r="AE3174" t="s">
        <v>120</v>
      </c>
      <c r="AG3174" t="s">
        <v>121</v>
      </c>
    </row>
    <row r="3175" spans="1:33" x14ac:dyDescent="0.25">
      <c r="A3175" t="str">
        <f>"1073705596"</f>
        <v>1073705596</v>
      </c>
      <c r="B3175" t="str">
        <f>"04405698"</f>
        <v>04405698</v>
      </c>
      <c r="C3175" t="s">
        <v>17984</v>
      </c>
      <c r="D3175" t="s">
        <v>17985</v>
      </c>
      <c r="E3175" t="s">
        <v>17986</v>
      </c>
      <c r="G3175" t="s">
        <v>17984</v>
      </c>
      <c r="H3175" t="s">
        <v>227</v>
      </c>
      <c r="J3175" t="s">
        <v>17987</v>
      </c>
      <c r="L3175" t="s">
        <v>142</v>
      </c>
      <c r="M3175" t="s">
        <v>113</v>
      </c>
      <c r="R3175" t="s">
        <v>17988</v>
      </c>
      <c r="W3175" t="s">
        <v>17986</v>
      </c>
      <c r="X3175" t="s">
        <v>17989</v>
      </c>
      <c r="Y3175" t="s">
        <v>9661</v>
      </c>
      <c r="Z3175" t="s">
        <v>117</v>
      </c>
      <c r="AA3175" t="str">
        <f>"11213-1122"</f>
        <v>11213-1122</v>
      </c>
      <c r="AB3175" t="s">
        <v>118</v>
      </c>
      <c r="AC3175" t="s">
        <v>119</v>
      </c>
      <c r="AD3175" t="s">
        <v>113</v>
      </c>
      <c r="AE3175" t="s">
        <v>120</v>
      </c>
      <c r="AG3175" t="s">
        <v>121</v>
      </c>
    </row>
    <row r="3176" spans="1:33" x14ac:dyDescent="0.25">
      <c r="B3176" t="str">
        <f>"02704823"</f>
        <v>02704823</v>
      </c>
      <c r="C3176" t="s">
        <v>11684</v>
      </c>
      <c r="D3176" t="s">
        <v>11685</v>
      </c>
      <c r="E3176" t="s">
        <v>11684</v>
      </c>
      <c r="F3176">
        <v>160794847</v>
      </c>
      <c r="L3176" t="s">
        <v>69</v>
      </c>
      <c r="M3176" t="s">
        <v>199</v>
      </c>
      <c r="W3176" t="s">
        <v>11684</v>
      </c>
      <c r="X3176" t="s">
        <v>11666</v>
      </c>
      <c r="Y3176" t="s">
        <v>153</v>
      </c>
      <c r="Z3176" t="s">
        <v>117</v>
      </c>
      <c r="AA3176" t="str">
        <f>"14306"</f>
        <v>14306</v>
      </c>
      <c r="AB3176" t="s">
        <v>291</v>
      </c>
      <c r="AC3176" t="s">
        <v>119</v>
      </c>
      <c r="AD3176" t="s">
        <v>113</v>
      </c>
      <c r="AE3176" t="s">
        <v>120</v>
      </c>
      <c r="AG3176" t="s">
        <v>121</v>
      </c>
    </row>
    <row r="3177" spans="1:33" x14ac:dyDescent="0.25">
      <c r="B3177" t="str">
        <f>"02055461"</f>
        <v>02055461</v>
      </c>
      <c r="C3177" t="s">
        <v>1602</v>
      </c>
      <c r="D3177" t="s">
        <v>1603</v>
      </c>
      <c r="E3177" t="s">
        <v>1602</v>
      </c>
      <c r="F3177">
        <v>160794847</v>
      </c>
      <c r="L3177" t="s">
        <v>69</v>
      </c>
      <c r="M3177" t="s">
        <v>199</v>
      </c>
      <c r="W3177" t="s">
        <v>1602</v>
      </c>
      <c r="X3177" t="s">
        <v>1604</v>
      </c>
      <c r="Y3177" t="s">
        <v>153</v>
      </c>
      <c r="Z3177" t="s">
        <v>117</v>
      </c>
      <c r="AA3177" t="str">
        <f>"14304"</f>
        <v>14304</v>
      </c>
      <c r="AB3177" t="s">
        <v>291</v>
      </c>
      <c r="AC3177" t="s">
        <v>119</v>
      </c>
      <c r="AD3177" t="s">
        <v>113</v>
      </c>
      <c r="AE3177" t="s">
        <v>120</v>
      </c>
      <c r="AG3177" t="s">
        <v>121</v>
      </c>
    </row>
    <row r="3178" spans="1:33" x14ac:dyDescent="0.25">
      <c r="B3178" t="str">
        <f>"02198869"</f>
        <v>02198869</v>
      </c>
      <c r="C3178" t="s">
        <v>15508</v>
      </c>
      <c r="D3178" t="s">
        <v>15509</v>
      </c>
      <c r="E3178" t="s">
        <v>15508</v>
      </c>
      <c r="F3178">
        <v>160794847</v>
      </c>
      <c r="L3178" t="s">
        <v>69</v>
      </c>
      <c r="M3178" t="s">
        <v>199</v>
      </c>
      <c r="W3178" t="s">
        <v>15508</v>
      </c>
      <c r="X3178" t="s">
        <v>15510</v>
      </c>
      <c r="Y3178" t="s">
        <v>153</v>
      </c>
      <c r="Z3178" t="s">
        <v>117</v>
      </c>
      <c r="AA3178" t="str">
        <f>"14306"</f>
        <v>14306</v>
      </c>
      <c r="AB3178" t="s">
        <v>291</v>
      </c>
      <c r="AC3178" t="s">
        <v>119</v>
      </c>
      <c r="AD3178" t="s">
        <v>113</v>
      </c>
      <c r="AE3178" t="s">
        <v>120</v>
      </c>
      <c r="AG3178" t="s">
        <v>121</v>
      </c>
    </row>
    <row r="3179" spans="1:33" x14ac:dyDescent="0.25">
      <c r="B3179" t="str">
        <f>"02170065"</f>
        <v>02170065</v>
      </c>
      <c r="C3179" t="s">
        <v>1624</v>
      </c>
      <c r="D3179" t="s">
        <v>1625</v>
      </c>
      <c r="E3179" t="s">
        <v>1624</v>
      </c>
      <c r="F3179">
        <v>160794847</v>
      </c>
      <c r="L3179" t="s">
        <v>69</v>
      </c>
      <c r="M3179" t="s">
        <v>199</v>
      </c>
      <c r="W3179" t="s">
        <v>1624</v>
      </c>
      <c r="X3179" t="s">
        <v>1616</v>
      </c>
      <c r="Y3179" t="s">
        <v>153</v>
      </c>
      <c r="Z3179" t="s">
        <v>117</v>
      </c>
      <c r="AA3179" t="str">
        <f>"14304-1798"</f>
        <v>14304-1798</v>
      </c>
      <c r="AB3179" t="s">
        <v>291</v>
      </c>
      <c r="AC3179" t="s">
        <v>119</v>
      </c>
      <c r="AD3179" t="s">
        <v>113</v>
      </c>
      <c r="AE3179" t="s">
        <v>120</v>
      </c>
      <c r="AG3179" t="s">
        <v>121</v>
      </c>
    </row>
    <row r="3180" spans="1:33" x14ac:dyDescent="0.25">
      <c r="B3180" t="str">
        <f>"02701417"</f>
        <v>02701417</v>
      </c>
      <c r="C3180" t="s">
        <v>11677</v>
      </c>
      <c r="D3180" t="s">
        <v>11678</v>
      </c>
      <c r="E3180" t="s">
        <v>11677</v>
      </c>
      <c r="F3180">
        <v>160818293</v>
      </c>
      <c r="H3180" t="s">
        <v>713</v>
      </c>
      <c r="L3180" t="s">
        <v>69</v>
      </c>
      <c r="M3180" t="s">
        <v>199</v>
      </c>
      <c r="W3180" t="s">
        <v>11677</v>
      </c>
      <c r="X3180" t="s">
        <v>11666</v>
      </c>
      <c r="Y3180" t="s">
        <v>305</v>
      </c>
      <c r="Z3180" t="s">
        <v>117</v>
      </c>
      <c r="AA3180" t="str">
        <f>"14760-1140"</f>
        <v>14760-1140</v>
      </c>
      <c r="AB3180" t="s">
        <v>291</v>
      </c>
      <c r="AC3180" t="s">
        <v>119</v>
      </c>
      <c r="AD3180" t="s">
        <v>113</v>
      </c>
      <c r="AE3180" t="s">
        <v>120</v>
      </c>
      <c r="AG3180" t="s">
        <v>121</v>
      </c>
    </row>
    <row r="3181" spans="1:33" x14ac:dyDescent="0.25">
      <c r="B3181" t="str">
        <f>"02625414"</f>
        <v>02625414</v>
      </c>
      <c r="C3181" t="s">
        <v>13093</v>
      </c>
      <c r="D3181" t="s">
        <v>13094</v>
      </c>
      <c r="E3181" t="s">
        <v>13093</v>
      </c>
      <c r="F3181">
        <v>160818293</v>
      </c>
      <c r="H3181" t="s">
        <v>713</v>
      </c>
      <c r="L3181" t="s">
        <v>69</v>
      </c>
      <c r="M3181" t="s">
        <v>199</v>
      </c>
      <c r="W3181" t="s">
        <v>13093</v>
      </c>
      <c r="X3181" t="s">
        <v>13095</v>
      </c>
      <c r="Y3181" t="s">
        <v>305</v>
      </c>
      <c r="Z3181" t="s">
        <v>117</v>
      </c>
      <c r="AA3181" t="str">
        <f>"14760-1140"</f>
        <v>14760-1140</v>
      </c>
      <c r="AB3181" t="s">
        <v>291</v>
      </c>
      <c r="AC3181" t="s">
        <v>119</v>
      </c>
      <c r="AD3181" t="s">
        <v>113</v>
      </c>
      <c r="AE3181" t="s">
        <v>120</v>
      </c>
      <c r="AG3181" t="s">
        <v>121</v>
      </c>
    </row>
    <row r="3182" spans="1:33" x14ac:dyDescent="0.25">
      <c r="B3182" t="str">
        <f>"02000282"</f>
        <v>02000282</v>
      </c>
      <c r="C3182" t="s">
        <v>1567</v>
      </c>
      <c r="D3182" t="s">
        <v>1568</v>
      </c>
      <c r="E3182" t="s">
        <v>1567</v>
      </c>
      <c r="F3182">
        <v>160818293</v>
      </c>
      <c r="H3182" t="s">
        <v>713</v>
      </c>
      <c r="L3182" t="s">
        <v>69</v>
      </c>
      <c r="M3182" t="s">
        <v>199</v>
      </c>
      <c r="W3182" t="s">
        <v>1567</v>
      </c>
      <c r="X3182" t="s">
        <v>1569</v>
      </c>
      <c r="Y3182" t="s">
        <v>305</v>
      </c>
      <c r="Z3182" t="s">
        <v>117</v>
      </c>
      <c r="AA3182" t="str">
        <f>"14760-1140"</f>
        <v>14760-1140</v>
      </c>
      <c r="AB3182" t="s">
        <v>291</v>
      </c>
      <c r="AC3182" t="s">
        <v>119</v>
      </c>
      <c r="AD3182" t="s">
        <v>113</v>
      </c>
      <c r="AE3182" t="s">
        <v>120</v>
      </c>
      <c r="AG3182" t="s">
        <v>121</v>
      </c>
    </row>
    <row r="3183" spans="1:33" x14ac:dyDescent="0.25">
      <c r="B3183" t="str">
        <f>"02255503"</f>
        <v>02255503</v>
      </c>
      <c r="C3183" t="s">
        <v>17990</v>
      </c>
      <c r="D3183" t="s">
        <v>17991</v>
      </c>
      <c r="E3183" t="s">
        <v>17990</v>
      </c>
      <c r="F3183">
        <v>160818293</v>
      </c>
      <c r="H3183" t="s">
        <v>713</v>
      </c>
      <c r="L3183" t="s">
        <v>69</v>
      </c>
      <c r="M3183" t="s">
        <v>199</v>
      </c>
      <c r="W3183" t="s">
        <v>17990</v>
      </c>
      <c r="X3183" t="s">
        <v>17992</v>
      </c>
      <c r="Y3183" t="s">
        <v>305</v>
      </c>
      <c r="Z3183" t="s">
        <v>117</v>
      </c>
      <c r="AA3183" t="str">
        <f>"14760-1140"</f>
        <v>14760-1140</v>
      </c>
      <c r="AB3183" t="s">
        <v>291</v>
      </c>
      <c r="AC3183" t="s">
        <v>119</v>
      </c>
      <c r="AD3183" t="s">
        <v>113</v>
      </c>
      <c r="AE3183" t="s">
        <v>120</v>
      </c>
      <c r="AG3183" t="s">
        <v>121</v>
      </c>
    </row>
    <row r="3184" spans="1:33" x14ac:dyDescent="0.25">
      <c r="B3184" t="str">
        <f>"02597515"</f>
        <v>02597515</v>
      </c>
      <c r="C3184" t="s">
        <v>2140</v>
      </c>
      <c r="D3184" t="s">
        <v>2141</v>
      </c>
      <c r="E3184" t="s">
        <v>2140</v>
      </c>
      <c r="F3184">
        <v>160794847</v>
      </c>
      <c r="L3184" t="s">
        <v>69</v>
      </c>
      <c r="M3184" t="s">
        <v>199</v>
      </c>
      <c r="W3184" t="s">
        <v>2140</v>
      </c>
      <c r="X3184" t="s">
        <v>2142</v>
      </c>
      <c r="Y3184" t="s">
        <v>153</v>
      </c>
      <c r="Z3184" t="s">
        <v>117</v>
      </c>
      <c r="AA3184" t="str">
        <f>"14304"</f>
        <v>14304</v>
      </c>
      <c r="AB3184" t="s">
        <v>291</v>
      </c>
      <c r="AC3184" t="s">
        <v>119</v>
      </c>
      <c r="AD3184" t="s">
        <v>113</v>
      </c>
      <c r="AE3184" t="s">
        <v>120</v>
      </c>
      <c r="AG3184" t="s">
        <v>121</v>
      </c>
    </row>
    <row r="3185" spans="1:33" x14ac:dyDescent="0.25">
      <c r="B3185" t="str">
        <f>"02253496"</f>
        <v>02253496</v>
      </c>
      <c r="C3185" t="s">
        <v>15993</v>
      </c>
      <c r="D3185" t="s">
        <v>15994</v>
      </c>
      <c r="E3185" t="s">
        <v>15993</v>
      </c>
      <c r="F3185">
        <v>160794847</v>
      </c>
      <c r="G3185" t="s">
        <v>10031</v>
      </c>
      <c r="H3185" t="s">
        <v>10032</v>
      </c>
      <c r="J3185" t="s">
        <v>10033</v>
      </c>
      <c r="L3185" t="s">
        <v>69</v>
      </c>
      <c r="M3185" t="s">
        <v>199</v>
      </c>
      <c r="W3185" t="s">
        <v>15993</v>
      </c>
      <c r="X3185" t="s">
        <v>11658</v>
      </c>
      <c r="Y3185" t="s">
        <v>153</v>
      </c>
      <c r="Z3185" t="s">
        <v>117</v>
      </c>
      <c r="AA3185" t="str">
        <f>"14304"</f>
        <v>14304</v>
      </c>
      <c r="AB3185" t="s">
        <v>291</v>
      </c>
      <c r="AC3185" t="s">
        <v>119</v>
      </c>
      <c r="AD3185" t="s">
        <v>113</v>
      </c>
      <c r="AE3185" t="s">
        <v>120</v>
      </c>
      <c r="AG3185" t="s">
        <v>121</v>
      </c>
    </row>
    <row r="3186" spans="1:33" x14ac:dyDescent="0.25">
      <c r="B3186" t="str">
        <f>"02711622"</f>
        <v>02711622</v>
      </c>
      <c r="C3186" t="s">
        <v>11686</v>
      </c>
      <c r="D3186" t="s">
        <v>11687</v>
      </c>
      <c r="E3186" t="s">
        <v>11686</v>
      </c>
      <c r="F3186">
        <v>160794847</v>
      </c>
      <c r="L3186" t="s">
        <v>69</v>
      </c>
      <c r="M3186" t="s">
        <v>199</v>
      </c>
      <c r="W3186" t="s">
        <v>11686</v>
      </c>
      <c r="X3186" t="s">
        <v>11688</v>
      </c>
      <c r="Y3186" t="s">
        <v>153</v>
      </c>
      <c r="Z3186" t="s">
        <v>117</v>
      </c>
      <c r="AA3186" t="str">
        <f>"14304-0360"</f>
        <v>14304-0360</v>
      </c>
      <c r="AB3186" t="s">
        <v>291</v>
      </c>
      <c r="AC3186" t="s">
        <v>119</v>
      </c>
      <c r="AD3186" t="s">
        <v>113</v>
      </c>
      <c r="AE3186" t="s">
        <v>120</v>
      </c>
      <c r="AG3186" t="s">
        <v>121</v>
      </c>
    </row>
    <row r="3187" spans="1:33" x14ac:dyDescent="0.25">
      <c r="A3187" t="str">
        <f>"1891820171"</f>
        <v>1891820171</v>
      </c>
      <c r="C3187" t="s">
        <v>18020</v>
      </c>
      <c r="G3187" t="s">
        <v>18021</v>
      </c>
      <c r="H3187" t="s">
        <v>2125</v>
      </c>
      <c r="J3187" t="s">
        <v>18022</v>
      </c>
      <c r="K3187" t="s">
        <v>303</v>
      </c>
      <c r="L3187" t="s">
        <v>229</v>
      </c>
      <c r="M3187" t="s">
        <v>113</v>
      </c>
      <c r="R3187" t="s">
        <v>18020</v>
      </c>
      <c r="S3187" t="s">
        <v>2128</v>
      </c>
      <c r="T3187" t="s">
        <v>986</v>
      </c>
      <c r="U3187" t="s">
        <v>117</v>
      </c>
      <c r="V3187" t="str">
        <f>"147015502"</f>
        <v>147015502</v>
      </c>
      <c r="AC3187" t="s">
        <v>119</v>
      </c>
      <c r="AD3187" t="s">
        <v>113</v>
      </c>
      <c r="AE3187" t="s">
        <v>306</v>
      </c>
      <c r="AG3187" t="s">
        <v>121</v>
      </c>
    </row>
    <row r="3188" spans="1:33" x14ac:dyDescent="0.25">
      <c r="A3188" t="str">
        <f>"1942283031"</f>
        <v>1942283031</v>
      </c>
      <c r="B3188" t="str">
        <f>"02688604"</f>
        <v>02688604</v>
      </c>
      <c r="C3188" t="s">
        <v>18023</v>
      </c>
      <c r="D3188" t="s">
        <v>18024</v>
      </c>
      <c r="E3188" t="s">
        <v>18025</v>
      </c>
      <c r="G3188" t="s">
        <v>18026</v>
      </c>
      <c r="H3188" t="s">
        <v>1013</v>
      </c>
      <c r="J3188" t="s">
        <v>18027</v>
      </c>
      <c r="L3188" t="s">
        <v>112</v>
      </c>
      <c r="M3188" t="s">
        <v>113</v>
      </c>
      <c r="R3188" t="s">
        <v>18028</v>
      </c>
      <c r="W3188" t="s">
        <v>18025</v>
      </c>
      <c r="X3188" t="s">
        <v>2892</v>
      </c>
      <c r="Y3188" t="s">
        <v>240</v>
      </c>
      <c r="Z3188" t="s">
        <v>117</v>
      </c>
      <c r="AA3188" t="str">
        <f>"14221-5838"</f>
        <v>14221-5838</v>
      </c>
      <c r="AB3188" t="s">
        <v>118</v>
      </c>
      <c r="AC3188" t="s">
        <v>119</v>
      </c>
      <c r="AD3188" t="s">
        <v>113</v>
      </c>
      <c r="AE3188" t="s">
        <v>120</v>
      </c>
      <c r="AG3188" t="s">
        <v>121</v>
      </c>
    </row>
    <row r="3189" spans="1:33" x14ac:dyDescent="0.25">
      <c r="A3189" t="str">
        <f>"1942285739"</f>
        <v>1942285739</v>
      </c>
      <c r="B3189" t="str">
        <f>"01470153"</f>
        <v>01470153</v>
      </c>
      <c r="C3189" t="s">
        <v>18029</v>
      </c>
      <c r="D3189" t="s">
        <v>18030</v>
      </c>
      <c r="E3189" t="s">
        <v>18031</v>
      </c>
      <c r="G3189" t="s">
        <v>18029</v>
      </c>
      <c r="H3189" t="s">
        <v>449</v>
      </c>
      <c r="J3189" t="s">
        <v>18032</v>
      </c>
      <c r="L3189" t="s">
        <v>142</v>
      </c>
      <c r="M3189" t="s">
        <v>113</v>
      </c>
      <c r="R3189" t="s">
        <v>18033</v>
      </c>
      <c r="W3189" t="s">
        <v>18031</v>
      </c>
      <c r="Y3189" t="s">
        <v>116</v>
      </c>
      <c r="Z3189" t="s">
        <v>117</v>
      </c>
      <c r="AA3189" t="str">
        <f>"14215-3098"</f>
        <v>14215-3098</v>
      </c>
      <c r="AB3189" t="s">
        <v>118</v>
      </c>
      <c r="AC3189" t="s">
        <v>119</v>
      </c>
      <c r="AD3189" t="s">
        <v>113</v>
      </c>
      <c r="AE3189" t="s">
        <v>120</v>
      </c>
      <c r="AG3189" t="s">
        <v>121</v>
      </c>
    </row>
    <row r="3190" spans="1:33" x14ac:dyDescent="0.25">
      <c r="A3190" t="str">
        <f>"1942288048"</f>
        <v>1942288048</v>
      </c>
      <c r="B3190" t="str">
        <f>"02462031"</f>
        <v>02462031</v>
      </c>
      <c r="C3190" t="s">
        <v>18034</v>
      </c>
      <c r="D3190" t="s">
        <v>18035</v>
      </c>
      <c r="E3190" t="s">
        <v>18036</v>
      </c>
      <c r="G3190" t="s">
        <v>18034</v>
      </c>
      <c r="H3190" t="s">
        <v>205</v>
      </c>
      <c r="J3190" t="s">
        <v>18037</v>
      </c>
      <c r="L3190" t="s">
        <v>150</v>
      </c>
      <c r="M3190" t="s">
        <v>113</v>
      </c>
      <c r="R3190" t="s">
        <v>18038</v>
      </c>
      <c r="W3190" t="s">
        <v>18036</v>
      </c>
      <c r="X3190" t="s">
        <v>13466</v>
      </c>
      <c r="Y3190" t="s">
        <v>240</v>
      </c>
      <c r="Z3190" t="s">
        <v>117</v>
      </c>
      <c r="AA3190" t="str">
        <f>"14221-8243"</f>
        <v>14221-8243</v>
      </c>
      <c r="AB3190" t="s">
        <v>118</v>
      </c>
      <c r="AC3190" t="s">
        <v>119</v>
      </c>
      <c r="AD3190" t="s">
        <v>113</v>
      </c>
      <c r="AE3190" t="s">
        <v>120</v>
      </c>
      <c r="AG3190" t="s">
        <v>121</v>
      </c>
    </row>
    <row r="3191" spans="1:33" x14ac:dyDescent="0.25">
      <c r="A3191" t="str">
        <f>"1942291968"</f>
        <v>1942291968</v>
      </c>
      <c r="B3191" t="str">
        <f>"02341940"</f>
        <v>02341940</v>
      </c>
      <c r="C3191" t="s">
        <v>18039</v>
      </c>
      <c r="D3191" t="s">
        <v>18040</v>
      </c>
      <c r="E3191" t="s">
        <v>18041</v>
      </c>
      <c r="G3191" t="s">
        <v>18042</v>
      </c>
      <c r="H3191" t="s">
        <v>18043</v>
      </c>
      <c r="L3191" t="s">
        <v>1033</v>
      </c>
      <c r="M3191" t="s">
        <v>113</v>
      </c>
      <c r="R3191" t="s">
        <v>18042</v>
      </c>
      <c r="W3191" t="s">
        <v>18041</v>
      </c>
      <c r="X3191" t="s">
        <v>7149</v>
      </c>
      <c r="Y3191" t="s">
        <v>986</v>
      </c>
      <c r="Z3191" t="s">
        <v>117</v>
      </c>
      <c r="AA3191" t="str">
        <f>"14701-6440"</f>
        <v>14701-6440</v>
      </c>
      <c r="AB3191" t="s">
        <v>2359</v>
      </c>
      <c r="AC3191" t="s">
        <v>119</v>
      </c>
      <c r="AD3191" t="s">
        <v>113</v>
      </c>
      <c r="AE3191" t="s">
        <v>120</v>
      </c>
      <c r="AG3191" t="s">
        <v>121</v>
      </c>
    </row>
    <row r="3192" spans="1:33" x14ac:dyDescent="0.25">
      <c r="A3192" t="str">
        <f>"1942294467"</f>
        <v>1942294467</v>
      </c>
      <c r="B3192" t="str">
        <f>"01739220"</f>
        <v>01739220</v>
      </c>
      <c r="C3192" t="s">
        <v>18044</v>
      </c>
      <c r="D3192" t="s">
        <v>18045</v>
      </c>
      <c r="E3192" t="s">
        <v>18046</v>
      </c>
      <c r="G3192" t="s">
        <v>18047</v>
      </c>
      <c r="H3192" t="s">
        <v>2994</v>
      </c>
      <c r="J3192" t="s">
        <v>3465</v>
      </c>
      <c r="L3192" t="s">
        <v>69</v>
      </c>
      <c r="M3192" t="s">
        <v>113</v>
      </c>
      <c r="R3192" t="s">
        <v>18044</v>
      </c>
      <c r="W3192" t="s">
        <v>18044</v>
      </c>
      <c r="X3192" t="s">
        <v>253</v>
      </c>
      <c r="Y3192" t="s">
        <v>116</v>
      </c>
      <c r="Z3192" t="s">
        <v>117</v>
      </c>
      <c r="AA3192" t="str">
        <f>"14215-3021"</f>
        <v>14215-3021</v>
      </c>
      <c r="AB3192" t="s">
        <v>4180</v>
      </c>
      <c r="AC3192" t="s">
        <v>119</v>
      </c>
      <c r="AD3192" t="s">
        <v>113</v>
      </c>
      <c r="AE3192" t="s">
        <v>120</v>
      </c>
      <c r="AG3192" t="s">
        <v>121</v>
      </c>
    </row>
    <row r="3193" spans="1:33" x14ac:dyDescent="0.25">
      <c r="A3193" t="str">
        <f>"1942297122"</f>
        <v>1942297122</v>
      </c>
      <c r="B3193" t="str">
        <f>"00753911"</f>
        <v>00753911</v>
      </c>
      <c r="C3193" t="s">
        <v>18048</v>
      </c>
      <c r="D3193" t="s">
        <v>18049</v>
      </c>
      <c r="E3193" t="s">
        <v>18050</v>
      </c>
      <c r="G3193" t="s">
        <v>18051</v>
      </c>
      <c r="H3193" t="s">
        <v>10573</v>
      </c>
      <c r="L3193" t="s">
        <v>150</v>
      </c>
      <c r="M3193" t="s">
        <v>113</v>
      </c>
      <c r="R3193" t="s">
        <v>18051</v>
      </c>
      <c r="W3193" t="s">
        <v>18052</v>
      </c>
      <c r="X3193" t="s">
        <v>916</v>
      </c>
      <c r="Y3193" t="s">
        <v>116</v>
      </c>
      <c r="Z3193" t="s">
        <v>117</v>
      </c>
      <c r="AA3193" t="str">
        <f>"14203-1154"</f>
        <v>14203-1154</v>
      </c>
      <c r="AB3193" t="s">
        <v>118</v>
      </c>
      <c r="AC3193" t="s">
        <v>119</v>
      </c>
      <c r="AD3193" t="s">
        <v>113</v>
      </c>
      <c r="AE3193" t="s">
        <v>120</v>
      </c>
      <c r="AG3193" t="s">
        <v>121</v>
      </c>
    </row>
    <row r="3194" spans="1:33" x14ac:dyDescent="0.25">
      <c r="A3194" t="str">
        <f>"1942298104"</f>
        <v>1942298104</v>
      </c>
      <c r="B3194" t="str">
        <f>"01808997"</f>
        <v>01808997</v>
      </c>
      <c r="C3194" t="s">
        <v>18053</v>
      </c>
      <c r="D3194" t="s">
        <v>18054</v>
      </c>
      <c r="E3194" t="s">
        <v>18055</v>
      </c>
      <c r="G3194" t="s">
        <v>18053</v>
      </c>
      <c r="H3194" t="s">
        <v>18056</v>
      </c>
      <c r="J3194" t="s">
        <v>18057</v>
      </c>
      <c r="L3194" t="s">
        <v>142</v>
      </c>
      <c r="M3194" t="s">
        <v>113</v>
      </c>
      <c r="R3194" t="s">
        <v>18058</v>
      </c>
      <c r="W3194" t="s">
        <v>18055</v>
      </c>
      <c r="X3194" t="s">
        <v>4449</v>
      </c>
      <c r="Y3194" t="s">
        <v>958</v>
      </c>
      <c r="Z3194" t="s">
        <v>117</v>
      </c>
      <c r="AA3194" t="str">
        <f>"14226-1738"</f>
        <v>14226-1738</v>
      </c>
      <c r="AB3194" t="s">
        <v>118</v>
      </c>
      <c r="AC3194" t="s">
        <v>119</v>
      </c>
      <c r="AD3194" t="s">
        <v>113</v>
      </c>
      <c r="AE3194" t="s">
        <v>120</v>
      </c>
      <c r="AG3194" t="s">
        <v>121</v>
      </c>
    </row>
    <row r="3195" spans="1:33" x14ac:dyDescent="0.25">
      <c r="A3195" t="str">
        <f>"1942301189"</f>
        <v>1942301189</v>
      </c>
      <c r="B3195" t="str">
        <f>"01970236"</f>
        <v>01970236</v>
      </c>
      <c r="C3195" t="s">
        <v>18059</v>
      </c>
      <c r="D3195" t="s">
        <v>18060</v>
      </c>
      <c r="E3195" t="s">
        <v>18061</v>
      </c>
      <c r="G3195" t="s">
        <v>18059</v>
      </c>
      <c r="H3195" t="s">
        <v>1064</v>
      </c>
      <c r="J3195" t="s">
        <v>18062</v>
      </c>
      <c r="L3195" t="s">
        <v>150</v>
      </c>
      <c r="M3195" t="s">
        <v>199</v>
      </c>
      <c r="R3195" t="s">
        <v>18063</v>
      </c>
      <c r="W3195" t="s">
        <v>18064</v>
      </c>
      <c r="X3195" t="s">
        <v>13555</v>
      </c>
      <c r="Y3195" t="s">
        <v>129</v>
      </c>
      <c r="Z3195" t="s">
        <v>117</v>
      </c>
      <c r="AA3195" t="str">
        <f>"14224-1324"</f>
        <v>14224-1324</v>
      </c>
      <c r="AB3195" t="s">
        <v>118</v>
      </c>
      <c r="AC3195" t="s">
        <v>119</v>
      </c>
      <c r="AD3195" t="s">
        <v>113</v>
      </c>
      <c r="AE3195" t="s">
        <v>120</v>
      </c>
      <c r="AG3195" t="s">
        <v>121</v>
      </c>
    </row>
    <row r="3196" spans="1:33" x14ac:dyDescent="0.25">
      <c r="A3196" t="str">
        <f>"1942303029"</f>
        <v>1942303029</v>
      </c>
      <c r="B3196" t="str">
        <f>"01576076"</f>
        <v>01576076</v>
      </c>
      <c r="C3196" t="s">
        <v>18065</v>
      </c>
      <c r="D3196" t="s">
        <v>18066</v>
      </c>
      <c r="E3196" t="s">
        <v>18067</v>
      </c>
      <c r="G3196" t="s">
        <v>18068</v>
      </c>
      <c r="H3196" t="s">
        <v>4242</v>
      </c>
      <c r="J3196" t="s">
        <v>1660</v>
      </c>
      <c r="L3196" t="s">
        <v>150</v>
      </c>
      <c r="M3196" t="s">
        <v>113</v>
      </c>
      <c r="R3196" t="s">
        <v>18069</v>
      </c>
      <c r="W3196" t="s">
        <v>18067</v>
      </c>
      <c r="X3196" t="s">
        <v>6296</v>
      </c>
      <c r="Y3196" t="s">
        <v>3362</v>
      </c>
      <c r="Z3196" t="s">
        <v>117</v>
      </c>
      <c r="AA3196" t="str">
        <f>"14136-1452"</f>
        <v>14136-1452</v>
      </c>
      <c r="AB3196" t="s">
        <v>118</v>
      </c>
      <c r="AC3196" t="s">
        <v>119</v>
      </c>
      <c r="AD3196" t="s">
        <v>113</v>
      </c>
      <c r="AE3196" t="s">
        <v>120</v>
      </c>
      <c r="AG3196" t="s">
        <v>121</v>
      </c>
    </row>
    <row r="3197" spans="1:33" x14ac:dyDescent="0.25">
      <c r="A3197" t="str">
        <f>"1942360144"</f>
        <v>1942360144</v>
      </c>
      <c r="B3197" t="str">
        <f>"00608324"</f>
        <v>00608324</v>
      </c>
      <c r="C3197" t="s">
        <v>18070</v>
      </c>
      <c r="D3197" t="s">
        <v>18071</v>
      </c>
      <c r="E3197" t="s">
        <v>18072</v>
      </c>
      <c r="G3197" t="s">
        <v>18070</v>
      </c>
      <c r="H3197" t="s">
        <v>18073</v>
      </c>
      <c r="J3197" t="s">
        <v>18074</v>
      </c>
      <c r="L3197" t="s">
        <v>112</v>
      </c>
      <c r="M3197" t="s">
        <v>113</v>
      </c>
      <c r="R3197" t="s">
        <v>18075</v>
      </c>
      <c r="W3197" t="s">
        <v>18072</v>
      </c>
      <c r="X3197" t="s">
        <v>18076</v>
      </c>
      <c r="Y3197" t="s">
        <v>240</v>
      </c>
      <c r="Z3197" t="s">
        <v>117</v>
      </c>
      <c r="AA3197" t="str">
        <f>"14221-7635"</f>
        <v>14221-7635</v>
      </c>
      <c r="AB3197" t="s">
        <v>1755</v>
      </c>
      <c r="AC3197" t="s">
        <v>119</v>
      </c>
      <c r="AD3197" t="s">
        <v>113</v>
      </c>
      <c r="AE3197" t="s">
        <v>120</v>
      </c>
      <c r="AG3197" t="s">
        <v>121</v>
      </c>
    </row>
    <row r="3198" spans="1:33" x14ac:dyDescent="0.25">
      <c r="A3198" t="str">
        <f>"1942368089"</f>
        <v>1942368089</v>
      </c>
      <c r="B3198" t="str">
        <f>"02700172"</f>
        <v>02700172</v>
      </c>
      <c r="C3198" t="s">
        <v>18077</v>
      </c>
      <c r="D3198" t="s">
        <v>18078</v>
      </c>
      <c r="E3198" t="s">
        <v>18079</v>
      </c>
      <c r="G3198" t="s">
        <v>18077</v>
      </c>
      <c r="H3198" t="s">
        <v>1478</v>
      </c>
      <c r="J3198" t="s">
        <v>18080</v>
      </c>
      <c r="L3198" t="s">
        <v>142</v>
      </c>
      <c r="M3198" t="s">
        <v>113</v>
      </c>
      <c r="R3198" t="s">
        <v>18081</v>
      </c>
      <c r="W3198" t="s">
        <v>18082</v>
      </c>
      <c r="X3198" t="s">
        <v>176</v>
      </c>
      <c r="Y3198" t="s">
        <v>116</v>
      </c>
      <c r="Z3198" t="s">
        <v>117</v>
      </c>
      <c r="AA3198" t="str">
        <f>"14203-1126"</f>
        <v>14203-1126</v>
      </c>
      <c r="AB3198" t="s">
        <v>118</v>
      </c>
      <c r="AC3198" t="s">
        <v>119</v>
      </c>
      <c r="AD3198" t="s">
        <v>113</v>
      </c>
      <c r="AE3198" t="s">
        <v>120</v>
      </c>
      <c r="AG3198" t="s">
        <v>121</v>
      </c>
    </row>
    <row r="3199" spans="1:33" x14ac:dyDescent="0.25">
      <c r="A3199" t="str">
        <f>"1245365196"</f>
        <v>1245365196</v>
      </c>
      <c r="B3199" t="str">
        <f>"00360614"</f>
        <v>00360614</v>
      </c>
      <c r="C3199" t="s">
        <v>869</v>
      </c>
      <c r="D3199" t="s">
        <v>9569</v>
      </c>
      <c r="E3199" t="s">
        <v>9570</v>
      </c>
      <c r="G3199" t="s">
        <v>9571</v>
      </c>
      <c r="H3199" t="s">
        <v>9572</v>
      </c>
      <c r="J3199" t="s">
        <v>9573</v>
      </c>
      <c r="L3199" t="s">
        <v>8979</v>
      </c>
      <c r="M3199" t="s">
        <v>199</v>
      </c>
      <c r="R3199" t="s">
        <v>869</v>
      </c>
      <c r="W3199" t="s">
        <v>9570</v>
      </c>
      <c r="X3199" t="s">
        <v>9574</v>
      </c>
      <c r="Y3199" t="s">
        <v>116</v>
      </c>
      <c r="Z3199" t="s">
        <v>117</v>
      </c>
      <c r="AA3199" t="str">
        <f>"14222-2006"</f>
        <v>14222-2006</v>
      </c>
      <c r="AB3199" t="s">
        <v>1460</v>
      </c>
      <c r="AC3199" t="s">
        <v>119</v>
      </c>
      <c r="AD3199" t="s">
        <v>113</v>
      </c>
      <c r="AE3199" t="s">
        <v>120</v>
      </c>
      <c r="AG3199" t="s">
        <v>121</v>
      </c>
    </row>
    <row r="3200" spans="1:33" x14ac:dyDescent="0.25">
      <c r="A3200" t="str">
        <f>"1942383807"</f>
        <v>1942383807</v>
      </c>
      <c r="B3200" t="str">
        <f>"03083589"</f>
        <v>03083589</v>
      </c>
      <c r="C3200" t="s">
        <v>18087</v>
      </c>
      <c r="D3200" t="s">
        <v>18088</v>
      </c>
      <c r="E3200" t="s">
        <v>18089</v>
      </c>
      <c r="G3200" t="s">
        <v>18090</v>
      </c>
      <c r="H3200" t="s">
        <v>707</v>
      </c>
      <c r="J3200" t="s">
        <v>18091</v>
      </c>
      <c r="L3200" t="s">
        <v>142</v>
      </c>
      <c r="M3200" t="s">
        <v>113</v>
      </c>
      <c r="R3200" t="s">
        <v>18092</v>
      </c>
      <c r="W3200" t="s">
        <v>18089</v>
      </c>
      <c r="X3200" t="s">
        <v>709</v>
      </c>
      <c r="Y3200" t="s">
        <v>116</v>
      </c>
      <c r="Z3200" t="s">
        <v>117</v>
      </c>
      <c r="AA3200" t="str">
        <f>"14263-0001"</f>
        <v>14263-0001</v>
      </c>
      <c r="AB3200" t="s">
        <v>118</v>
      </c>
      <c r="AC3200" t="s">
        <v>119</v>
      </c>
      <c r="AD3200" t="s">
        <v>113</v>
      </c>
      <c r="AE3200" t="s">
        <v>120</v>
      </c>
      <c r="AG3200" t="s">
        <v>121</v>
      </c>
    </row>
    <row r="3201" spans="1:33" x14ac:dyDescent="0.25">
      <c r="A3201" t="str">
        <f>"1942434824"</f>
        <v>1942434824</v>
      </c>
      <c r="B3201" t="str">
        <f>"03126712"</f>
        <v>03126712</v>
      </c>
      <c r="C3201" t="s">
        <v>18093</v>
      </c>
      <c r="D3201" t="s">
        <v>18094</v>
      </c>
      <c r="E3201" t="s">
        <v>18095</v>
      </c>
      <c r="G3201" t="s">
        <v>18093</v>
      </c>
      <c r="H3201" t="s">
        <v>16433</v>
      </c>
      <c r="J3201" t="s">
        <v>18096</v>
      </c>
      <c r="L3201" t="s">
        <v>150</v>
      </c>
      <c r="M3201" t="s">
        <v>113</v>
      </c>
      <c r="R3201" t="s">
        <v>18097</v>
      </c>
      <c r="W3201" t="s">
        <v>18098</v>
      </c>
      <c r="X3201" t="s">
        <v>3566</v>
      </c>
      <c r="Y3201" t="s">
        <v>377</v>
      </c>
      <c r="Z3201" t="s">
        <v>117</v>
      </c>
      <c r="AA3201" t="str">
        <f>"14217-1304"</f>
        <v>14217-1304</v>
      </c>
      <c r="AB3201" t="s">
        <v>118</v>
      </c>
      <c r="AC3201" t="s">
        <v>119</v>
      </c>
      <c r="AD3201" t="s">
        <v>113</v>
      </c>
      <c r="AE3201" t="s">
        <v>120</v>
      </c>
      <c r="AG3201" t="s">
        <v>121</v>
      </c>
    </row>
    <row r="3202" spans="1:33" x14ac:dyDescent="0.25">
      <c r="A3202" t="str">
        <f>"1942443668"</f>
        <v>1942443668</v>
      </c>
      <c r="B3202" t="str">
        <f>"03113462"</f>
        <v>03113462</v>
      </c>
      <c r="C3202" t="s">
        <v>18099</v>
      </c>
      <c r="D3202" t="s">
        <v>18100</v>
      </c>
      <c r="E3202" t="s">
        <v>18101</v>
      </c>
      <c r="G3202" t="s">
        <v>18102</v>
      </c>
      <c r="H3202" t="s">
        <v>250</v>
      </c>
      <c r="J3202" t="s">
        <v>18103</v>
      </c>
      <c r="L3202" t="s">
        <v>112</v>
      </c>
      <c r="M3202" t="s">
        <v>113</v>
      </c>
      <c r="R3202" t="s">
        <v>18104</v>
      </c>
      <c r="W3202" t="s">
        <v>18101</v>
      </c>
      <c r="X3202" t="s">
        <v>152</v>
      </c>
      <c r="Y3202" t="s">
        <v>153</v>
      </c>
      <c r="Z3202" t="s">
        <v>117</v>
      </c>
      <c r="AA3202" t="str">
        <f>"14301-1813"</f>
        <v>14301-1813</v>
      </c>
      <c r="AB3202" t="s">
        <v>118</v>
      </c>
      <c r="AC3202" t="s">
        <v>119</v>
      </c>
      <c r="AD3202" t="s">
        <v>113</v>
      </c>
      <c r="AE3202" t="s">
        <v>120</v>
      </c>
      <c r="AG3202" t="s">
        <v>121</v>
      </c>
    </row>
    <row r="3203" spans="1:33" x14ac:dyDescent="0.25">
      <c r="A3203" t="str">
        <f>"1942459540"</f>
        <v>1942459540</v>
      </c>
      <c r="B3203" t="str">
        <f>"03353582"</f>
        <v>03353582</v>
      </c>
      <c r="C3203" t="s">
        <v>18105</v>
      </c>
      <c r="D3203" t="s">
        <v>18106</v>
      </c>
      <c r="E3203" t="s">
        <v>18107</v>
      </c>
      <c r="G3203" t="s">
        <v>18105</v>
      </c>
      <c r="H3203" t="s">
        <v>6807</v>
      </c>
      <c r="J3203" t="s">
        <v>18108</v>
      </c>
      <c r="L3203" t="s">
        <v>112</v>
      </c>
      <c r="M3203" t="s">
        <v>113</v>
      </c>
      <c r="R3203" t="s">
        <v>18107</v>
      </c>
      <c r="W3203" t="s">
        <v>18107</v>
      </c>
      <c r="X3203" t="s">
        <v>313</v>
      </c>
      <c r="Y3203" t="s">
        <v>116</v>
      </c>
      <c r="Z3203" t="s">
        <v>117</v>
      </c>
      <c r="AA3203" t="str">
        <f>"14267-0002"</f>
        <v>14267-0002</v>
      </c>
      <c r="AB3203" t="s">
        <v>223</v>
      </c>
      <c r="AC3203" t="s">
        <v>119</v>
      </c>
      <c r="AD3203" t="s">
        <v>113</v>
      </c>
      <c r="AE3203" t="s">
        <v>120</v>
      </c>
      <c r="AG3203" t="s">
        <v>121</v>
      </c>
    </row>
    <row r="3204" spans="1:33" x14ac:dyDescent="0.25">
      <c r="A3204" t="str">
        <f>"1942484159"</f>
        <v>1942484159</v>
      </c>
      <c r="B3204" t="str">
        <f>"03524009"</f>
        <v>03524009</v>
      </c>
      <c r="C3204" t="s">
        <v>18109</v>
      </c>
      <c r="D3204" t="s">
        <v>18110</v>
      </c>
      <c r="E3204" t="s">
        <v>18111</v>
      </c>
      <c r="G3204" t="s">
        <v>18109</v>
      </c>
      <c r="H3204" t="s">
        <v>205</v>
      </c>
      <c r="J3204" t="s">
        <v>18112</v>
      </c>
      <c r="L3204" t="s">
        <v>142</v>
      </c>
      <c r="M3204" t="s">
        <v>113</v>
      </c>
      <c r="R3204" t="s">
        <v>18113</v>
      </c>
      <c r="W3204" t="s">
        <v>18111</v>
      </c>
      <c r="X3204" t="s">
        <v>2607</v>
      </c>
      <c r="Y3204" t="s">
        <v>116</v>
      </c>
      <c r="Z3204" t="s">
        <v>117</v>
      </c>
      <c r="AA3204" t="str">
        <f>"14203-1149"</f>
        <v>14203-1149</v>
      </c>
      <c r="AB3204" t="s">
        <v>118</v>
      </c>
      <c r="AC3204" t="s">
        <v>119</v>
      </c>
      <c r="AD3204" t="s">
        <v>113</v>
      </c>
      <c r="AE3204" t="s">
        <v>120</v>
      </c>
      <c r="AG3204" t="s">
        <v>121</v>
      </c>
    </row>
    <row r="3205" spans="1:33" x14ac:dyDescent="0.25">
      <c r="A3205" t="str">
        <f>"1942487335"</f>
        <v>1942487335</v>
      </c>
      <c r="B3205" t="str">
        <f>"02961659"</f>
        <v>02961659</v>
      </c>
      <c r="C3205" t="s">
        <v>18114</v>
      </c>
      <c r="D3205" t="s">
        <v>18115</v>
      </c>
      <c r="E3205" t="s">
        <v>18116</v>
      </c>
      <c r="G3205" t="s">
        <v>18117</v>
      </c>
      <c r="H3205" t="s">
        <v>14172</v>
      </c>
      <c r="J3205" t="s">
        <v>18118</v>
      </c>
      <c r="L3205" t="s">
        <v>142</v>
      </c>
      <c r="M3205" t="s">
        <v>113</v>
      </c>
      <c r="R3205" t="s">
        <v>18119</v>
      </c>
      <c r="W3205" t="s">
        <v>18116</v>
      </c>
      <c r="X3205" t="s">
        <v>1304</v>
      </c>
      <c r="Y3205" t="s">
        <v>116</v>
      </c>
      <c r="Z3205" t="s">
        <v>117</v>
      </c>
      <c r="AA3205" t="str">
        <f>"14220-2039"</f>
        <v>14220-2039</v>
      </c>
      <c r="AB3205" t="s">
        <v>118</v>
      </c>
      <c r="AC3205" t="s">
        <v>119</v>
      </c>
      <c r="AD3205" t="s">
        <v>113</v>
      </c>
      <c r="AE3205" t="s">
        <v>120</v>
      </c>
      <c r="AG3205" t="s">
        <v>121</v>
      </c>
    </row>
    <row r="3206" spans="1:33" x14ac:dyDescent="0.25">
      <c r="A3206" t="str">
        <f>"1063686418"</f>
        <v>1063686418</v>
      </c>
      <c r="B3206" t="str">
        <f>"03241090"</f>
        <v>03241090</v>
      </c>
      <c r="C3206" t="s">
        <v>18120</v>
      </c>
      <c r="D3206" t="s">
        <v>18121</v>
      </c>
      <c r="E3206" t="s">
        <v>18122</v>
      </c>
      <c r="G3206" t="s">
        <v>18120</v>
      </c>
      <c r="H3206" t="s">
        <v>18123</v>
      </c>
      <c r="J3206" t="s">
        <v>18124</v>
      </c>
      <c r="L3206" t="s">
        <v>142</v>
      </c>
      <c r="M3206" t="s">
        <v>113</v>
      </c>
      <c r="R3206" t="s">
        <v>18125</v>
      </c>
      <c r="W3206" t="s">
        <v>18125</v>
      </c>
      <c r="X3206" t="s">
        <v>709</v>
      </c>
      <c r="Y3206" t="s">
        <v>116</v>
      </c>
      <c r="Z3206" t="s">
        <v>117</v>
      </c>
      <c r="AA3206" t="str">
        <f>"14263-0001"</f>
        <v>14263-0001</v>
      </c>
      <c r="AB3206" t="s">
        <v>118</v>
      </c>
      <c r="AC3206" t="s">
        <v>119</v>
      </c>
      <c r="AD3206" t="s">
        <v>113</v>
      </c>
      <c r="AE3206" t="s">
        <v>120</v>
      </c>
      <c r="AG3206" t="s">
        <v>121</v>
      </c>
    </row>
    <row r="3207" spans="1:33" x14ac:dyDescent="0.25">
      <c r="A3207" t="str">
        <f>"1063707099"</f>
        <v>1063707099</v>
      </c>
      <c r="B3207" t="str">
        <f>"03725477"</f>
        <v>03725477</v>
      </c>
      <c r="C3207" t="s">
        <v>18126</v>
      </c>
      <c r="D3207" t="s">
        <v>18127</v>
      </c>
      <c r="E3207" t="s">
        <v>18128</v>
      </c>
      <c r="G3207" t="s">
        <v>18126</v>
      </c>
      <c r="H3207" t="s">
        <v>18129</v>
      </c>
      <c r="J3207" t="s">
        <v>18130</v>
      </c>
      <c r="L3207" t="s">
        <v>1033</v>
      </c>
      <c r="M3207" t="s">
        <v>113</v>
      </c>
      <c r="R3207" t="s">
        <v>18131</v>
      </c>
      <c r="W3207" t="s">
        <v>18128</v>
      </c>
      <c r="X3207" t="s">
        <v>1703</v>
      </c>
      <c r="Y3207" t="s">
        <v>116</v>
      </c>
      <c r="Z3207" t="s">
        <v>117</v>
      </c>
      <c r="AA3207" t="str">
        <f>"14209-2013"</f>
        <v>14209-2013</v>
      </c>
      <c r="AB3207" t="s">
        <v>621</v>
      </c>
      <c r="AC3207" t="s">
        <v>119</v>
      </c>
      <c r="AD3207" t="s">
        <v>113</v>
      </c>
      <c r="AE3207" t="s">
        <v>120</v>
      </c>
      <c r="AG3207" t="s">
        <v>121</v>
      </c>
    </row>
    <row r="3208" spans="1:33" x14ac:dyDescent="0.25">
      <c r="A3208" t="str">
        <f>"1063744209"</f>
        <v>1063744209</v>
      </c>
      <c r="B3208" t="str">
        <f>"03210744"</f>
        <v>03210744</v>
      </c>
      <c r="C3208" t="s">
        <v>18132</v>
      </c>
      <c r="D3208" t="s">
        <v>18133</v>
      </c>
      <c r="E3208" t="s">
        <v>18134</v>
      </c>
      <c r="G3208" t="s">
        <v>18135</v>
      </c>
      <c r="H3208" t="s">
        <v>6733</v>
      </c>
      <c r="L3208" t="s">
        <v>150</v>
      </c>
      <c r="M3208" t="s">
        <v>199</v>
      </c>
      <c r="R3208" t="s">
        <v>18136</v>
      </c>
      <c r="W3208" t="s">
        <v>18134</v>
      </c>
      <c r="X3208" t="s">
        <v>855</v>
      </c>
      <c r="Y3208" t="s">
        <v>116</v>
      </c>
      <c r="Z3208" t="s">
        <v>117</v>
      </c>
      <c r="AA3208" t="str">
        <f>"14213-1573"</f>
        <v>14213-1573</v>
      </c>
      <c r="AB3208" t="s">
        <v>118</v>
      </c>
      <c r="AC3208" t="s">
        <v>119</v>
      </c>
      <c r="AD3208" t="s">
        <v>113</v>
      </c>
      <c r="AE3208" t="s">
        <v>120</v>
      </c>
      <c r="AG3208" t="s">
        <v>121</v>
      </c>
    </row>
    <row r="3209" spans="1:33" x14ac:dyDescent="0.25">
      <c r="A3209" t="str">
        <f>"1063858660"</f>
        <v>1063858660</v>
      </c>
      <c r="C3209" t="s">
        <v>18137</v>
      </c>
      <c r="G3209" t="s">
        <v>18138</v>
      </c>
      <c r="H3209" t="s">
        <v>471</v>
      </c>
      <c r="J3209" t="s">
        <v>18139</v>
      </c>
      <c r="K3209" t="s">
        <v>303</v>
      </c>
      <c r="L3209" t="s">
        <v>112</v>
      </c>
      <c r="M3209" t="s">
        <v>113</v>
      </c>
      <c r="R3209" t="s">
        <v>18140</v>
      </c>
      <c r="S3209" t="s">
        <v>474</v>
      </c>
      <c r="T3209" t="s">
        <v>116</v>
      </c>
      <c r="U3209" t="s">
        <v>117</v>
      </c>
      <c r="V3209" t="str">
        <f>"142141316"</f>
        <v>142141316</v>
      </c>
      <c r="AC3209" t="s">
        <v>119</v>
      </c>
      <c r="AD3209" t="s">
        <v>113</v>
      </c>
      <c r="AE3209" t="s">
        <v>306</v>
      </c>
      <c r="AG3209" t="s">
        <v>121</v>
      </c>
    </row>
    <row r="3210" spans="1:33" x14ac:dyDescent="0.25">
      <c r="A3210" t="str">
        <f>"1073512273"</f>
        <v>1073512273</v>
      </c>
      <c r="B3210" t="str">
        <f>"02633443"</f>
        <v>02633443</v>
      </c>
      <c r="C3210" t="s">
        <v>18141</v>
      </c>
      <c r="D3210" t="s">
        <v>18142</v>
      </c>
      <c r="E3210" t="s">
        <v>18143</v>
      </c>
      <c r="G3210" t="s">
        <v>4593</v>
      </c>
      <c r="H3210" t="s">
        <v>4594</v>
      </c>
      <c r="J3210" t="s">
        <v>4595</v>
      </c>
      <c r="L3210" t="s">
        <v>150</v>
      </c>
      <c r="M3210" t="s">
        <v>113</v>
      </c>
      <c r="R3210" t="s">
        <v>18144</v>
      </c>
      <c r="W3210" t="s">
        <v>18143</v>
      </c>
      <c r="X3210" t="s">
        <v>18145</v>
      </c>
      <c r="Y3210" t="s">
        <v>305</v>
      </c>
      <c r="Z3210" t="s">
        <v>117</v>
      </c>
      <c r="AA3210" t="str">
        <f>"14760-1500"</f>
        <v>14760-1500</v>
      </c>
      <c r="AB3210" t="s">
        <v>118</v>
      </c>
      <c r="AC3210" t="s">
        <v>119</v>
      </c>
      <c r="AD3210" t="s">
        <v>113</v>
      </c>
      <c r="AE3210" t="s">
        <v>120</v>
      </c>
      <c r="AG3210" t="s">
        <v>121</v>
      </c>
    </row>
    <row r="3211" spans="1:33" x14ac:dyDescent="0.25">
      <c r="A3211" t="str">
        <f>"1073516985"</f>
        <v>1073516985</v>
      </c>
      <c r="B3211" t="str">
        <f>"01655985"</f>
        <v>01655985</v>
      </c>
      <c r="C3211" t="s">
        <v>18146</v>
      </c>
      <c r="D3211" t="s">
        <v>18147</v>
      </c>
      <c r="E3211" t="s">
        <v>18148</v>
      </c>
      <c r="G3211" t="s">
        <v>18146</v>
      </c>
      <c r="H3211" t="s">
        <v>18149</v>
      </c>
      <c r="J3211" t="s">
        <v>18150</v>
      </c>
      <c r="L3211" t="s">
        <v>142</v>
      </c>
      <c r="M3211" t="s">
        <v>113</v>
      </c>
      <c r="R3211" t="s">
        <v>18151</v>
      </c>
      <c r="W3211" t="s">
        <v>18148</v>
      </c>
      <c r="X3211" t="s">
        <v>191</v>
      </c>
      <c r="Y3211" t="s">
        <v>192</v>
      </c>
      <c r="Z3211" t="s">
        <v>117</v>
      </c>
      <c r="AA3211" t="str">
        <f>"14020-2202"</f>
        <v>14020-2202</v>
      </c>
      <c r="AB3211" t="s">
        <v>118</v>
      </c>
      <c r="AC3211" t="s">
        <v>119</v>
      </c>
      <c r="AD3211" t="s">
        <v>113</v>
      </c>
      <c r="AE3211" t="s">
        <v>120</v>
      </c>
      <c r="AG3211" t="s">
        <v>121</v>
      </c>
    </row>
    <row r="3212" spans="1:33" x14ac:dyDescent="0.25">
      <c r="A3212" t="str">
        <f>"1073526356"</f>
        <v>1073526356</v>
      </c>
      <c r="B3212" t="str">
        <f>"01690913"</f>
        <v>01690913</v>
      </c>
      <c r="C3212" t="s">
        <v>18152</v>
      </c>
      <c r="D3212" t="s">
        <v>18153</v>
      </c>
      <c r="E3212" t="s">
        <v>18154</v>
      </c>
      <c r="G3212" t="s">
        <v>18155</v>
      </c>
      <c r="H3212" t="s">
        <v>18156</v>
      </c>
      <c r="J3212" t="s">
        <v>18157</v>
      </c>
      <c r="L3212" t="s">
        <v>142</v>
      </c>
      <c r="M3212" t="s">
        <v>113</v>
      </c>
      <c r="R3212" t="s">
        <v>18158</v>
      </c>
      <c r="W3212" t="s">
        <v>18154</v>
      </c>
      <c r="X3212" t="s">
        <v>18159</v>
      </c>
      <c r="Y3212" t="s">
        <v>18160</v>
      </c>
      <c r="Z3212" t="s">
        <v>18161</v>
      </c>
      <c r="AA3212" t="str">
        <f>"53233-1306"</f>
        <v>53233-1306</v>
      </c>
      <c r="AB3212" t="s">
        <v>118</v>
      </c>
      <c r="AC3212" t="s">
        <v>119</v>
      </c>
      <c r="AD3212" t="s">
        <v>113</v>
      </c>
      <c r="AE3212" t="s">
        <v>120</v>
      </c>
      <c r="AG3212" t="s">
        <v>121</v>
      </c>
    </row>
    <row r="3213" spans="1:33" x14ac:dyDescent="0.25">
      <c r="A3213" t="str">
        <f>"1073527594"</f>
        <v>1073527594</v>
      </c>
      <c r="B3213" t="str">
        <f>"00767771"</f>
        <v>00767771</v>
      </c>
      <c r="C3213" t="s">
        <v>18162</v>
      </c>
      <c r="D3213" t="s">
        <v>18163</v>
      </c>
      <c r="E3213" t="s">
        <v>18164</v>
      </c>
      <c r="G3213" t="s">
        <v>18162</v>
      </c>
      <c r="H3213" t="s">
        <v>18165</v>
      </c>
      <c r="J3213" t="s">
        <v>18166</v>
      </c>
      <c r="L3213" t="s">
        <v>112</v>
      </c>
      <c r="M3213" t="s">
        <v>113</v>
      </c>
      <c r="R3213" t="s">
        <v>18167</v>
      </c>
      <c r="W3213" t="s">
        <v>18168</v>
      </c>
      <c r="Y3213" t="s">
        <v>116</v>
      </c>
      <c r="Z3213" t="s">
        <v>117</v>
      </c>
      <c r="AA3213" t="str">
        <f>"14214-2692"</f>
        <v>14214-2692</v>
      </c>
      <c r="AB3213" t="s">
        <v>118</v>
      </c>
      <c r="AC3213" t="s">
        <v>119</v>
      </c>
      <c r="AD3213" t="s">
        <v>113</v>
      </c>
      <c r="AE3213" t="s">
        <v>120</v>
      </c>
      <c r="AG3213" t="s">
        <v>121</v>
      </c>
    </row>
    <row r="3214" spans="1:33" x14ac:dyDescent="0.25">
      <c r="A3214" t="str">
        <f>"1073556825"</f>
        <v>1073556825</v>
      </c>
      <c r="B3214" t="str">
        <f>"01619612"</f>
        <v>01619612</v>
      </c>
      <c r="C3214" t="s">
        <v>18169</v>
      </c>
      <c r="D3214" t="s">
        <v>18170</v>
      </c>
      <c r="E3214" t="s">
        <v>18171</v>
      </c>
      <c r="G3214" t="s">
        <v>330</v>
      </c>
      <c r="H3214" t="s">
        <v>18172</v>
      </c>
      <c r="J3214" t="s">
        <v>332</v>
      </c>
      <c r="L3214" t="s">
        <v>150</v>
      </c>
      <c r="M3214" t="s">
        <v>113</v>
      </c>
      <c r="R3214" t="s">
        <v>18173</v>
      </c>
      <c r="W3214" t="s">
        <v>18174</v>
      </c>
      <c r="X3214" t="s">
        <v>18175</v>
      </c>
      <c r="Y3214" t="s">
        <v>129</v>
      </c>
      <c r="Z3214" t="s">
        <v>117</v>
      </c>
      <c r="AA3214" t="str">
        <f>"14224-3352"</f>
        <v>14224-3352</v>
      </c>
      <c r="AB3214" t="s">
        <v>118</v>
      </c>
      <c r="AC3214" t="s">
        <v>119</v>
      </c>
      <c r="AD3214" t="s">
        <v>113</v>
      </c>
      <c r="AE3214" t="s">
        <v>120</v>
      </c>
      <c r="AG3214" t="s">
        <v>121</v>
      </c>
    </row>
    <row r="3215" spans="1:33" x14ac:dyDescent="0.25">
      <c r="A3215" t="str">
        <f>"1073559001"</f>
        <v>1073559001</v>
      </c>
      <c r="B3215" t="str">
        <f>"01047369"</f>
        <v>01047369</v>
      </c>
      <c r="C3215" t="s">
        <v>18176</v>
      </c>
      <c r="D3215" t="s">
        <v>18177</v>
      </c>
      <c r="E3215" t="s">
        <v>18178</v>
      </c>
      <c r="G3215" t="s">
        <v>18176</v>
      </c>
      <c r="H3215" t="s">
        <v>5118</v>
      </c>
      <c r="J3215" t="s">
        <v>18179</v>
      </c>
      <c r="L3215" t="s">
        <v>112</v>
      </c>
      <c r="M3215" t="s">
        <v>113</v>
      </c>
      <c r="R3215" t="s">
        <v>18180</v>
      </c>
      <c r="W3215" t="s">
        <v>18178</v>
      </c>
      <c r="X3215" t="s">
        <v>3905</v>
      </c>
      <c r="Y3215" t="s">
        <v>3906</v>
      </c>
      <c r="Z3215" t="s">
        <v>117</v>
      </c>
      <c r="AA3215" t="str">
        <f>"13326-1301"</f>
        <v>13326-1301</v>
      </c>
      <c r="AB3215" t="s">
        <v>118</v>
      </c>
      <c r="AC3215" t="s">
        <v>119</v>
      </c>
      <c r="AD3215" t="s">
        <v>113</v>
      </c>
      <c r="AE3215" t="s">
        <v>120</v>
      </c>
      <c r="AG3215" t="s">
        <v>121</v>
      </c>
    </row>
    <row r="3216" spans="1:33" x14ac:dyDescent="0.25">
      <c r="A3216" t="str">
        <f>"1073562716"</f>
        <v>1073562716</v>
      </c>
      <c r="B3216" t="str">
        <f>"01205912"</f>
        <v>01205912</v>
      </c>
      <c r="C3216" t="s">
        <v>18181</v>
      </c>
      <c r="D3216" t="s">
        <v>18182</v>
      </c>
      <c r="E3216" t="s">
        <v>18183</v>
      </c>
      <c r="G3216" t="s">
        <v>18181</v>
      </c>
      <c r="H3216" t="s">
        <v>18184</v>
      </c>
      <c r="J3216" t="s">
        <v>18185</v>
      </c>
      <c r="L3216" t="s">
        <v>150</v>
      </c>
      <c r="M3216" t="s">
        <v>113</v>
      </c>
      <c r="R3216" t="s">
        <v>18186</v>
      </c>
      <c r="W3216" t="s">
        <v>18187</v>
      </c>
      <c r="X3216" t="s">
        <v>253</v>
      </c>
      <c r="Y3216" t="s">
        <v>116</v>
      </c>
      <c r="Z3216" t="s">
        <v>117</v>
      </c>
      <c r="AA3216" t="str">
        <f>"14215-3021"</f>
        <v>14215-3021</v>
      </c>
      <c r="AB3216" t="s">
        <v>118</v>
      </c>
      <c r="AC3216" t="s">
        <v>119</v>
      </c>
      <c r="AD3216" t="s">
        <v>113</v>
      </c>
      <c r="AE3216" t="s">
        <v>120</v>
      </c>
      <c r="AG3216" t="s">
        <v>121</v>
      </c>
    </row>
    <row r="3217" spans="1:33" x14ac:dyDescent="0.25">
      <c r="A3217" t="str">
        <f>"1073564506"</f>
        <v>1073564506</v>
      </c>
      <c r="B3217" t="str">
        <f>"01059489"</f>
        <v>01059489</v>
      </c>
      <c r="C3217" t="s">
        <v>18188</v>
      </c>
      <c r="D3217" t="s">
        <v>18189</v>
      </c>
      <c r="E3217" t="s">
        <v>18190</v>
      </c>
      <c r="G3217" t="s">
        <v>18188</v>
      </c>
      <c r="H3217" t="s">
        <v>18191</v>
      </c>
      <c r="J3217" t="s">
        <v>18192</v>
      </c>
      <c r="L3217" t="s">
        <v>112</v>
      </c>
      <c r="M3217" t="s">
        <v>199</v>
      </c>
      <c r="R3217" t="s">
        <v>18193</v>
      </c>
      <c r="W3217" t="s">
        <v>18190</v>
      </c>
      <c r="X3217" t="s">
        <v>216</v>
      </c>
      <c r="Y3217" t="s">
        <v>116</v>
      </c>
      <c r="Z3217" t="s">
        <v>117</v>
      </c>
      <c r="AA3217" t="str">
        <f>"14222-2006"</f>
        <v>14222-2006</v>
      </c>
      <c r="AB3217" t="s">
        <v>118</v>
      </c>
      <c r="AC3217" t="s">
        <v>119</v>
      </c>
      <c r="AD3217" t="s">
        <v>113</v>
      </c>
      <c r="AE3217" t="s">
        <v>120</v>
      </c>
      <c r="AG3217" t="s">
        <v>121</v>
      </c>
    </row>
    <row r="3218" spans="1:33" x14ac:dyDescent="0.25">
      <c r="A3218" t="str">
        <f>"1073567954"</f>
        <v>1073567954</v>
      </c>
      <c r="B3218" t="str">
        <f>"01638751"</f>
        <v>01638751</v>
      </c>
      <c r="C3218" t="s">
        <v>18194</v>
      </c>
      <c r="D3218" t="s">
        <v>18195</v>
      </c>
      <c r="E3218" t="s">
        <v>18196</v>
      </c>
      <c r="G3218" t="s">
        <v>18197</v>
      </c>
      <c r="H3218" t="s">
        <v>18198</v>
      </c>
      <c r="L3218" t="s">
        <v>142</v>
      </c>
      <c r="M3218" t="s">
        <v>113</v>
      </c>
      <c r="R3218" t="s">
        <v>18197</v>
      </c>
      <c r="W3218" t="s">
        <v>18196</v>
      </c>
      <c r="X3218" t="s">
        <v>3566</v>
      </c>
      <c r="Y3218" t="s">
        <v>377</v>
      </c>
      <c r="Z3218" t="s">
        <v>117</v>
      </c>
      <c r="AA3218" t="str">
        <f>"14217-1304"</f>
        <v>14217-1304</v>
      </c>
      <c r="AB3218" t="s">
        <v>118</v>
      </c>
      <c r="AC3218" t="s">
        <v>119</v>
      </c>
      <c r="AD3218" t="s">
        <v>113</v>
      </c>
      <c r="AE3218" t="s">
        <v>120</v>
      </c>
      <c r="AG3218" t="s">
        <v>121</v>
      </c>
    </row>
    <row r="3219" spans="1:33" x14ac:dyDescent="0.25">
      <c r="A3219" t="str">
        <f>"1184695058"</f>
        <v>1184695058</v>
      </c>
      <c r="B3219" t="str">
        <f>"01775608"</f>
        <v>01775608</v>
      </c>
      <c r="C3219" t="s">
        <v>18199</v>
      </c>
      <c r="D3219" t="s">
        <v>18200</v>
      </c>
      <c r="E3219" t="s">
        <v>18201</v>
      </c>
      <c r="G3219" t="s">
        <v>18199</v>
      </c>
      <c r="H3219" t="s">
        <v>3246</v>
      </c>
      <c r="J3219" t="s">
        <v>18202</v>
      </c>
      <c r="L3219" t="s">
        <v>142</v>
      </c>
      <c r="M3219" t="s">
        <v>113</v>
      </c>
      <c r="R3219" t="s">
        <v>18203</v>
      </c>
      <c r="W3219" t="s">
        <v>18201</v>
      </c>
      <c r="X3219" t="s">
        <v>18204</v>
      </c>
      <c r="Y3219" t="s">
        <v>240</v>
      </c>
      <c r="Z3219" t="s">
        <v>117</v>
      </c>
      <c r="AA3219" t="str">
        <f>"14221-3730"</f>
        <v>14221-3730</v>
      </c>
      <c r="AB3219" t="s">
        <v>118</v>
      </c>
      <c r="AC3219" t="s">
        <v>119</v>
      </c>
      <c r="AD3219" t="s">
        <v>113</v>
      </c>
      <c r="AE3219" t="s">
        <v>120</v>
      </c>
      <c r="AG3219" t="s">
        <v>121</v>
      </c>
    </row>
    <row r="3220" spans="1:33" x14ac:dyDescent="0.25">
      <c r="A3220" t="str">
        <f>"1184699670"</f>
        <v>1184699670</v>
      </c>
      <c r="B3220" t="str">
        <f>"01877825"</f>
        <v>01877825</v>
      </c>
      <c r="C3220" t="s">
        <v>18205</v>
      </c>
      <c r="D3220" t="s">
        <v>18206</v>
      </c>
      <c r="E3220" t="s">
        <v>18207</v>
      </c>
      <c r="G3220" t="s">
        <v>18208</v>
      </c>
      <c r="H3220" t="s">
        <v>382</v>
      </c>
      <c r="J3220" t="s">
        <v>383</v>
      </c>
      <c r="L3220" t="s">
        <v>150</v>
      </c>
      <c r="M3220" t="s">
        <v>113</v>
      </c>
      <c r="R3220" t="s">
        <v>18209</v>
      </c>
      <c r="W3220" t="s">
        <v>18207</v>
      </c>
      <c r="X3220" t="s">
        <v>18210</v>
      </c>
      <c r="Y3220" t="s">
        <v>387</v>
      </c>
      <c r="Z3220" t="s">
        <v>117</v>
      </c>
      <c r="AA3220" t="str">
        <f>"14787-1121"</f>
        <v>14787-1121</v>
      </c>
      <c r="AB3220" t="s">
        <v>118</v>
      </c>
      <c r="AC3220" t="s">
        <v>119</v>
      </c>
      <c r="AD3220" t="s">
        <v>113</v>
      </c>
      <c r="AE3220" t="s">
        <v>120</v>
      </c>
      <c r="AG3220" t="s">
        <v>121</v>
      </c>
    </row>
    <row r="3221" spans="1:33" x14ac:dyDescent="0.25">
      <c r="A3221" t="str">
        <f>"1184711574"</f>
        <v>1184711574</v>
      </c>
      <c r="C3221" t="s">
        <v>18211</v>
      </c>
      <c r="G3221" t="s">
        <v>18212</v>
      </c>
      <c r="H3221" t="s">
        <v>2125</v>
      </c>
      <c r="J3221" t="s">
        <v>18213</v>
      </c>
      <c r="K3221" t="s">
        <v>303</v>
      </c>
      <c r="L3221" t="s">
        <v>229</v>
      </c>
      <c r="M3221" t="s">
        <v>113</v>
      </c>
      <c r="R3221" t="s">
        <v>18214</v>
      </c>
      <c r="S3221" t="s">
        <v>18215</v>
      </c>
      <c r="T3221" t="s">
        <v>986</v>
      </c>
      <c r="U3221" t="s">
        <v>117</v>
      </c>
      <c r="V3221" t="str">
        <f>"147020457"</f>
        <v>147020457</v>
      </c>
      <c r="AC3221" t="s">
        <v>119</v>
      </c>
      <c r="AD3221" t="s">
        <v>113</v>
      </c>
      <c r="AE3221" t="s">
        <v>306</v>
      </c>
      <c r="AG3221" t="s">
        <v>121</v>
      </c>
    </row>
    <row r="3222" spans="1:33" x14ac:dyDescent="0.25">
      <c r="A3222" t="str">
        <f>"1184722415"</f>
        <v>1184722415</v>
      </c>
      <c r="B3222" t="str">
        <f>"02918803"</f>
        <v>02918803</v>
      </c>
      <c r="C3222" t="s">
        <v>18216</v>
      </c>
      <c r="D3222" t="s">
        <v>18217</v>
      </c>
      <c r="E3222" t="s">
        <v>18218</v>
      </c>
      <c r="G3222" t="s">
        <v>18219</v>
      </c>
      <c r="H3222" t="s">
        <v>18220</v>
      </c>
      <c r="J3222" t="s">
        <v>18221</v>
      </c>
      <c r="L3222" t="s">
        <v>142</v>
      </c>
      <c r="M3222" t="s">
        <v>113</v>
      </c>
      <c r="R3222" t="s">
        <v>18218</v>
      </c>
      <c r="W3222" t="s">
        <v>18222</v>
      </c>
      <c r="X3222" t="s">
        <v>18223</v>
      </c>
      <c r="Y3222" t="s">
        <v>958</v>
      </c>
      <c r="Z3222" t="s">
        <v>117</v>
      </c>
      <c r="AA3222" t="str">
        <f>"14226-1727"</f>
        <v>14226-1727</v>
      </c>
      <c r="AB3222" t="s">
        <v>118</v>
      </c>
      <c r="AC3222" t="s">
        <v>119</v>
      </c>
      <c r="AD3222" t="s">
        <v>113</v>
      </c>
      <c r="AE3222" t="s">
        <v>120</v>
      </c>
      <c r="AG3222" t="s">
        <v>121</v>
      </c>
    </row>
    <row r="3223" spans="1:33" x14ac:dyDescent="0.25">
      <c r="A3223" t="str">
        <f>"1184722662"</f>
        <v>1184722662</v>
      </c>
      <c r="C3223" t="s">
        <v>18224</v>
      </c>
      <c r="G3223" t="s">
        <v>18225</v>
      </c>
      <c r="J3223" t="s">
        <v>352</v>
      </c>
      <c r="K3223" t="s">
        <v>303</v>
      </c>
      <c r="L3223" t="s">
        <v>229</v>
      </c>
      <c r="M3223" t="s">
        <v>113</v>
      </c>
      <c r="R3223" t="s">
        <v>18226</v>
      </c>
      <c r="S3223" t="s">
        <v>1922</v>
      </c>
      <c r="T3223" t="s">
        <v>268</v>
      </c>
      <c r="U3223" t="s">
        <v>117</v>
      </c>
      <c r="V3223" t="str">
        <f>"141508441"</f>
        <v>141508441</v>
      </c>
      <c r="AC3223" t="s">
        <v>119</v>
      </c>
      <c r="AD3223" t="s">
        <v>113</v>
      </c>
      <c r="AE3223" t="s">
        <v>306</v>
      </c>
      <c r="AG3223" t="s">
        <v>121</v>
      </c>
    </row>
    <row r="3224" spans="1:33" x14ac:dyDescent="0.25">
      <c r="A3224" t="str">
        <f>"1184771297"</f>
        <v>1184771297</v>
      </c>
      <c r="B3224" t="str">
        <f>"00756703"</f>
        <v>00756703</v>
      </c>
      <c r="C3224" t="s">
        <v>18227</v>
      </c>
      <c r="D3224" t="s">
        <v>18228</v>
      </c>
      <c r="E3224" t="s">
        <v>18229</v>
      </c>
      <c r="G3224" t="s">
        <v>18230</v>
      </c>
      <c r="H3224" t="s">
        <v>18231</v>
      </c>
      <c r="J3224" t="s">
        <v>18232</v>
      </c>
      <c r="L3224" t="s">
        <v>728</v>
      </c>
      <c r="M3224" t="s">
        <v>113</v>
      </c>
      <c r="R3224" t="s">
        <v>18233</v>
      </c>
      <c r="W3224" t="s">
        <v>18234</v>
      </c>
      <c r="X3224" t="s">
        <v>216</v>
      </c>
      <c r="Y3224" t="s">
        <v>116</v>
      </c>
      <c r="Z3224" t="s">
        <v>117</v>
      </c>
      <c r="AA3224" t="str">
        <f>"14222-2006"</f>
        <v>14222-2006</v>
      </c>
      <c r="AB3224" t="s">
        <v>118</v>
      </c>
      <c r="AC3224" t="s">
        <v>119</v>
      </c>
      <c r="AD3224" t="s">
        <v>113</v>
      </c>
      <c r="AE3224" t="s">
        <v>120</v>
      </c>
      <c r="AG3224" t="s">
        <v>121</v>
      </c>
    </row>
    <row r="3225" spans="1:33" x14ac:dyDescent="0.25">
      <c r="A3225" t="str">
        <f>"1184774929"</f>
        <v>1184774929</v>
      </c>
      <c r="B3225" t="str">
        <f>"01377962"</f>
        <v>01377962</v>
      </c>
      <c r="C3225" t="s">
        <v>18235</v>
      </c>
      <c r="D3225" t="s">
        <v>18236</v>
      </c>
      <c r="E3225" t="s">
        <v>18237</v>
      </c>
      <c r="G3225" t="s">
        <v>18235</v>
      </c>
      <c r="H3225" t="s">
        <v>18238</v>
      </c>
      <c r="L3225" t="s">
        <v>229</v>
      </c>
      <c r="M3225" t="s">
        <v>113</v>
      </c>
      <c r="R3225" t="s">
        <v>18235</v>
      </c>
      <c r="W3225" t="s">
        <v>18239</v>
      </c>
      <c r="X3225" t="s">
        <v>18240</v>
      </c>
      <c r="Y3225" t="s">
        <v>816</v>
      </c>
      <c r="Z3225" t="s">
        <v>117</v>
      </c>
      <c r="AA3225" t="str">
        <f>"14120-2817"</f>
        <v>14120-2817</v>
      </c>
      <c r="AB3225" t="s">
        <v>1146</v>
      </c>
      <c r="AC3225" t="s">
        <v>119</v>
      </c>
      <c r="AD3225" t="s">
        <v>113</v>
      </c>
      <c r="AE3225" t="s">
        <v>120</v>
      </c>
      <c r="AG3225" t="s">
        <v>121</v>
      </c>
    </row>
    <row r="3226" spans="1:33" x14ac:dyDescent="0.25">
      <c r="A3226" t="str">
        <f>"1184776064"</f>
        <v>1184776064</v>
      </c>
      <c r="C3226" t="s">
        <v>18241</v>
      </c>
      <c r="G3226" t="s">
        <v>18242</v>
      </c>
      <c r="H3226" t="s">
        <v>6157</v>
      </c>
      <c r="J3226" t="s">
        <v>18243</v>
      </c>
      <c r="K3226" t="s">
        <v>303</v>
      </c>
      <c r="L3226" t="s">
        <v>112</v>
      </c>
      <c r="M3226" t="s">
        <v>113</v>
      </c>
      <c r="R3226" t="s">
        <v>18244</v>
      </c>
      <c r="S3226" t="s">
        <v>18245</v>
      </c>
      <c r="T3226" t="s">
        <v>116</v>
      </c>
      <c r="U3226" t="s">
        <v>117</v>
      </c>
      <c r="V3226" t="str">
        <f>"14209"</f>
        <v>14209</v>
      </c>
      <c r="AC3226" t="s">
        <v>119</v>
      </c>
      <c r="AD3226" t="s">
        <v>113</v>
      </c>
      <c r="AE3226" t="s">
        <v>306</v>
      </c>
      <c r="AG3226" t="s">
        <v>121</v>
      </c>
    </row>
    <row r="3227" spans="1:33" x14ac:dyDescent="0.25">
      <c r="A3227" t="str">
        <f>"1225000425"</f>
        <v>1225000425</v>
      </c>
      <c r="B3227" t="str">
        <f>"02631652"</f>
        <v>02631652</v>
      </c>
      <c r="C3227" t="s">
        <v>18246</v>
      </c>
      <c r="D3227" t="s">
        <v>18247</v>
      </c>
      <c r="E3227" t="s">
        <v>18248</v>
      </c>
      <c r="G3227" t="s">
        <v>18246</v>
      </c>
      <c r="H3227" t="s">
        <v>2280</v>
      </c>
      <c r="J3227" t="s">
        <v>18249</v>
      </c>
      <c r="L3227" t="s">
        <v>142</v>
      </c>
      <c r="M3227" t="s">
        <v>113</v>
      </c>
      <c r="R3227" t="s">
        <v>18250</v>
      </c>
      <c r="W3227" t="s">
        <v>18248</v>
      </c>
      <c r="X3227" t="s">
        <v>18251</v>
      </c>
      <c r="Y3227" t="s">
        <v>116</v>
      </c>
      <c r="Z3227" t="s">
        <v>117</v>
      </c>
      <c r="AA3227" t="str">
        <f>"14222-2006"</f>
        <v>14222-2006</v>
      </c>
      <c r="AB3227" t="s">
        <v>118</v>
      </c>
      <c r="AC3227" t="s">
        <v>119</v>
      </c>
      <c r="AD3227" t="s">
        <v>113</v>
      </c>
      <c r="AE3227" t="s">
        <v>120</v>
      </c>
      <c r="AG3227" t="s">
        <v>121</v>
      </c>
    </row>
    <row r="3228" spans="1:33" x14ac:dyDescent="0.25">
      <c r="A3228" t="str">
        <f>"1225003254"</f>
        <v>1225003254</v>
      </c>
      <c r="B3228" t="str">
        <f>"01856275"</f>
        <v>01856275</v>
      </c>
      <c r="C3228" t="s">
        <v>18252</v>
      </c>
      <c r="D3228" t="s">
        <v>18253</v>
      </c>
      <c r="E3228" t="s">
        <v>18254</v>
      </c>
      <c r="G3228" t="s">
        <v>18252</v>
      </c>
      <c r="H3228" t="s">
        <v>2280</v>
      </c>
      <c r="J3228" t="s">
        <v>18255</v>
      </c>
      <c r="L3228" t="s">
        <v>142</v>
      </c>
      <c r="M3228" t="s">
        <v>113</v>
      </c>
      <c r="R3228" t="s">
        <v>18256</v>
      </c>
      <c r="W3228" t="s">
        <v>18254</v>
      </c>
      <c r="X3228" t="s">
        <v>216</v>
      </c>
      <c r="Y3228" t="s">
        <v>116</v>
      </c>
      <c r="Z3228" t="s">
        <v>117</v>
      </c>
      <c r="AA3228" t="str">
        <f>"14222-2006"</f>
        <v>14222-2006</v>
      </c>
      <c r="AB3228" t="s">
        <v>118</v>
      </c>
      <c r="AC3228" t="s">
        <v>119</v>
      </c>
      <c r="AD3228" t="s">
        <v>113</v>
      </c>
      <c r="AE3228" t="s">
        <v>120</v>
      </c>
      <c r="AG3228" t="s">
        <v>121</v>
      </c>
    </row>
    <row r="3229" spans="1:33" x14ac:dyDescent="0.25">
      <c r="A3229" t="str">
        <f>"1225004997"</f>
        <v>1225004997</v>
      </c>
      <c r="B3229" t="str">
        <f>"01821690"</f>
        <v>01821690</v>
      </c>
      <c r="C3229" t="s">
        <v>18257</v>
      </c>
      <c r="D3229" t="s">
        <v>18258</v>
      </c>
      <c r="E3229" t="s">
        <v>18259</v>
      </c>
      <c r="G3229" t="s">
        <v>18260</v>
      </c>
      <c r="H3229" t="s">
        <v>18261</v>
      </c>
      <c r="L3229" t="s">
        <v>112</v>
      </c>
      <c r="M3229" t="s">
        <v>199</v>
      </c>
      <c r="R3229" t="s">
        <v>18262</v>
      </c>
      <c r="W3229" t="s">
        <v>18259</v>
      </c>
      <c r="X3229" t="s">
        <v>18263</v>
      </c>
      <c r="Y3229" t="s">
        <v>116</v>
      </c>
      <c r="Z3229" t="s">
        <v>117</v>
      </c>
      <c r="AA3229" t="str">
        <f>"14219-2106"</f>
        <v>14219-2106</v>
      </c>
      <c r="AB3229" t="s">
        <v>118</v>
      </c>
      <c r="AC3229" t="s">
        <v>119</v>
      </c>
      <c r="AD3229" t="s">
        <v>113</v>
      </c>
      <c r="AE3229" t="s">
        <v>120</v>
      </c>
      <c r="AG3229" t="s">
        <v>121</v>
      </c>
    </row>
    <row r="3230" spans="1:33" x14ac:dyDescent="0.25">
      <c r="A3230" t="str">
        <f>"1225008402"</f>
        <v>1225008402</v>
      </c>
      <c r="B3230" t="str">
        <f>"01181846"</f>
        <v>01181846</v>
      </c>
      <c r="C3230" t="s">
        <v>18264</v>
      </c>
      <c r="D3230" t="s">
        <v>18265</v>
      </c>
      <c r="E3230" t="s">
        <v>18266</v>
      </c>
      <c r="G3230" t="s">
        <v>18264</v>
      </c>
      <c r="H3230" t="s">
        <v>8195</v>
      </c>
      <c r="J3230" t="s">
        <v>18267</v>
      </c>
      <c r="L3230" t="s">
        <v>112</v>
      </c>
      <c r="M3230" t="s">
        <v>113</v>
      </c>
      <c r="R3230" t="s">
        <v>18268</v>
      </c>
      <c r="W3230" t="s">
        <v>18266</v>
      </c>
      <c r="X3230" t="s">
        <v>1709</v>
      </c>
      <c r="Y3230" t="s">
        <v>116</v>
      </c>
      <c r="Z3230" t="s">
        <v>117</v>
      </c>
      <c r="AA3230" t="str">
        <f>"14213-1207"</f>
        <v>14213-1207</v>
      </c>
      <c r="AB3230" t="s">
        <v>118</v>
      </c>
      <c r="AC3230" t="s">
        <v>119</v>
      </c>
      <c r="AD3230" t="s">
        <v>113</v>
      </c>
      <c r="AE3230" t="s">
        <v>120</v>
      </c>
      <c r="AG3230" t="s">
        <v>121</v>
      </c>
    </row>
    <row r="3231" spans="1:33" x14ac:dyDescent="0.25">
      <c r="A3231" t="str">
        <f>"1194886911"</f>
        <v>1194886911</v>
      </c>
      <c r="B3231" t="str">
        <f>"03597986"</f>
        <v>03597986</v>
      </c>
      <c r="C3231" t="s">
        <v>18269</v>
      </c>
      <c r="D3231" t="s">
        <v>18270</v>
      </c>
      <c r="E3231" t="s">
        <v>18271</v>
      </c>
      <c r="G3231" t="s">
        <v>18272</v>
      </c>
      <c r="H3231" t="s">
        <v>590</v>
      </c>
      <c r="J3231" t="s">
        <v>18273</v>
      </c>
      <c r="L3231" t="s">
        <v>112</v>
      </c>
      <c r="M3231" t="s">
        <v>113</v>
      </c>
      <c r="R3231" t="s">
        <v>18274</v>
      </c>
      <c r="W3231" t="s">
        <v>18275</v>
      </c>
      <c r="X3231" t="s">
        <v>13157</v>
      </c>
      <c r="Y3231" t="s">
        <v>1257</v>
      </c>
      <c r="Z3231" t="s">
        <v>117</v>
      </c>
      <c r="AA3231" t="str">
        <f>"14141-1375"</f>
        <v>14141-1375</v>
      </c>
      <c r="AB3231" t="s">
        <v>621</v>
      </c>
      <c r="AC3231" t="s">
        <v>119</v>
      </c>
      <c r="AD3231" t="s">
        <v>113</v>
      </c>
      <c r="AE3231" t="s">
        <v>120</v>
      </c>
      <c r="AG3231" t="s">
        <v>121</v>
      </c>
    </row>
    <row r="3232" spans="1:33" x14ac:dyDescent="0.25">
      <c r="A3232" t="str">
        <f>"1285947002"</f>
        <v>1285947002</v>
      </c>
      <c r="B3232" t="str">
        <f>"03229967"</f>
        <v>03229967</v>
      </c>
      <c r="C3232" t="s">
        <v>18276</v>
      </c>
      <c r="D3232" t="s">
        <v>18277</v>
      </c>
      <c r="E3232" t="s">
        <v>18278</v>
      </c>
      <c r="G3232" t="s">
        <v>18279</v>
      </c>
      <c r="H3232" t="s">
        <v>6733</v>
      </c>
      <c r="L3232" t="s">
        <v>142</v>
      </c>
      <c r="M3232" t="s">
        <v>113</v>
      </c>
      <c r="R3232" t="s">
        <v>18280</v>
      </c>
      <c r="W3232" t="s">
        <v>18281</v>
      </c>
      <c r="X3232" t="s">
        <v>855</v>
      </c>
      <c r="Y3232" t="s">
        <v>116</v>
      </c>
      <c r="Z3232" t="s">
        <v>117</v>
      </c>
      <c r="AA3232" t="str">
        <f>"14213-1573"</f>
        <v>14213-1573</v>
      </c>
      <c r="AB3232" t="s">
        <v>118</v>
      </c>
      <c r="AC3232" t="s">
        <v>119</v>
      </c>
      <c r="AD3232" t="s">
        <v>113</v>
      </c>
      <c r="AE3232" t="s">
        <v>120</v>
      </c>
      <c r="AG3232" t="s">
        <v>121</v>
      </c>
    </row>
    <row r="3233" spans="1:33" x14ac:dyDescent="0.25">
      <c r="A3233" t="str">
        <f>"1285966812"</f>
        <v>1285966812</v>
      </c>
      <c r="B3233" t="str">
        <f>"03860491"</f>
        <v>03860491</v>
      </c>
      <c r="C3233" t="s">
        <v>18282</v>
      </c>
      <c r="D3233" t="s">
        <v>18283</v>
      </c>
      <c r="E3233" t="s">
        <v>18284</v>
      </c>
      <c r="G3233" t="s">
        <v>18285</v>
      </c>
      <c r="H3233" t="s">
        <v>351</v>
      </c>
      <c r="J3233" t="s">
        <v>352</v>
      </c>
      <c r="L3233" t="s">
        <v>112</v>
      </c>
      <c r="M3233" t="s">
        <v>113</v>
      </c>
      <c r="R3233" t="s">
        <v>18286</v>
      </c>
      <c r="W3233" t="s">
        <v>18284</v>
      </c>
      <c r="X3233" t="s">
        <v>14316</v>
      </c>
      <c r="Y3233" t="s">
        <v>145</v>
      </c>
      <c r="Z3233" t="s">
        <v>117</v>
      </c>
      <c r="AA3233" t="str">
        <f>"14051-1427"</f>
        <v>14051-1427</v>
      </c>
      <c r="AB3233" t="s">
        <v>621</v>
      </c>
      <c r="AC3233" t="s">
        <v>119</v>
      </c>
      <c r="AD3233" t="s">
        <v>113</v>
      </c>
      <c r="AE3233" t="s">
        <v>120</v>
      </c>
      <c r="AG3233" t="s">
        <v>121</v>
      </c>
    </row>
    <row r="3234" spans="1:33" x14ac:dyDescent="0.25">
      <c r="A3234" t="str">
        <f>"1285980458"</f>
        <v>1285980458</v>
      </c>
      <c r="C3234" t="s">
        <v>18287</v>
      </c>
      <c r="G3234" t="s">
        <v>18287</v>
      </c>
      <c r="H3234" t="s">
        <v>590</v>
      </c>
      <c r="J3234" t="s">
        <v>18288</v>
      </c>
      <c r="K3234" t="s">
        <v>303</v>
      </c>
      <c r="L3234" t="s">
        <v>112</v>
      </c>
      <c r="M3234" t="s">
        <v>113</v>
      </c>
      <c r="R3234" t="s">
        <v>18289</v>
      </c>
      <c r="S3234" t="s">
        <v>626</v>
      </c>
      <c r="T3234" t="s">
        <v>116</v>
      </c>
      <c r="U3234" t="s">
        <v>117</v>
      </c>
      <c r="V3234" t="str">
        <f>"142102324"</f>
        <v>142102324</v>
      </c>
      <c r="AC3234" t="s">
        <v>119</v>
      </c>
      <c r="AD3234" t="s">
        <v>113</v>
      </c>
      <c r="AE3234" t="s">
        <v>306</v>
      </c>
      <c r="AG3234" t="s">
        <v>121</v>
      </c>
    </row>
    <row r="3235" spans="1:33" x14ac:dyDescent="0.25">
      <c r="A3235" t="str">
        <f>"1285989855"</f>
        <v>1285989855</v>
      </c>
      <c r="B3235" t="str">
        <f>"03470133"</f>
        <v>03470133</v>
      </c>
      <c r="C3235" t="s">
        <v>18290</v>
      </c>
      <c r="D3235" t="s">
        <v>18291</v>
      </c>
      <c r="E3235" t="s">
        <v>18292</v>
      </c>
      <c r="G3235" t="s">
        <v>18290</v>
      </c>
      <c r="H3235" t="s">
        <v>18293</v>
      </c>
      <c r="J3235" t="s">
        <v>18294</v>
      </c>
      <c r="L3235" t="s">
        <v>112</v>
      </c>
      <c r="M3235" t="s">
        <v>113</v>
      </c>
      <c r="R3235" t="s">
        <v>18295</v>
      </c>
      <c r="W3235" t="s">
        <v>18296</v>
      </c>
      <c r="X3235" t="s">
        <v>1845</v>
      </c>
      <c r="Y3235" t="s">
        <v>816</v>
      </c>
      <c r="Z3235" t="s">
        <v>117</v>
      </c>
      <c r="AA3235" t="str">
        <f>"14120-6150"</f>
        <v>14120-6150</v>
      </c>
      <c r="AB3235" t="s">
        <v>118</v>
      </c>
      <c r="AC3235" t="s">
        <v>119</v>
      </c>
      <c r="AD3235" t="s">
        <v>113</v>
      </c>
      <c r="AE3235" t="s">
        <v>120</v>
      </c>
      <c r="AG3235" t="s">
        <v>121</v>
      </c>
    </row>
    <row r="3236" spans="1:33" x14ac:dyDescent="0.25">
      <c r="A3236" t="str">
        <f>"1205022365"</f>
        <v>1205022365</v>
      </c>
      <c r="B3236" t="str">
        <f>"01049072"</f>
        <v>01049072</v>
      </c>
      <c r="C3236" t="s">
        <v>18297</v>
      </c>
      <c r="D3236" t="s">
        <v>18298</v>
      </c>
      <c r="E3236" t="s">
        <v>18299</v>
      </c>
      <c r="G3236" t="s">
        <v>18300</v>
      </c>
      <c r="H3236" t="s">
        <v>1964</v>
      </c>
      <c r="J3236" t="s">
        <v>18301</v>
      </c>
      <c r="L3236" t="s">
        <v>112</v>
      </c>
      <c r="M3236" t="s">
        <v>113</v>
      </c>
      <c r="R3236" t="s">
        <v>18302</v>
      </c>
      <c r="W3236" t="s">
        <v>18303</v>
      </c>
      <c r="X3236" t="s">
        <v>176</v>
      </c>
      <c r="Y3236" t="s">
        <v>116</v>
      </c>
      <c r="Z3236" t="s">
        <v>117</v>
      </c>
      <c r="AA3236" t="str">
        <f>"14203-1126"</f>
        <v>14203-1126</v>
      </c>
      <c r="AB3236" t="s">
        <v>118</v>
      </c>
      <c r="AC3236" t="s">
        <v>119</v>
      </c>
      <c r="AD3236" t="s">
        <v>113</v>
      </c>
      <c r="AE3236" t="s">
        <v>120</v>
      </c>
      <c r="AG3236" t="s">
        <v>121</v>
      </c>
    </row>
    <row r="3237" spans="1:33" x14ac:dyDescent="0.25">
      <c r="A3237" t="str">
        <f>"1205045424"</f>
        <v>1205045424</v>
      </c>
      <c r="B3237" t="str">
        <f>"02904781"</f>
        <v>02904781</v>
      </c>
      <c r="C3237" t="s">
        <v>18304</v>
      </c>
      <c r="D3237" t="s">
        <v>18305</v>
      </c>
      <c r="E3237" t="s">
        <v>18306</v>
      </c>
      <c r="G3237" t="s">
        <v>18304</v>
      </c>
      <c r="H3237" t="s">
        <v>449</v>
      </c>
      <c r="J3237" t="s">
        <v>18307</v>
      </c>
      <c r="L3237" t="s">
        <v>142</v>
      </c>
      <c r="M3237" t="s">
        <v>113</v>
      </c>
      <c r="R3237" t="s">
        <v>18308</v>
      </c>
      <c r="W3237" t="s">
        <v>18306</v>
      </c>
      <c r="X3237" t="s">
        <v>4981</v>
      </c>
      <c r="Y3237" t="s">
        <v>1562</v>
      </c>
      <c r="Z3237" t="s">
        <v>117</v>
      </c>
      <c r="AA3237" t="str">
        <f>"14047-9430"</f>
        <v>14047-9430</v>
      </c>
      <c r="AB3237" t="s">
        <v>118</v>
      </c>
      <c r="AC3237" t="s">
        <v>119</v>
      </c>
      <c r="AD3237" t="s">
        <v>113</v>
      </c>
      <c r="AE3237" t="s">
        <v>120</v>
      </c>
      <c r="AG3237" t="s">
        <v>121</v>
      </c>
    </row>
    <row r="3238" spans="1:33" x14ac:dyDescent="0.25">
      <c r="A3238" t="str">
        <f>"1205047354"</f>
        <v>1205047354</v>
      </c>
      <c r="B3238" t="str">
        <f>"03922630"</f>
        <v>03922630</v>
      </c>
      <c r="C3238" t="s">
        <v>18309</v>
      </c>
      <c r="D3238" t="s">
        <v>18310</v>
      </c>
      <c r="E3238" t="s">
        <v>18311</v>
      </c>
      <c r="G3238" t="s">
        <v>18312</v>
      </c>
      <c r="H3238" t="s">
        <v>18313</v>
      </c>
      <c r="J3238" t="s">
        <v>18314</v>
      </c>
      <c r="L3238" t="s">
        <v>112</v>
      </c>
      <c r="M3238" t="s">
        <v>113</v>
      </c>
      <c r="R3238" t="s">
        <v>18315</v>
      </c>
      <c r="W3238" t="s">
        <v>18311</v>
      </c>
      <c r="X3238" t="s">
        <v>216</v>
      </c>
      <c r="Y3238" t="s">
        <v>116</v>
      </c>
      <c r="Z3238" t="s">
        <v>117</v>
      </c>
      <c r="AA3238" t="str">
        <f>"14222-2006"</f>
        <v>14222-2006</v>
      </c>
      <c r="AB3238" t="s">
        <v>118</v>
      </c>
      <c r="AC3238" t="s">
        <v>119</v>
      </c>
      <c r="AD3238" t="s">
        <v>113</v>
      </c>
      <c r="AE3238" t="s">
        <v>120</v>
      </c>
      <c r="AG3238" t="s">
        <v>121</v>
      </c>
    </row>
    <row r="3239" spans="1:33" x14ac:dyDescent="0.25">
      <c r="A3239" t="str">
        <f>"1205047461"</f>
        <v>1205047461</v>
      </c>
      <c r="B3239" t="str">
        <f>"02903271"</f>
        <v>02903271</v>
      </c>
      <c r="C3239" t="s">
        <v>18316</v>
      </c>
      <c r="D3239" t="s">
        <v>18317</v>
      </c>
      <c r="E3239" t="s">
        <v>18318</v>
      </c>
      <c r="G3239" t="s">
        <v>18319</v>
      </c>
      <c r="H3239" t="s">
        <v>213</v>
      </c>
      <c r="J3239" t="s">
        <v>18320</v>
      </c>
      <c r="L3239" t="s">
        <v>142</v>
      </c>
      <c r="M3239" t="s">
        <v>199</v>
      </c>
      <c r="R3239" t="s">
        <v>18321</v>
      </c>
      <c r="W3239" t="s">
        <v>18318</v>
      </c>
      <c r="X3239" t="s">
        <v>216</v>
      </c>
      <c r="Y3239" t="s">
        <v>116</v>
      </c>
      <c r="Z3239" t="s">
        <v>117</v>
      </c>
      <c r="AA3239" t="str">
        <f>"14222-2006"</f>
        <v>14222-2006</v>
      </c>
      <c r="AB3239" t="s">
        <v>118</v>
      </c>
      <c r="AC3239" t="s">
        <v>119</v>
      </c>
      <c r="AD3239" t="s">
        <v>113</v>
      </c>
      <c r="AE3239" t="s">
        <v>120</v>
      </c>
      <c r="AG3239" t="s">
        <v>121</v>
      </c>
    </row>
    <row r="3240" spans="1:33" x14ac:dyDescent="0.25">
      <c r="A3240" t="str">
        <f>"1205061975"</f>
        <v>1205061975</v>
      </c>
      <c r="B3240" t="str">
        <f>"03465950"</f>
        <v>03465950</v>
      </c>
      <c r="C3240" t="s">
        <v>18322</v>
      </c>
      <c r="D3240" t="s">
        <v>18323</v>
      </c>
      <c r="E3240" t="s">
        <v>18324</v>
      </c>
      <c r="G3240" t="s">
        <v>859</v>
      </c>
      <c r="H3240" t="s">
        <v>18325</v>
      </c>
      <c r="J3240" t="s">
        <v>861</v>
      </c>
      <c r="L3240" t="s">
        <v>142</v>
      </c>
      <c r="M3240" t="s">
        <v>113</v>
      </c>
      <c r="R3240" t="s">
        <v>18326</v>
      </c>
      <c r="W3240" t="s">
        <v>18327</v>
      </c>
      <c r="X3240" t="s">
        <v>253</v>
      </c>
      <c r="Y3240" t="s">
        <v>116</v>
      </c>
      <c r="Z3240" t="s">
        <v>117</v>
      </c>
      <c r="AA3240" t="str">
        <f>"14215-3021"</f>
        <v>14215-3021</v>
      </c>
      <c r="AB3240" t="s">
        <v>118</v>
      </c>
      <c r="AC3240" t="s">
        <v>119</v>
      </c>
      <c r="AD3240" t="s">
        <v>113</v>
      </c>
      <c r="AE3240" t="s">
        <v>120</v>
      </c>
      <c r="AG3240" t="s">
        <v>121</v>
      </c>
    </row>
    <row r="3241" spans="1:33" x14ac:dyDescent="0.25">
      <c r="A3241" t="str">
        <f>"1205063773"</f>
        <v>1205063773</v>
      </c>
      <c r="B3241" t="str">
        <f>"03133828"</f>
        <v>03133828</v>
      </c>
      <c r="C3241" t="s">
        <v>18328</v>
      </c>
      <c r="D3241" t="s">
        <v>18329</v>
      </c>
      <c r="E3241" t="s">
        <v>18330</v>
      </c>
      <c r="G3241" t="s">
        <v>18331</v>
      </c>
      <c r="H3241" t="s">
        <v>205</v>
      </c>
      <c r="J3241" t="s">
        <v>18332</v>
      </c>
      <c r="L3241" t="s">
        <v>150</v>
      </c>
      <c r="M3241" t="s">
        <v>113</v>
      </c>
      <c r="R3241" t="s">
        <v>18333</v>
      </c>
      <c r="W3241" t="s">
        <v>18330</v>
      </c>
      <c r="X3241" t="s">
        <v>6289</v>
      </c>
      <c r="Y3241" t="s">
        <v>240</v>
      </c>
      <c r="Z3241" t="s">
        <v>117</v>
      </c>
      <c r="AA3241" t="str">
        <f>"14221-8216"</f>
        <v>14221-8216</v>
      </c>
      <c r="AB3241" t="s">
        <v>118</v>
      </c>
      <c r="AC3241" t="s">
        <v>119</v>
      </c>
      <c r="AD3241" t="s">
        <v>113</v>
      </c>
      <c r="AE3241" t="s">
        <v>120</v>
      </c>
      <c r="AG3241" t="s">
        <v>121</v>
      </c>
    </row>
    <row r="3242" spans="1:33" x14ac:dyDescent="0.25">
      <c r="A3242" t="str">
        <f>"1205067931"</f>
        <v>1205067931</v>
      </c>
      <c r="B3242" t="str">
        <f>"03171217"</f>
        <v>03171217</v>
      </c>
      <c r="C3242" t="s">
        <v>18334</v>
      </c>
      <c r="D3242" t="s">
        <v>18335</v>
      </c>
      <c r="E3242" t="s">
        <v>18336</v>
      </c>
      <c r="G3242" t="s">
        <v>18337</v>
      </c>
      <c r="H3242" t="s">
        <v>18338</v>
      </c>
      <c r="J3242" t="s">
        <v>18339</v>
      </c>
      <c r="L3242" t="s">
        <v>112</v>
      </c>
      <c r="M3242" t="s">
        <v>113</v>
      </c>
      <c r="R3242" t="s">
        <v>18340</v>
      </c>
      <c r="W3242" t="s">
        <v>18336</v>
      </c>
      <c r="X3242" t="s">
        <v>2892</v>
      </c>
      <c r="Y3242" t="s">
        <v>240</v>
      </c>
      <c r="Z3242" t="s">
        <v>117</v>
      </c>
      <c r="AA3242" t="str">
        <f>"14221-5838"</f>
        <v>14221-5838</v>
      </c>
      <c r="AB3242" t="s">
        <v>118</v>
      </c>
      <c r="AC3242" t="s">
        <v>119</v>
      </c>
      <c r="AD3242" t="s">
        <v>113</v>
      </c>
      <c r="AE3242" t="s">
        <v>120</v>
      </c>
      <c r="AG3242" t="s">
        <v>121</v>
      </c>
    </row>
    <row r="3243" spans="1:33" x14ac:dyDescent="0.25">
      <c r="B3243" t="str">
        <f>"02005549"</f>
        <v>02005549</v>
      </c>
      <c r="C3243" t="s">
        <v>1589</v>
      </c>
      <c r="D3243" t="s">
        <v>1590</v>
      </c>
      <c r="E3243" t="s">
        <v>1589</v>
      </c>
      <c r="F3243">
        <v>160757756</v>
      </c>
      <c r="H3243" t="s">
        <v>1543</v>
      </c>
      <c r="L3243" t="s">
        <v>67</v>
      </c>
      <c r="M3243" t="s">
        <v>113</v>
      </c>
      <c r="W3243" t="s">
        <v>1591</v>
      </c>
      <c r="X3243" t="s">
        <v>1592</v>
      </c>
      <c r="Y3243" t="s">
        <v>1593</v>
      </c>
      <c r="Z3243" t="s">
        <v>117</v>
      </c>
      <c r="AA3243" t="str">
        <f>"14068-1224"</f>
        <v>14068-1224</v>
      </c>
      <c r="AB3243" t="s">
        <v>291</v>
      </c>
      <c r="AC3243" t="s">
        <v>119</v>
      </c>
      <c r="AD3243" t="s">
        <v>113</v>
      </c>
      <c r="AE3243" t="s">
        <v>120</v>
      </c>
      <c r="AG3243" t="s">
        <v>121</v>
      </c>
    </row>
    <row r="3244" spans="1:33" x14ac:dyDescent="0.25">
      <c r="A3244" t="str">
        <f>"1235374356"</f>
        <v>1235374356</v>
      </c>
      <c r="C3244" t="s">
        <v>18344</v>
      </c>
      <c r="G3244" t="s">
        <v>18345</v>
      </c>
      <c r="H3244" t="s">
        <v>351</v>
      </c>
      <c r="J3244" t="s">
        <v>352</v>
      </c>
      <c r="K3244" t="s">
        <v>303</v>
      </c>
      <c r="L3244" t="s">
        <v>112</v>
      </c>
      <c r="M3244" t="s">
        <v>113</v>
      </c>
      <c r="R3244" t="s">
        <v>18346</v>
      </c>
      <c r="S3244" t="s">
        <v>6562</v>
      </c>
      <c r="T3244" t="s">
        <v>116</v>
      </c>
      <c r="U3244" t="s">
        <v>117</v>
      </c>
      <c r="V3244" t="str">
        <f>"142141804"</f>
        <v>142141804</v>
      </c>
      <c r="AC3244" t="s">
        <v>119</v>
      </c>
      <c r="AD3244" t="s">
        <v>113</v>
      </c>
      <c r="AE3244" t="s">
        <v>306</v>
      </c>
      <c r="AG3244" t="s">
        <v>121</v>
      </c>
    </row>
    <row r="3245" spans="1:33" x14ac:dyDescent="0.25">
      <c r="A3245" t="str">
        <f>"1235380619"</f>
        <v>1235380619</v>
      </c>
      <c r="B3245" t="str">
        <f>"03174325"</f>
        <v>03174325</v>
      </c>
      <c r="C3245" t="s">
        <v>18347</v>
      </c>
      <c r="D3245" t="s">
        <v>18348</v>
      </c>
      <c r="E3245" t="s">
        <v>18349</v>
      </c>
      <c r="G3245" t="s">
        <v>18350</v>
      </c>
      <c r="H3245" t="s">
        <v>18351</v>
      </c>
      <c r="J3245" t="s">
        <v>18352</v>
      </c>
      <c r="L3245" t="s">
        <v>112</v>
      </c>
      <c r="M3245" t="s">
        <v>113</v>
      </c>
      <c r="R3245" t="s">
        <v>18349</v>
      </c>
      <c r="W3245" t="s">
        <v>18353</v>
      </c>
      <c r="X3245" t="s">
        <v>838</v>
      </c>
      <c r="Y3245" t="s">
        <v>240</v>
      </c>
      <c r="Z3245" t="s">
        <v>117</v>
      </c>
      <c r="AA3245" t="str">
        <f>"14221-3647"</f>
        <v>14221-3647</v>
      </c>
      <c r="AB3245" t="s">
        <v>118</v>
      </c>
      <c r="AC3245" t="s">
        <v>119</v>
      </c>
      <c r="AD3245" t="s">
        <v>113</v>
      </c>
      <c r="AE3245" t="s">
        <v>120</v>
      </c>
      <c r="AG3245" t="s">
        <v>121</v>
      </c>
    </row>
    <row r="3246" spans="1:33" x14ac:dyDescent="0.25">
      <c r="A3246" t="str">
        <f>"1235385782"</f>
        <v>1235385782</v>
      </c>
      <c r="B3246" t="str">
        <f>"03015056"</f>
        <v>03015056</v>
      </c>
      <c r="C3246" t="s">
        <v>18354</v>
      </c>
      <c r="D3246" t="s">
        <v>18355</v>
      </c>
      <c r="E3246" t="s">
        <v>18356</v>
      </c>
      <c r="G3246" t="s">
        <v>18354</v>
      </c>
      <c r="H3246" t="s">
        <v>4132</v>
      </c>
      <c r="J3246" t="s">
        <v>18357</v>
      </c>
      <c r="L3246" t="s">
        <v>142</v>
      </c>
      <c r="M3246" t="s">
        <v>199</v>
      </c>
      <c r="R3246" t="s">
        <v>18358</v>
      </c>
      <c r="W3246" t="s">
        <v>18356</v>
      </c>
      <c r="X3246" t="s">
        <v>216</v>
      </c>
      <c r="Y3246" t="s">
        <v>116</v>
      </c>
      <c r="Z3246" t="s">
        <v>117</v>
      </c>
      <c r="AA3246" t="str">
        <f>"14222-2006"</f>
        <v>14222-2006</v>
      </c>
      <c r="AB3246" t="s">
        <v>118</v>
      </c>
      <c r="AC3246" t="s">
        <v>119</v>
      </c>
      <c r="AD3246" t="s">
        <v>113</v>
      </c>
      <c r="AE3246" t="s">
        <v>120</v>
      </c>
      <c r="AG3246" t="s">
        <v>121</v>
      </c>
    </row>
    <row r="3247" spans="1:33" x14ac:dyDescent="0.25">
      <c r="A3247" t="str">
        <f>"1235391244"</f>
        <v>1235391244</v>
      </c>
      <c r="B3247" t="str">
        <f>"03328594"</f>
        <v>03328594</v>
      </c>
      <c r="C3247" t="s">
        <v>18359</v>
      </c>
      <c r="D3247" t="s">
        <v>18360</v>
      </c>
      <c r="E3247" t="s">
        <v>18361</v>
      </c>
      <c r="G3247" t="s">
        <v>18362</v>
      </c>
      <c r="H3247" t="s">
        <v>9222</v>
      </c>
      <c r="J3247" t="s">
        <v>18363</v>
      </c>
      <c r="L3247" t="s">
        <v>142</v>
      </c>
      <c r="M3247" t="s">
        <v>113</v>
      </c>
      <c r="R3247" t="s">
        <v>18364</v>
      </c>
      <c r="W3247" t="s">
        <v>18361</v>
      </c>
      <c r="X3247" t="s">
        <v>8630</v>
      </c>
      <c r="Y3247" t="s">
        <v>18365</v>
      </c>
      <c r="Z3247" t="s">
        <v>117</v>
      </c>
      <c r="AA3247" t="str">
        <f>"14132-9224"</f>
        <v>14132-9224</v>
      </c>
      <c r="AB3247" t="s">
        <v>118</v>
      </c>
      <c r="AC3247" t="s">
        <v>119</v>
      </c>
      <c r="AD3247" t="s">
        <v>113</v>
      </c>
      <c r="AE3247" t="s">
        <v>120</v>
      </c>
      <c r="AG3247" t="s">
        <v>121</v>
      </c>
    </row>
    <row r="3248" spans="1:33" x14ac:dyDescent="0.25">
      <c r="A3248" t="str">
        <f>"1235391525"</f>
        <v>1235391525</v>
      </c>
      <c r="B3248" t="str">
        <f>"03015565"</f>
        <v>03015565</v>
      </c>
      <c r="C3248" t="s">
        <v>18366</v>
      </c>
      <c r="D3248" t="s">
        <v>18367</v>
      </c>
      <c r="E3248" t="s">
        <v>18368</v>
      </c>
      <c r="G3248" t="s">
        <v>18369</v>
      </c>
      <c r="H3248" t="s">
        <v>18370</v>
      </c>
      <c r="L3248" t="s">
        <v>112</v>
      </c>
      <c r="M3248" t="s">
        <v>113</v>
      </c>
      <c r="R3248" t="s">
        <v>18369</v>
      </c>
      <c r="W3248" t="s">
        <v>18371</v>
      </c>
      <c r="X3248" t="s">
        <v>152</v>
      </c>
      <c r="Y3248" t="s">
        <v>153</v>
      </c>
      <c r="Z3248" t="s">
        <v>117</v>
      </c>
      <c r="AA3248" t="str">
        <f>"14301-1813"</f>
        <v>14301-1813</v>
      </c>
      <c r="AB3248" t="s">
        <v>118</v>
      </c>
      <c r="AC3248" t="s">
        <v>119</v>
      </c>
      <c r="AD3248" t="s">
        <v>113</v>
      </c>
      <c r="AE3248" t="s">
        <v>120</v>
      </c>
      <c r="AG3248" t="s">
        <v>121</v>
      </c>
    </row>
    <row r="3249" spans="1:33" x14ac:dyDescent="0.25">
      <c r="A3249" t="str">
        <f>"1235422643"</f>
        <v>1235422643</v>
      </c>
      <c r="B3249" t="str">
        <f>"03993991"</f>
        <v>03993991</v>
      </c>
      <c r="C3249" t="s">
        <v>18372</v>
      </c>
      <c r="D3249" t="s">
        <v>18373</v>
      </c>
      <c r="E3249" t="s">
        <v>18374</v>
      </c>
      <c r="G3249" t="s">
        <v>18375</v>
      </c>
      <c r="H3249" t="s">
        <v>18376</v>
      </c>
      <c r="J3249" t="s">
        <v>18377</v>
      </c>
      <c r="L3249" t="s">
        <v>142</v>
      </c>
      <c r="M3249" t="s">
        <v>113</v>
      </c>
      <c r="R3249" t="s">
        <v>18378</v>
      </c>
      <c r="W3249" t="s">
        <v>18374</v>
      </c>
      <c r="X3249" t="s">
        <v>176</v>
      </c>
      <c r="Y3249" t="s">
        <v>116</v>
      </c>
      <c r="Z3249" t="s">
        <v>117</v>
      </c>
      <c r="AA3249" t="str">
        <f>"14203-1126"</f>
        <v>14203-1126</v>
      </c>
      <c r="AB3249" t="s">
        <v>118</v>
      </c>
      <c r="AC3249" t="s">
        <v>119</v>
      </c>
      <c r="AD3249" t="s">
        <v>113</v>
      </c>
      <c r="AE3249" t="s">
        <v>120</v>
      </c>
      <c r="AG3249" t="s">
        <v>121</v>
      </c>
    </row>
    <row r="3250" spans="1:33" x14ac:dyDescent="0.25">
      <c r="A3250" t="str">
        <f>"1013227198"</f>
        <v>1013227198</v>
      </c>
      <c r="B3250" t="str">
        <f>"03942789"</f>
        <v>03942789</v>
      </c>
      <c r="C3250" t="s">
        <v>18379</v>
      </c>
      <c r="D3250" t="s">
        <v>18380</v>
      </c>
      <c r="E3250" t="s">
        <v>18381</v>
      </c>
      <c r="G3250" t="s">
        <v>18379</v>
      </c>
      <c r="H3250" t="s">
        <v>18382</v>
      </c>
      <c r="J3250" t="s">
        <v>18383</v>
      </c>
      <c r="L3250" t="s">
        <v>142</v>
      </c>
      <c r="M3250" t="s">
        <v>113</v>
      </c>
      <c r="R3250" t="s">
        <v>18384</v>
      </c>
      <c r="W3250" t="s">
        <v>18381</v>
      </c>
      <c r="X3250" t="s">
        <v>18385</v>
      </c>
      <c r="Y3250" t="s">
        <v>2762</v>
      </c>
      <c r="Z3250" t="s">
        <v>117</v>
      </c>
      <c r="AA3250" t="str">
        <f>"14621-3008"</f>
        <v>14621-3008</v>
      </c>
      <c r="AB3250" t="s">
        <v>118</v>
      </c>
      <c r="AC3250" t="s">
        <v>119</v>
      </c>
      <c r="AD3250" t="s">
        <v>113</v>
      </c>
      <c r="AE3250" t="s">
        <v>120</v>
      </c>
      <c r="AG3250" t="s">
        <v>121</v>
      </c>
    </row>
    <row r="3251" spans="1:33" x14ac:dyDescent="0.25">
      <c r="A3251" t="str">
        <f>"1013232263"</f>
        <v>1013232263</v>
      </c>
      <c r="C3251" t="s">
        <v>18386</v>
      </c>
      <c r="G3251" t="s">
        <v>18387</v>
      </c>
      <c r="H3251" t="s">
        <v>18388</v>
      </c>
      <c r="J3251" t="s">
        <v>18389</v>
      </c>
      <c r="K3251" t="s">
        <v>303</v>
      </c>
      <c r="L3251" t="s">
        <v>229</v>
      </c>
      <c r="M3251" t="s">
        <v>113</v>
      </c>
      <c r="R3251" t="s">
        <v>18390</v>
      </c>
      <c r="S3251" t="s">
        <v>18391</v>
      </c>
      <c r="T3251" t="s">
        <v>240</v>
      </c>
      <c r="U3251" t="s">
        <v>117</v>
      </c>
      <c r="V3251" t="str">
        <f>"142215734"</f>
        <v>142215734</v>
      </c>
      <c r="AC3251" t="s">
        <v>119</v>
      </c>
      <c r="AD3251" t="s">
        <v>113</v>
      </c>
      <c r="AE3251" t="s">
        <v>306</v>
      </c>
      <c r="AG3251" t="s">
        <v>121</v>
      </c>
    </row>
    <row r="3252" spans="1:33" x14ac:dyDescent="0.25">
      <c r="A3252" t="str">
        <f>"1013234590"</f>
        <v>1013234590</v>
      </c>
      <c r="B3252" t="str">
        <f>"03912585"</f>
        <v>03912585</v>
      </c>
      <c r="C3252" t="s">
        <v>18392</v>
      </c>
      <c r="D3252" t="s">
        <v>18393</v>
      </c>
      <c r="E3252" t="s">
        <v>18394</v>
      </c>
      <c r="G3252" t="s">
        <v>18395</v>
      </c>
      <c r="H3252" t="s">
        <v>18396</v>
      </c>
      <c r="J3252" t="s">
        <v>18397</v>
      </c>
      <c r="L3252" t="s">
        <v>142</v>
      </c>
      <c r="M3252" t="s">
        <v>113</v>
      </c>
      <c r="R3252" t="s">
        <v>18398</v>
      </c>
      <c r="W3252" t="s">
        <v>18394</v>
      </c>
      <c r="X3252" t="s">
        <v>18399</v>
      </c>
      <c r="Y3252" t="s">
        <v>145</v>
      </c>
      <c r="Z3252" t="s">
        <v>117</v>
      </c>
      <c r="AA3252" t="str">
        <f>"14051-2606"</f>
        <v>14051-2606</v>
      </c>
      <c r="AB3252" t="s">
        <v>118</v>
      </c>
      <c r="AC3252" t="s">
        <v>119</v>
      </c>
      <c r="AD3252" t="s">
        <v>113</v>
      </c>
      <c r="AE3252" t="s">
        <v>120</v>
      </c>
      <c r="AG3252" t="s">
        <v>121</v>
      </c>
    </row>
    <row r="3253" spans="1:33" x14ac:dyDescent="0.25">
      <c r="A3253" t="str">
        <f>"1013247154"</f>
        <v>1013247154</v>
      </c>
      <c r="B3253" t="str">
        <f>"03254780"</f>
        <v>03254780</v>
      </c>
      <c r="C3253" t="s">
        <v>18400</v>
      </c>
      <c r="D3253" t="s">
        <v>18401</v>
      </c>
      <c r="E3253" t="s">
        <v>18402</v>
      </c>
      <c r="G3253" t="s">
        <v>18403</v>
      </c>
      <c r="H3253" t="s">
        <v>1233</v>
      </c>
      <c r="J3253" t="s">
        <v>18404</v>
      </c>
      <c r="L3253" t="s">
        <v>112</v>
      </c>
      <c r="M3253" t="s">
        <v>113</v>
      </c>
      <c r="R3253" t="s">
        <v>18405</v>
      </c>
      <c r="W3253" t="s">
        <v>18402</v>
      </c>
      <c r="X3253" t="s">
        <v>136</v>
      </c>
      <c r="Y3253" t="s">
        <v>116</v>
      </c>
      <c r="Z3253" t="s">
        <v>117</v>
      </c>
      <c r="AA3253" t="str">
        <f>"14209-1120"</f>
        <v>14209-1120</v>
      </c>
      <c r="AB3253" t="s">
        <v>118</v>
      </c>
      <c r="AC3253" t="s">
        <v>119</v>
      </c>
      <c r="AD3253" t="s">
        <v>113</v>
      </c>
      <c r="AE3253" t="s">
        <v>120</v>
      </c>
      <c r="AG3253" t="s">
        <v>121</v>
      </c>
    </row>
    <row r="3254" spans="1:33" x14ac:dyDescent="0.25">
      <c r="A3254" t="str">
        <f>"1053475939"</f>
        <v>1053475939</v>
      </c>
      <c r="B3254" t="str">
        <f>"01731731"</f>
        <v>01731731</v>
      </c>
      <c r="C3254" t="s">
        <v>18406</v>
      </c>
      <c r="D3254" t="s">
        <v>18407</v>
      </c>
      <c r="E3254" t="s">
        <v>18408</v>
      </c>
      <c r="G3254" t="s">
        <v>18406</v>
      </c>
      <c r="H3254" t="s">
        <v>1227</v>
      </c>
      <c r="J3254" t="s">
        <v>18409</v>
      </c>
      <c r="L3254" t="s">
        <v>7480</v>
      </c>
      <c r="M3254" t="s">
        <v>113</v>
      </c>
      <c r="R3254" t="s">
        <v>18410</v>
      </c>
      <c r="W3254" t="s">
        <v>18408</v>
      </c>
      <c r="X3254" t="s">
        <v>18411</v>
      </c>
      <c r="Y3254" t="s">
        <v>116</v>
      </c>
      <c r="Z3254" t="s">
        <v>117</v>
      </c>
      <c r="AA3254" t="str">
        <f>"14051-0000"</f>
        <v>14051-0000</v>
      </c>
      <c r="AB3254" t="s">
        <v>118</v>
      </c>
      <c r="AC3254" t="s">
        <v>119</v>
      </c>
      <c r="AD3254" t="s">
        <v>113</v>
      </c>
      <c r="AE3254" t="s">
        <v>120</v>
      </c>
      <c r="AG3254" t="s">
        <v>121</v>
      </c>
    </row>
    <row r="3255" spans="1:33" x14ac:dyDescent="0.25">
      <c r="A3255" t="str">
        <f>"1053488247"</f>
        <v>1053488247</v>
      </c>
      <c r="B3255" t="str">
        <f>"02832268"</f>
        <v>02832268</v>
      </c>
      <c r="C3255" t="s">
        <v>18412</v>
      </c>
      <c r="D3255" t="s">
        <v>18413</v>
      </c>
      <c r="E3255" t="s">
        <v>18414</v>
      </c>
      <c r="G3255" t="s">
        <v>18412</v>
      </c>
      <c r="H3255" t="s">
        <v>8875</v>
      </c>
      <c r="J3255" t="s">
        <v>18415</v>
      </c>
      <c r="L3255" t="s">
        <v>142</v>
      </c>
      <c r="M3255" t="s">
        <v>113</v>
      </c>
      <c r="R3255" t="s">
        <v>18416</v>
      </c>
      <c r="W3255" t="s">
        <v>18414</v>
      </c>
      <c r="X3255" t="s">
        <v>5353</v>
      </c>
      <c r="Y3255" t="s">
        <v>240</v>
      </c>
      <c r="Z3255" t="s">
        <v>117</v>
      </c>
      <c r="AA3255" t="str">
        <f>"14221-5367"</f>
        <v>14221-5367</v>
      </c>
      <c r="AB3255" t="s">
        <v>118</v>
      </c>
      <c r="AC3255" t="s">
        <v>119</v>
      </c>
      <c r="AD3255" t="s">
        <v>113</v>
      </c>
      <c r="AE3255" t="s">
        <v>120</v>
      </c>
      <c r="AG3255" t="s">
        <v>121</v>
      </c>
    </row>
    <row r="3256" spans="1:33" x14ac:dyDescent="0.25">
      <c r="A3256" t="str">
        <f>"1053553149"</f>
        <v>1053553149</v>
      </c>
      <c r="B3256" t="str">
        <f>"03130572"</f>
        <v>03130572</v>
      </c>
      <c r="C3256" t="s">
        <v>18417</v>
      </c>
      <c r="D3256" t="s">
        <v>18418</v>
      </c>
      <c r="E3256" t="s">
        <v>18419</v>
      </c>
      <c r="G3256" t="s">
        <v>18417</v>
      </c>
      <c r="H3256" t="s">
        <v>579</v>
      </c>
      <c r="J3256" t="s">
        <v>18420</v>
      </c>
      <c r="L3256" t="s">
        <v>112</v>
      </c>
      <c r="M3256" t="s">
        <v>113</v>
      </c>
      <c r="R3256" t="s">
        <v>18419</v>
      </c>
      <c r="W3256" t="s">
        <v>18419</v>
      </c>
      <c r="X3256" t="s">
        <v>1304</v>
      </c>
      <c r="Y3256" t="s">
        <v>116</v>
      </c>
      <c r="Z3256" t="s">
        <v>117</v>
      </c>
      <c r="AA3256" t="str">
        <f>"14220-2039"</f>
        <v>14220-2039</v>
      </c>
      <c r="AB3256" t="s">
        <v>118</v>
      </c>
      <c r="AC3256" t="s">
        <v>119</v>
      </c>
      <c r="AD3256" t="s">
        <v>113</v>
      </c>
      <c r="AE3256" t="s">
        <v>120</v>
      </c>
      <c r="AG3256" t="s">
        <v>121</v>
      </c>
    </row>
    <row r="3257" spans="1:33" x14ac:dyDescent="0.25">
      <c r="A3257" t="str">
        <f>"1053556100"</f>
        <v>1053556100</v>
      </c>
      <c r="B3257" t="str">
        <f>"03183259"</f>
        <v>03183259</v>
      </c>
      <c r="C3257" t="s">
        <v>18421</v>
      </c>
      <c r="D3257" t="s">
        <v>6960</v>
      </c>
      <c r="E3257" t="s">
        <v>6961</v>
      </c>
      <c r="G3257" t="s">
        <v>18421</v>
      </c>
      <c r="H3257" t="s">
        <v>5112</v>
      </c>
      <c r="L3257" t="s">
        <v>1143</v>
      </c>
      <c r="M3257" t="s">
        <v>113</v>
      </c>
      <c r="R3257" t="s">
        <v>18421</v>
      </c>
      <c r="W3257" t="s">
        <v>18422</v>
      </c>
      <c r="X3257" t="s">
        <v>18423</v>
      </c>
      <c r="Y3257" t="s">
        <v>1628</v>
      </c>
      <c r="Z3257" t="s">
        <v>117</v>
      </c>
      <c r="AA3257" t="str">
        <f>"14411-9301"</f>
        <v>14411-9301</v>
      </c>
      <c r="AB3257" t="s">
        <v>1146</v>
      </c>
      <c r="AC3257" t="s">
        <v>119</v>
      </c>
      <c r="AD3257" t="s">
        <v>113</v>
      </c>
      <c r="AE3257" t="s">
        <v>120</v>
      </c>
      <c r="AG3257" t="s">
        <v>121</v>
      </c>
    </row>
    <row r="3258" spans="1:33" x14ac:dyDescent="0.25">
      <c r="A3258" t="str">
        <f>"1053561126"</f>
        <v>1053561126</v>
      </c>
      <c r="C3258" t="s">
        <v>18424</v>
      </c>
      <c r="G3258" t="s">
        <v>18425</v>
      </c>
      <c r="H3258" t="s">
        <v>18426</v>
      </c>
      <c r="J3258" t="s">
        <v>352</v>
      </c>
      <c r="K3258" t="s">
        <v>303</v>
      </c>
      <c r="L3258" t="s">
        <v>229</v>
      </c>
      <c r="M3258" t="s">
        <v>113</v>
      </c>
      <c r="R3258" t="s">
        <v>18427</v>
      </c>
      <c r="S3258" t="s">
        <v>18428</v>
      </c>
      <c r="T3258" t="s">
        <v>18429</v>
      </c>
      <c r="U3258" t="s">
        <v>7848</v>
      </c>
      <c r="V3258" t="str">
        <f>"958164161"</f>
        <v>958164161</v>
      </c>
      <c r="AC3258" t="s">
        <v>119</v>
      </c>
      <c r="AD3258" t="s">
        <v>113</v>
      </c>
      <c r="AE3258" t="s">
        <v>306</v>
      </c>
      <c r="AG3258" t="s">
        <v>121</v>
      </c>
    </row>
    <row r="3259" spans="1:33" x14ac:dyDescent="0.25">
      <c r="A3259" t="str">
        <f>"1093960023"</f>
        <v>1093960023</v>
      </c>
      <c r="B3259" t="str">
        <f>"03216740"</f>
        <v>03216740</v>
      </c>
      <c r="C3259" t="s">
        <v>18430</v>
      </c>
      <c r="D3259" t="s">
        <v>18431</v>
      </c>
      <c r="E3259" t="s">
        <v>18432</v>
      </c>
      <c r="G3259" t="s">
        <v>18430</v>
      </c>
      <c r="H3259" t="s">
        <v>18433</v>
      </c>
      <c r="J3259" t="s">
        <v>18434</v>
      </c>
      <c r="L3259" t="s">
        <v>142</v>
      </c>
      <c r="M3259" t="s">
        <v>113</v>
      </c>
      <c r="R3259" t="s">
        <v>18435</v>
      </c>
      <c r="W3259" t="s">
        <v>18432</v>
      </c>
      <c r="X3259" t="s">
        <v>253</v>
      </c>
      <c r="Y3259" t="s">
        <v>116</v>
      </c>
      <c r="Z3259" t="s">
        <v>117</v>
      </c>
      <c r="AA3259" t="str">
        <f>"14215-3021"</f>
        <v>14215-3021</v>
      </c>
      <c r="AB3259" t="s">
        <v>118</v>
      </c>
      <c r="AC3259" t="s">
        <v>119</v>
      </c>
      <c r="AD3259" t="s">
        <v>113</v>
      </c>
      <c r="AE3259" t="s">
        <v>120</v>
      </c>
      <c r="AG3259" t="s">
        <v>121</v>
      </c>
    </row>
    <row r="3260" spans="1:33" x14ac:dyDescent="0.25">
      <c r="A3260" t="str">
        <f>"1093969388"</f>
        <v>1093969388</v>
      </c>
      <c r="B3260" t="str">
        <f>"03855401"</f>
        <v>03855401</v>
      </c>
      <c r="C3260" t="s">
        <v>18436</v>
      </c>
      <c r="D3260" t="s">
        <v>18437</v>
      </c>
      <c r="E3260" t="s">
        <v>18438</v>
      </c>
      <c r="G3260" t="s">
        <v>18436</v>
      </c>
      <c r="H3260" t="s">
        <v>17930</v>
      </c>
      <c r="J3260" t="s">
        <v>18439</v>
      </c>
      <c r="L3260" t="s">
        <v>1033</v>
      </c>
      <c r="M3260" t="s">
        <v>113</v>
      </c>
      <c r="R3260" t="s">
        <v>18440</v>
      </c>
      <c r="W3260" t="s">
        <v>18438</v>
      </c>
      <c r="X3260" t="s">
        <v>18441</v>
      </c>
      <c r="Y3260" t="s">
        <v>663</v>
      </c>
      <c r="Z3260" t="s">
        <v>117</v>
      </c>
      <c r="AA3260" t="str">
        <f>"14094-1854"</f>
        <v>14094-1854</v>
      </c>
      <c r="AB3260" t="s">
        <v>528</v>
      </c>
      <c r="AC3260" t="s">
        <v>119</v>
      </c>
      <c r="AD3260" t="s">
        <v>113</v>
      </c>
      <c r="AE3260" t="s">
        <v>120</v>
      </c>
      <c r="AG3260" t="s">
        <v>121</v>
      </c>
    </row>
    <row r="3261" spans="1:33" x14ac:dyDescent="0.25">
      <c r="A3261" t="str">
        <f>"1093970592"</f>
        <v>1093970592</v>
      </c>
      <c r="B3261" t="str">
        <f>"03232991"</f>
        <v>03232991</v>
      </c>
      <c r="C3261" t="s">
        <v>18442</v>
      </c>
      <c r="D3261" t="s">
        <v>18443</v>
      </c>
      <c r="E3261" t="s">
        <v>18444</v>
      </c>
      <c r="G3261" t="s">
        <v>18442</v>
      </c>
      <c r="H3261" t="s">
        <v>2057</v>
      </c>
      <c r="J3261" t="s">
        <v>18445</v>
      </c>
      <c r="L3261" t="s">
        <v>142</v>
      </c>
      <c r="M3261" t="s">
        <v>113</v>
      </c>
      <c r="R3261" t="s">
        <v>18446</v>
      </c>
      <c r="W3261" t="s">
        <v>18447</v>
      </c>
      <c r="X3261" t="s">
        <v>18448</v>
      </c>
      <c r="Y3261" t="s">
        <v>116</v>
      </c>
      <c r="Z3261" t="s">
        <v>117</v>
      </c>
      <c r="AA3261" t="str">
        <f>"14215-3021"</f>
        <v>14215-3021</v>
      </c>
      <c r="AB3261" t="s">
        <v>118</v>
      </c>
      <c r="AC3261" t="s">
        <v>119</v>
      </c>
      <c r="AD3261" t="s">
        <v>113</v>
      </c>
      <c r="AE3261" t="s">
        <v>120</v>
      </c>
      <c r="AG3261" t="s">
        <v>121</v>
      </c>
    </row>
    <row r="3262" spans="1:33" x14ac:dyDescent="0.25">
      <c r="A3262" t="str">
        <f>"1093973471"</f>
        <v>1093973471</v>
      </c>
      <c r="B3262" t="str">
        <f>"03135733"</f>
        <v>03135733</v>
      </c>
      <c r="C3262" t="s">
        <v>18449</v>
      </c>
      <c r="D3262" t="s">
        <v>18450</v>
      </c>
      <c r="E3262" t="s">
        <v>18451</v>
      </c>
      <c r="G3262" t="s">
        <v>18449</v>
      </c>
      <c r="H3262" t="s">
        <v>8043</v>
      </c>
      <c r="J3262" t="s">
        <v>18452</v>
      </c>
      <c r="L3262" t="s">
        <v>142</v>
      </c>
      <c r="M3262" t="s">
        <v>113</v>
      </c>
      <c r="R3262" t="s">
        <v>18453</v>
      </c>
      <c r="W3262" t="s">
        <v>18454</v>
      </c>
      <c r="X3262" t="s">
        <v>3887</v>
      </c>
      <c r="Y3262" t="s">
        <v>129</v>
      </c>
      <c r="Z3262" t="s">
        <v>117</v>
      </c>
      <c r="AA3262" t="str">
        <f>"14224-3444"</f>
        <v>14224-3444</v>
      </c>
      <c r="AB3262" t="s">
        <v>118</v>
      </c>
      <c r="AC3262" t="s">
        <v>119</v>
      </c>
      <c r="AD3262" t="s">
        <v>113</v>
      </c>
      <c r="AE3262" t="s">
        <v>120</v>
      </c>
      <c r="AG3262" t="s">
        <v>121</v>
      </c>
    </row>
    <row r="3263" spans="1:33" x14ac:dyDescent="0.25">
      <c r="A3263" t="str">
        <f>"1093977688"</f>
        <v>1093977688</v>
      </c>
      <c r="B3263" t="str">
        <f>"03508954"</f>
        <v>03508954</v>
      </c>
      <c r="C3263" t="s">
        <v>18455</v>
      </c>
      <c r="D3263" t="s">
        <v>18456</v>
      </c>
      <c r="E3263" t="s">
        <v>18457</v>
      </c>
      <c r="G3263" t="s">
        <v>18458</v>
      </c>
      <c r="H3263" t="s">
        <v>18459</v>
      </c>
      <c r="J3263" t="s">
        <v>18460</v>
      </c>
      <c r="L3263" t="s">
        <v>112</v>
      </c>
      <c r="M3263" t="s">
        <v>113</v>
      </c>
      <c r="R3263" t="s">
        <v>18461</v>
      </c>
      <c r="W3263" t="s">
        <v>18457</v>
      </c>
      <c r="X3263" t="s">
        <v>216</v>
      </c>
      <c r="Y3263" t="s">
        <v>116</v>
      </c>
      <c r="Z3263" t="s">
        <v>117</v>
      </c>
      <c r="AA3263" t="str">
        <f>"14222-2006"</f>
        <v>14222-2006</v>
      </c>
      <c r="AB3263" t="s">
        <v>118</v>
      </c>
      <c r="AC3263" t="s">
        <v>119</v>
      </c>
      <c r="AD3263" t="s">
        <v>113</v>
      </c>
      <c r="AE3263" t="s">
        <v>120</v>
      </c>
      <c r="AG3263" t="s">
        <v>121</v>
      </c>
    </row>
    <row r="3264" spans="1:33" x14ac:dyDescent="0.25">
      <c r="B3264" t="str">
        <f>"01997144"</f>
        <v>01997144</v>
      </c>
      <c r="C3264" t="s">
        <v>1550</v>
      </c>
      <c r="D3264" t="s">
        <v>1551</v>
      </c>
      <c r="E3264" t="s">
        <v>1552</v>
      </c>
      <c r="F3264">
        <v>166002556</v>
      </c>
      <c r="G3264" t="s">
        <v>1553</v>
      </c>
      <c r="H3264" t="s">
        <v>1554</v>
      </c>
      <c r="J3264" t="s">
        <v>1555</v>
      </c>
      <c r="L3264" t="s">
        <v>67</v>
      </c>
      <c r="M3264" t="s">
        <v>113</v>
      </c>
      <c r="W3264" t="s">
        <v>1552</v>
      </c>
      <c r="X3264" t="s">
        <v>1556</v>
      </c>
      <c r="Y3264" t="s">
        <v>1557</v>
      </c>
      <c r="Z3264" t="s">
        <v>117</v>
      </c>
      <c r="AA3264" t="str">
        <f>"14757"</f>
        <v>14757</v>
      </c>
      <c r="AB3264" t="s">
        <v>291</v>
      </c>
      <c r="AC3264" t="s">
        <v>119</v>
      </c>
      <c r="AD3264" t="s">
        <v>113</v>
      </c>
      <c r="AE3264" t="s">
        <v>120</v>
      </c>
      <c r="AG3264" t="s">
        <v>121</v>
      </c>
    </row>
    <row r="3265" spans="1:33" x14ac:dyDescent="0.25">
      <c r="B3265" t="str">
        <f>"03395053"</f>
        <v>03395053</v>
      </c>
      <c r="C3265" t="s">
        <v>18465</v>
      </c>
      <c r="D3265" t="s">
        <v>18466</v>
      </c>
      <c r="E3265" t="s">
        <v>18465</v>
      </c>
      <c r="F3265">
        <v>160769044</v>
      </c>
      <c r="H3265" t="s">
        <v>1596</v>
      </c>
      <c r="L3265" t="s">
        <v>229</v>
      </c>
      <c r="M3265" t="s">
        <v>199</v>
      </c>
      <c r="W3265" t="s">
        <v>18465</v>
      </c>
      <c r="X3265" t="s">
        <v>1620</v>
      </c>
      <c r="Y3265" t="s">
        <v>116</v>
      </c>
      <c r="Z3265" t="s">
        <v>117</v>
      </c>
      <c r="AA3265" t="str">
        <f>"14203-2233"</f>
        <v>14203-2233</v>
      </c>
      <c r="AB3265" t="s">
        <v>5427</v>
      </c>
      <c r="AC3265" t="s">
        <v>119</v>
      </c>
      <c r="AD3265" t="s">
        <v>113</v>
      </c>
      <c r="AE3265" t="s">
        <v>120</v>
      </c>
      <c r="AG3265" t="s">
        <v>121</v>
      </c>
    </row>
    <row r="3266" spans="1:33" x14ac:dyDescent="0.25">
      <c r="B3266" t="str">
        <f>"01997204"</f>
        <v>01997204</v>
      </c>
      <c r="C3266" t="s">
        <v>1558</v>
      </c>
      <c r="D3266" t="s">
        <v>1559</v>
      </c>
      <c r="E3266" t="s">
        <v>1558</v>
      </c>
      <c r="F3266">
        <v>161096096</v>
      </c>
      <c r="H3266" t="s">
        <v>1543</v>
      </c>
      <c r="L3266" t="s">
        <v>67</v>
      </c>
      <c r="M3266" t="s">
        <v>113</v>
      </c>
      <c r="W3266" t="s">
        <v>1560</v>
      </c>
      <c r="X3266" t="s">
        <v>1561</v>
      </c>
      <c r="Y3266" t="s">
        <v>1562</v>
      </c>
      <c r="Z3266" t="s">
        <v>117</v>
      </c>
      <c r="AA3266" t="str">
        <f>"14047-0266"</f>
        <v>14047-0266</v>
      </c>
      <c r="AB3266" t="s">
        <v>291</v>
      </c>
      <c r="AC3266" t="s">
        <v>119</v>
      </c>
      <c r="AD3266" t="s">
        <v>113</v>
      </c>
      <c r="AE3266" t="s">
        <v>120</v>
      </c>
      <c r="AG3266" t="s">
        <v>121</v>
      </c>
    </row>
    <row r="3267" spans="1:33" x14ac:dyDescent="0.25">
      <c r="A3267" t="str">
        <f>"1811143639"</f>
        <v>1811143639</v>
      </c>
      <c r="B3267" t="str">
        <f>"03112856"</f>
        <v>03112856</v>
      </c>
      <c r="C3267" t="s">
        <v>18470</v>
      </c>
      <c r="D3267" t="s">
        <v>18471</v>
      </c>
      <c r="E3267" t="s">
        <v>18472</v>
      </c>
      <c r="G3267" t="s">
        <v>18473</v>
      </c>
      <c r="H3267" t="s">
        <v>172</v>
      </c>
      <c r="J3267" t="s">
        <v>18474</v>
      </c>
      <c r="L3267" t="s">
        <v>150</v>
      </c>
      <c r="M3267" t="s">
        <v>113</v>
      </c>
      <c r="R3267" t="s">
        <v>18475</v>
      </c>
      <c r="W3267" t="s">
        <v>18476</v>
      </c>
      <c r="X3267" t="s">
        <v>18477</v>
      </c>
      <c r="Y3267" t="s">
        <v>326</v>
      </c>
      <c r="Z3267" t="s">
        <v>117</v>
      </c>
      <c r="AA3267" t="str">
        <f>"14127-1934"</f>
        <v>14127-1934</v>
      </c>
      <c r="AB3267" t="s">
        <v>118</v>
      </c>
      <c r="AC3267" t="s">
        <v>119</v>
      </c>
      <c r="AD3267" t="s">
        <v>113</v>
      </c>
      <c r="AE3267" t="s">
        <v>120</v>
      </c>
      <c r="AG3267" t="s">
        <v>121</v>
      </c>
    </row>
    <row r="3268" spans="1:33" x14ac:dyDescent="0.25">
      <c r="A3268" t="str">
        <f>"1811151160"</f>
        <v>1811151160</v>
      </c>
      <c r="B3268" t="str">
        <f>"03349108"</f>
        <v>03349108</v>
      </c>
      <c r="C3268" t="s">
        <v>18478</v>
      </c>
      <c r="D3268" t="s">
        <v>18479</v>
      </c>
      <c r="E3268" t="s">
        <v>18478</v>
      </c>
      <c r="L3268" t="s">
        <v>150</v>
      </c>
      <c r="M3268" t="s">
        <v>113</v>
      </c>
      <c r="R3268" t="s">
        <v>18478</v>
      </c>
      <c r="W3268" t="s">
        <v>18478</v>
      </c>
      <c r="X3268" t="s">
        <v>1098</v>
      </c>
      <c r="Y3268" t="s">
        <v>305</v>
      </c>
      <c r="Z3268" t="s">
        <v>117</v>
      </c>
      <c r="AA3268" t="str">
        <f>"14760-1513"</f>
        <v>14760-1513</v>
      </c>
      <c r="AB3268" t="s">
        <v>118</v>
      </c>
      <c r="AC3268" t="s">
        <v>119</v>
      </c>
      <c r="AD3268" t="s">
        <v>113</v>
      </c>
      <c r="AE3268" t="s">
        <v>120</v>
      </c>
      <c r="AG3268" t="s">
        <v>121</v>
      </c>
    </row>
    <row r="3269" spans="1:33" x14ac:dyDescent="0.25">
      <c r="A3269" t="str">
        <f>"1922279660"</f>
        <v>1922279660</v>
      </c>
      <c r="B3269" t="str">
        <f>"03941540"</f>
        <v>03941540</v>
      </c>
      <c r="C3269" t="s">
        <v>18480</v>
      </c>
      <c r="D3269" t="s">
        <v>18481</v>
      </c>
      <c r="E3269" t="s">
        <v>18482</v>
      </c>
      <c r="G3269" t="s">
        <v>18480</v>
      </c>
      <c r="H3269" t="s">
        <v>18483</v>
      </c>
      <c r="J3269" t="s">
        <v>18484</v>
      </c>
      <c r="L3269" t="s">
        <v>142</v>
      </c>
      <c r="M3269" t="s">
        <v>113</v>
      </c>
      <c r="R3269" t="s">
        <v>18485</v>
      </c>
      <c r="W3269" t="s">
        <v>18482</v>
      </c>
      <c r="X3269" t="s">
        <v>18486</v>
      </c>
      <c r="Y3269" t="s">
        <v>116</v>
      </c>
      <c r="Z3269" t="s">
        <v>117</v>
      </c>
      <c r="AA3269" t="str">
        <f>"14209-1861"</f>
        <v>14209-1861</v>
      </c>
      <c r="AB3269" t="s">
        <v>118</v>
      </c>
      <c r="AC3269" t="s">
        <v>119</v>
      </c>
      <c r="AD3269" t="s">
        <v>113</v>
      </c>
      <c r="AE3269" t="s">
        <v>120</v>
      </c>
      <c r="AG3269" t="s">
        <v>121</v>
      </c>
    </row>
    <row r="3270" spans="1:33" x14ac:dyDescent="0.25">
      <c r="A3270" t="str">
        <f>"1922306877"</f>
        <v>1922306877</v>
      </c>
      <c r="C3270" t="s">
        <v>18487</v>
      </c>
      <c r="G3270" t="s">
        <v>18487</v>
      </c>
      <c r="H3270" t="s">
        <v>590</v>
      </c>
      <c r="J3270" t="s">
        <v>18488</v>
      </c>
      <c r="K3270" t="s">
        <v>303</v>
      </c>
      <c r="L3270" t="s">
        <v>229</v>
      </c>
      <c r="M3270" t="s">
        <v>113</v>
      </c>
      <c r="R3270" t="s">
        <v>18489</v>
      </c>
      <c r="S3270" t="s">
        <v>3004</v>
      </c>
      <c r="T3270" t="s">
        <v>116</v>
      </c>
      <c r="U3270" t="s">
        <v>117</v>
      </c>
      <c r="V3270" t="str">
        <f>"142092111"</f>
        <v>142092111</v>
      </c>
      <c r="AC3270" t="s">
        <v>119</v>
      </c>
      <c r="AD3270" t="s">
        <v>113</v>
      </c>
      <c r="AE3270" t="s">
        <v>306</v>
      </c>
      <c r="AG3270" t="s">
        <v>121</v>
      </c>
    </row>
    <row r="3271" spans="1:33" x14ac:dyDescent="0.25">
      <c r="A3271" t="str">
        <f>"1922313113"</f>
        <v>1922313113</v>
      </c>
      <c r="B3271" t="str">
        <f>"03920110"</f>
        <v>03920110</v>
      </c>
      <c r="C3271" t="s">
        <v>18490</v>
      </c>
      <c r="D3271" t="s">
        <v>18491</v>
      </c>
      <c r="E3271" t="s">
        <v>18492</v>
      </c>
      <c r="G3271" t="s">
        <v>18490</v>
      </c>
      <c r="H3271" t="s">
        <v>18493</v>
      </c>
      <c r="J3271" t="s">
        <v>18494</v>
      </c>
      <c r="L3271" t="s">
        <v>1033</v>
      </c>
      <c r="M3271" t="s">
        <v>113</v>
      </c>
      <c r="R3271" t="s">
        <v>18495</v>
      </c>
      <c r="W3271" t="s">
        <v>18492</v>
      </c>
      <c r="X3271" t="s">
        <v>176</v>
      </c>
      <c r="Y3271" t="s">
        <v>116</v>
      </c>
      <c r="Z3271" t="s">
        <v>117</v>
      </c>
      <c r="AA3271" t="str">
        <f>"14203-1126"</f>
        <v>14203-1126</v>
      </c>
      <c r="AB3271" t="s">
        <v>118</v>
      </c>
      <c r="AC3271" t="s">
        <v>119</v>
      </c>
      <c r="AD3271" t="s">
        <v>113</v>
      </c>
      <c r="AE3271" t="s">
        <v>120</v>
      </c>
      <c r="AG3271" t="s">
        <v>121</v>
      </c>
    </row>
    <row r="3272" spans="1:33" x14ac:dyDescent="0.25">
      <c r="A3272" t="str">
        <f>"1881027845"</f>
        <v>1881027845</v>
      </c>
      <c r="B3272" t="str">
        <f>"03690622"</f>
        <v>03690622</v>
      </c>
      <c r="C3272" t="s">
        <v>18496</v>
      </c>
      <c r="D3272" t="s">
        <v>18497</v>
      </c>
      <c r="E3272" t="s">
        <v>18498</v>
      </c>
      <c r="G3272" t="s">
        <v>18496</v>
      </c>
      <c r="H3272" t="s">
        <v>1006</v>
      </c>
      <c r="J3272" t="s">
        <v>18499</v>
      </c>
      <c r="L3272" t="s">
        <v>112</v>
      </c>
      <c r="M3272" t="s">
        <v>113</v>
      </c>
      <c r="R3272" t="s">
        <v>18500</v>
      </c>
      <c r="W3272" t="s">
        <v>18498</v>
      </c>
      <c r="X3272" t="s">
        <v>6558</v>
      </c>
      <c r="Y3272" t="s">
        <v>153</v>
      </c>
      <c r="Z3272" t="s">
        <v>117</v>
      </c>
      <c r="AA3272" t="str">
        <f>"14304-2875"</f>
        <v>14304-2875</v>
      </c>
      <c r="AB3272" t="s">
        <v>118</v>
      </c>
      <c r="AC3272" t="s">
        <v>119</v>
      </c>
      <c r="AD3272" t="s">
        <v>113</v>
      </c>
      <c r="AE3272" t="s">
        <v>120</v>
      </c>
      <c r="AG3272" t="s">
        <v>121</v>
      </c>
    </row>
    <row r="3273" spans="1:33" x14ac:dyDescent="0.25">
      <c r="A3273" t="str">
        <f>"1881038743"</f>
        <v>1881038743</v>
      </c>
      <c r="C3273" t="s">
        <v>7433</v>
      </c>
      <c r="G3273" t="s">
        <v>1077</v>
      </c>
      <c r="H3273" t="s">
        <v>1078</v>
      </c>
      <c r="J3273" t="s">
        <v>1079</v>
      </c>
      <c r="K3273" t="s">
        <v>303</v>
      </c>
      <c r="L3273" t="s">
        <v>229</v>
      </c>
      <c r="M3273" t="s">
        <v>113</v>
      </c>
      <c r="R3273" t="s">
        <v>7433</v>
      </c>
      <c r="S3273" t="s">
        <v>18501</v>
      </c>
      <c r="T3273" t="s">
        <v>116</v>
      </c>
      <c r="U3273" t="s">
        <v>117</v>
      </c>
      <c r="V3273" t="str">
        <f>"142630001"</f>
        <v>142630001</v>
      </c>
      <c r="AC3273" t="s">
        <v>119</v>
      </c>
      <c r="AD3273" t="s">
        <v>113</v>
      </c>
      <c r="AE3273" t="s">
        <v>306</v>
      </c>
      <c r="AG3273" t="s">
        <v>121</v>
      </c>
    </row>
    <row r="3274" spans="1:33" x14ac:dyDescent="0.25">
      <c r="A3274" t="str">
        <f>"1659368827"</f>
        <v>1659368827</v>
      </c>
      <c r="B3274" t="str">
        <f>"00688546"</f>
        <v>00688546</v>
      </c>
      <c r="C3274" t="s">
        <v>24714</v>
      </c>
      <c r="D3274" t="s">
        <v>24715</v>
      </c>
      <c r="E3274" t="s">
        <v>24716</v>
      </c>
      <c r="G3274" t="s">
        <v>24717</v>
      </c>
      <c r="H3274" t="s">
        <v>24718</v>
      </c>
      <c r="J3274" t="s">
        <v>24719</v>
      </c>
      <c r="L3274" t="s">
        <v>19</v>
      </c>
      <c r="M3274" t="s">
        <v>199</v>
      </c>
      <c r="R3274" t="s">
        <v>24720</v>
      </c>
      <c r="W3274" t="s">
        <v>24716</v>
      </c>
      <c r="X3274" t="s">
        <v>24721</v>
      </c>
      <c r="Y3274" t="s">
        <v>816</v>
      </c>
      <c r="Z3274" t="s">
        <v>117</v>
      </c>
      <c r="AA3274" t="str">
        <f>"14120-1508"</f>
        <v>14120-1508</v>
      </c>
      <c r="AB3274" t="s">
        <v>282</v>
      </c>
      <c r="AC3274" t="s">
        <v>119</v>
      </c>
      <c r="AD3274" t="s">
        <v>113</v>
      </c>
      <c r="AE3274" t="s">
        <v>120</v>
      </c>
      <c r="AG3274" t="s">
        <v>121</v>
      </c>
    </row>
    <row r="3275" spans="1:33" x14ac:dyDescent="0.25">
      <c r="A3275" t="str">
        <f>"1689708885"</f>
        <v>1689708885</v>
      </c>
      <c r="B3275" t="str">
        <f>"03002366"</f>
        <v>03002366</v>
      </c>
      <c r="C3275" t="s">
        <v>869</v>
      </c>
      <c r="D3275" t="s">
        <v>9569</v>
      </c>
      <c r="E3275" t="s">
        <v>9570</v>
      </c>
      <c r="H3275" t="s">
        <v>3488</v>
      </c>
      <c r="L3275" t="s">
        <v>8979</v>
      </c>
      <c r="M3275" t="s">
        <v>199</v>
      </c>
      <c r="R3275" t="s">
        <v>869</v>
      </c>
      <c r="W3275" t="s">
        <v>9570</v>
      </c>
      <c r="X3275" t="s">
        <v>9574</v>
      </c>
      <c r="Y3275" t="s">
        <v>116</v>
      </c>
      <c r="Z3275" t="s">
        <v>117</v>
      </c>
      <c r="AA3275" t="str">
        <f>"14222-2006"</f>
        <v>14222-2006</v>
      </c>
      <c r="AB3275" t="s">
        <v>979</v>
      </c>
      <c r="AC3275" t="s">
        <v>119</v>
      </c>
      <c r="AD3275" t="s">
        <v>113</v>
      </c>
      <c r="AE3275" t="s">
        <v>120</v>
      </c>
      <c r="AG3275" t="s">
        <v>121</v>
      </c>
    </row>
    <row r="3276" spans="1:33" x14ac:dyDescent="0.25">
      <c r="B3276" t="str">
        <f>"01998618"</f>
        <v>01998618</v>
      </c>
      <c r="C3276" t="s">
        <v>1563</v>
      </c>
      <c r="D3276" t="s">
        <v>1564</v>
      </c>
      <c r="E3276" t="s">
        <v>1563</v>
      </c>
      <c r="F3276">
        <v>160769044</v>
      </c>
      <c r="H3276" t="s">
        <v>1543</v>
      </c>
      <c r="L3276" t="s">
        <v>67</v>
      </c>
      <c r="M3276" t="s">
        <v>113</v>
      </c>
      <c r="W3276" t="s">
        <v>1565</v>
      </c>
      <c r="X3276" t="s">
        <v>1566</v>
      </c>
      <c r="Y3276" t="s">
        <v>116</v>
      </c>
      <c r="Z3276" t="s">
        <v>117</v>
      </c>
      <c r="AA3276" t="str">
        <f>"14214-2015"</f>
        <v>14214-2015</v>
      </c>
      <c r="AB3276" t="s">
        <v>291</v>
      </c>
      <c r="AC3276" t="s">
        <v>119</v>
      </c>
      <c r="AD3276" t="s">
        <v>113</v>
      </c>
      <c r="AE3276" t="s">
        <v>120</v>
      </c>
      <c r="AG3276" t="s">
        <v>121</v>
      </c>
    </row>
    <row r="3277" spans="1:33" x14ac:dyDescent="0.25">
      <c r="B3277" t="str">
        <f>"02002808"</f>
        <v>02002808</v>
      </c>
      <c r="C3277" t="s">
        <v>1570</v>
      </c>
      <c r="D3277" t="s">
        <v>1571</v>
      </c>
      <c r="E3277" t="s">
        <v>1570</v>
      </c>
      <c r="F3277">
        <v>161043710</v>
      </c>
      <c r="H3277" t="s">
        <v>1543</v>
      </c>
      <c r="L3277" t="s">
        <v>67</v>
      </c>
      <c r="M3277" t="s">
        <v>113</v>
      </c>
      <c r="W3277" t="s">
        <v>1570</v>
      </c>
      <c r="Y3277" t="s">
        <v>116</v>
      </c>
      <c r="Z3277" t="s">
        <v>117</v>
      </c>
      <c r="AA3277" t="str">
        <f>"14207-2877"</f>
        <v>14207-2877</v>
      </c>
      <c r="AB3277" t="s">
        <v>291</v>
      </c>
      <c r="AC3277" t="s">
        <v>119</v>
      </c>
      <c r="AD3277" t="s">
        <v>113</v>
      </c>
      <c r="AE3277" t="s">
        <v>120</v>
      </c>
      <c r="AG3277" t="s">
        <v>121</v>
      </c>
    </row>
    <row r="3278" spans="1:33" x14ac:dyDescent="0.25">
      <c r="B3278" t="str">
        <f>"02004075"</f>
        <v>02004075</v>
      </c>
      <c r="C3278" t="s">
        <v>24014</v>
      </c>
      <c r="D3278" t="s">
        <v>24015</v>
      </c>
      <c r="E3278" t="s">
        <v>24014</v>
      </c>
      <c r="F3278">
        <v>237150957</v>
      </c>
      <c r="G3278" t="s">
        <v>24016</v>
      </c>
      <c r="H3278" t="s">
        <v>24017</v>
      </c>
      <c r="I3278">
        <v>222</v>
      </c>
      <c r="J3278" t="s">
        <v>24018</v>
      </c>
      <c r="L3278" t="s">
        <v>67</v>
      </c>
      <c r="M3278" t="s">
        <v>113</v>
      </c>
      <c r="W3278" t="s">
        <v>24014</v>
      </c>
      <c r="X3278" t="s">
        <v>24019</v>
      </c>
      <c r="Y3278" t="s">
        <v>1628</v>
      </c>
      <c r="Z3278" t="s">
        <v>117</v>
      </c>
      <c r="AA3278" t="str">
        <f>"14411-1006"</f>
        <v>14411-1006</v>
      </c>
      <c r="AB3278" t="s">
        <v>291</v>
      </c>
      <c r="AC3278" t="s">
        <v>119</v>
      </c>
      <c r="AD3278" t="s">
        <v>113</v>
      </c>
      <c r="AE3278" t="s">
        <v>120</v>
      </c>
      <c r="AG3278" t="s">
        <v>121</v>
      </c>
    </row>
    <row r="3279" spans="1:33" x14ac:dyDescent="0.25">
      <c r="A3279" t="str">
        <f>"1609804954"</f>
        <v>1609804954</v>
      </c>
      <c r="B3279" t="str">
        <f>"00356001"</f>
        <v>00356001</v>
      </c>
      <c r="C3279" t="s">
        <v>5109</v>
      </c>
      <c r="D3279" t="s">
        <v>5110</v>
      </c>
      <c r="E3279" t="s">
        <v>5111</v>
      </c>
      <c r="G3279" t="s">
        <v>5109</v>
      </c>
      <c r="H3279" t="s">
        <v>5112</v>
      </c>
      <c r="L3279" t="s">
        <v>5113</v>
      </c>
      <c r="M3279" t="s">
        <v>113</v>
      </c>
      <c r="R3279" t="s">
        <v>5109</v>
      </c>
      <c r="W3279" t="s">
        <v>5111</v>
      </c>
      <c r="X3279" t="s">
        <v>5114</v>
      </c>
      <c r="Y3279" t="s">
        <v>1628</v>
      </c>
      <c r="Z3279" t="s">
        <v>117</v>
      </c>
      <c r="AA3279" t="str">
        <f>"14411-9301"</f>
        <v>14411-9301</v>
      </c>
      <c r="AB3279" t="s">
        <v>291</v>
      </c>
      <c r="AC3279" t="s">
        <v>119</v>
      </c>
      <c r="AD3279" t="s">
        <v>113</v>
      </c>
      <c r="AE3279" t="s">
        <v>120</v>
      </c>
      <c r="AG3279" t="s">
        <v>121</v>
      </c>
    </row>
    <row r="3280" spans="1:33" x14ac:dyDescent="0.25">
      <c r="A3280" t="str">
        <f>"1912109562"</f>
        <v>1912109562</v>
      </c>
      <c r="B3280" t="str">
        <f>"03002119"</f>
        <v>03002119</v>
      </c>
      <c r="C3280" t="s">
        <v>21117</v>
      </c>
      <c r="D3280" t="s">
        <v>5110</v>
      </c>
      <c r="E3280" t="s">
        <v>5111</v>
      </c>
      <c r="H3280" t="s">
        <v>6962</v>
      </c>
      <c r="L3280" t="s">
        <v>5113</v>
      </c>
      <c r="M3280" t="s">
        <v>113</v>
      </c>
      <c r="R3280" t="s">
        <v>21117</v>
      </c>
      <c r="W3280" t="s">
        <v>5111</v>
      </c>
      <c r="X3280" t="s">
        <v>5114</v>
      </c>
      <c r="Y3280" t="s">
        <v>1628</v>
      </c>
      <c r="Z3280" t="s">
        <v>117</v>
      </c>
      <c r="AA3280" t="str">
        <f>"14411-9301"</f>
        <v>14411-9301</v>
      </c>
      <c r="AB3280" t="s">
        <v>291</v>
      </c>
      <c r="AC3280" t="s">
        <v>119</v>
      </c>
      <c r="AD3280" t="s">
        <v>113</v>
      </c>
      <c r="AE3280" t="s">
        <v>120</v>
      </c>
      <c r="AG3280" t="s">
        <v>121</v>
      </c>
    </row>
    <row r="3281" spans="1:33" x14ac:dyDescent="0.25">
      <c r="B3281" t="str">
        <f>"02170556"</f>
        <v>02170556</v>
      </c>
      <c r="C3281" t="s">
        <v>1626</v>
      </c>
      <c r="D3281" t="s">
        <v>1627</v>
      </c>
      <c r="E3281" t="s">
        <v>1626</v>
      </c>
      <c r="L3281" t="s">
        <v>69</v>
      </c>
      <c r="M3281" t="s">
        <v>113</v>
      </c>
      <c r="W3281" t="s">
        <v>1626</v>
      </c>
      <c r="X3281" t="s">
        <v>1616</v>
      </c>
      <c r="Y3281" t="s">
        <v>1628</v>
      </c>
      <c r="Z3281" t="s">
        <v>117</v>
      </c>
      <c r="AA3281" t="str">
        <f>"14411-1006"</f>
        <v>14411-1006</v>
      </c>
      <c r="AB3281" t="s">
        <v>291</v>
      </c>
      <c r="AC3281" t="s">
        <v>119</v>
      </c>
      <c r="AD3281" t="s">
        <v>113</v>
      </c>
      <c r="AE3281" t="s">
        <v>120</v>
      </c>
      <c r="AG3281" t="s">
        <v>121</v>
      </c>
    </row>
    <row r="3282" spans="1:33" x14ac:dyDescent="0.25">
      <c r="A3282" t="str">
        <f>"1700944998"</f>
        <v>1700944998</v>
      </c>
      <c r="B3282" t="str">
        <f>"01415654"</f>
        <v>01415654</v>
      </c>
      <c r="C3282" t="s">
        <v>8568</v>
      </c>
      <c r="D3282" t="s">
        <v>8569</v>
      </c>
      <c r="E3282" t="s">
        <v>8570</v>
      </c>
      <c r="H3282" t="s">
        <v>8571</v>
      </c>
      <c r="L3282" t="s">
        <v>69</v>
      </c>
      <c r="M3282" t="s">
        <v>199</v>
      </c>
      <c r="R3282" t="s">
        <v>8568</v>
      </c>
      <c r="W3282" t="s">
        <v>8570</v>
      </c>
      <c r="X3282" t="s">
        <v>1584</v>
      </c>
      <c r="Y3282" t="s">
        <v>240</v>
      </c>
      <c r="Z3282" t="s">
        <v>117</v>
      </c>
      <c r="AA3282" t="str">
        <f>"14221-3230"</f>
        <v>14221-3230</v>
      </c>
      <c r="AB3282" t="s">
        <v>291</v>
      </c>
      <c r="AC3282" t="s">
        <v>119</v>
      </c>
      <c r="AD3282" t="s">
        <v>113</v>
      </c>
      <c r="AE3282" t="s">
        <v>120</v>
      </c>
      <c r="AG3282" t="s">
        <v>121</v>
      </c>
    </row>
    <row r="3283" spans="1:33" x14ac:dyDescent="0.25">
      <c r="B3283" t="str">
        <f>"02725111"</f>
        <v>02725111</v>
      </c>
      <c r="C3283" t="s">
        <v>11689</v>
      </c>
      <c r="D3283" t="s">
        <v>11690</v>
      </c>
      <c r="E3283" t="s">
        <v>11691</v>
      </c>
      <c r="F3283">
        <v>202017098</v>
      </c>
      <c r="H3283" t="s">
        <v>1543</v>
      </c>
      <c r="L3283" t="s">
        <v>67</v>
      </c>
      <c r="M3283" t="s">
        <v>113</v>
      </c>
      <c r="W3283" t="s">
        <v>11692</v>
      </c>
      <c r="X3283" t="s">
        <v>11693</v>
      </c>
      <c r="Y3283" t="s">
        <v>11694</v>
      </c>
      <c r="Z3283" t="s">
        <v>117</v>
      </c>
      <c r="AA3283" t="str">
        <f>"14231-9033"</f>
        <v>14231-9033</v>
      </c>
      <c r="AB3283" t="s">
        <v>291</v>
      </c>
      <c r="AC3283" t="s">
        <v>119</v>
      </c>
      <c r="AD3283" t="s">
        <v>113</v>
      </c>
      <c r="AE3283" t="s">
        <v>120</v>
      </c>
      <c r="AG3283" t="s">
        <v>121</v>
      </c>
    </row>
    <row r="3284" spans="1:33" x14ac:dyDescent="0.25">
      <c r="B3284" t="str">
        <f>"02004593"</f>
        <v>02004593</v>
      </c>
      <c r="C3284" t="s">
        <v>1576</v>
      </c>
      <c r="D3284" t="s">
        <v>1577</v>
      </c>
      <c r="E3284" t="s">
        <v>1578</v>
      </c>
      <c r="F3284">
        <v>160975538</v>
      </c>
      <c r="H3284" t="s">
        <v>1543</v>
      </c>
      <c r="L3284" t="s">
        <v>67</v>
      </c>
      <c r="M3284" t="s">
        <v>113</v>
      </c>
      <c r="W3284" t="s">
        <v>1578</v>
      </c>
      <c r="X3284" t="s">
        <v>1579</v>
      </c>
      <c r="Y3284" t="s">
        <v>240</v>
      </c>
      <c r="Z3284" t="s">
        <v>117</v>
      </c>
      <c r="AA3284" t="str">
        <f>"14231-9033"</f>
        <v>14231-9033</v>
      </c>
      <c r="AB3284" t="s">
        <v>291</v>
      </c>
      <c r="AC3284" t="s">
        <v>119</v>
      </c>
      <c r="AD3284" t="s">
        <v>113</v>
      </c>
      <c r="AE3284" t="s">
        <v>120</v>
      </c>
      <c r="AG3284" t="s">
        <v>121</v>
      </c>
    </row>
    <row r="3285" spans="1:33" x14ac:dyDescent="0.25">
      <c r="B3285" t="str">
        <f>"02248479"</f>
        <v>02248479</v>
      </c>
      <c r="C3285" t="s">
        <v>15519</v>
      </c>
      <c r="D3285" t="s">
        <v>15520</v>
      </c>
      <c r="E3285" t="s">
        <v>15519</v>
      </c>
      <c r="F3285">
        <v>160975538</v>
      </c>
      <c r="H3285" t="s">
        <v>1600</v>
      </c>
      <c r="L3285" t="s">
        <v>69</v>
      </c>
      <c r="M3285" t="s">
        <v>199</v>
      </c>
      <c r="W3285" t="s">
        <v>15519</v>
      </c>
      <c r="X3285" t="s">
        <v>11658</v>
      </c>
      <c r="Y3285" t="s">
        <v>240</v>
      </c>
      <c r="Z3285" t="s">
        <v>117</v>
      </c>
      <c r="AA3285" t="str">
        <f>"14221-3230"</f>
        <v>14221-3230</v>
      </c>
      <c r="AB3285" t="s">
        <v>291</v>
      </c>
      <c r="AC3285" t="s">
        <v>119</v>
      </c>
      <c r="AD3285" t="s">
        <v>113</v>
      </c>
      <c r="AE3285" t="s">
        <v>120</v>
      </c>
      <c r="AG3285" t="s">
        <v>121</v>
      </c>
    </row>
    <row r="3286" spans="1:33" x14ac:dyDescent="0.25">
      <c r="A3286" t="str">
        <f>"1922331115"</f>
        <v>1922331115</v>
      </c>
      <c r="B3286" t="str">
        <f>"03352467"</f>
        <v>03352467</v>
      </c>
      <c r="C3286" t="s">
        <v>18533</v>
      </c>
      <c r="D3286" t="s">
        <v>18534</v>
      </c>
      <c r="E3286" t="s">
        <v>18535</v>
      </c>
      <c r="G3286" t="s">
        <v>18533</v>
      </c>
      <c r="H3286" t="s">
        <v>18536</v>
      </c>
      <c r="J3286" t="s">
        <v>18537</v>
      </c>
      <c r="L3286" t="s">
        <v>112</v>
      </c>
      <c r="M3286" t="s">
        <v>113</v>
      </c>
      <c r="R3286" t="s">
        <v>18538</v>
      </c>
      <c r="W3286" t="s">
        <v>18535</v>
      </c>
      <c r="X3286" t="s">
        <v>176</v>
      </c>
      <c r="Y3286" t="s">
        <v>116</v>
      </c>
      <c r="Z3286" t="s">
        <v>117</v>
      </c>
      <c r="AA3286" t="str">
        <f>"14203-1126"</f>
        <v>14203-1126</v>
      </c>
      <c r="AB3286" t="s">
        <v>118</v>
      </c>
      <c r="AC3286" t="s">
        <v>119</v>
      </c>
      <c r="AD3286" t="s">
        <v>113</v>
      </c>
      <c r="AE3286" t="s">
        <v>120</v>
      </c>
      <c r="AG3286" t="s">
        <v>121</v>
      </c>
    </row>
    <row r="3287" spans="1:33" x14ac:dyDescent="0.25">
      <c r="A3287" t="str">
        <f>"1194857292"</f>
        <v>1194857292</v>
      </c>
      <c r="B3287" t="str">
        <f>"00356372"</f>
        <v>00356372</v>
      </c>
      <c r="C3287" t="s">
        <v>16948</v>
      </c>
      <c r="D3287" t="s">
        <v>16949</v>
      </c>
      <c r="E3287" t="s">
        <v>16950</v>
      </c>
      <c r="G3287" t="s">
        <v>16951</v>
      </c>
      <c r="H3287" t="s">
        <v>16952</v>
      </c>
      <c r="J3287" t="s">
        <v>16953</v>
      </c>
      <c r="L3287" t="s">
        <v>19</v>
      </c>
      <c r="M3287" t="s">
        <v>199</v>
      </c>
      <c r="R3287" t="s">
        <v>16948</v>
      </c>
      <c r="W3287" t="s">
        <v>16950</v>
      </c>
      <c r="X3287" t="s">
        <v>16954</v>
      </c>
      <c r="Y3287" t="s">
        <v>663</v>
      </c>
      <c r="Z3287" t="s">
        <v>117</v>
      </c>
      <c r="AA3287" t="str">
        <f>"14094-1500"</f>
        <v>14094-1500</v>
      </c>
      <c r="AB3287" t="s">
        <v>282</v>
      </c>
      <c r="AC3287" t="s">
        <v>119</v>
      </c>
      <c r="AD3287" t="s">
        <v>113</v>
      </c>
      <c r="AE3287" t="s">
        <v>120</v>
      </c>
      <c r="AG3287" t="s">
        <v>121</v>
      </c>
    </row>
    <row r="3288" spans="1:33" x14ac:dyDescent="0.25">
      <c r="A3288" t="str">
        <f>"1922400746"</f>
        <v>1922400746</v>
      </c>
      <c r="C3288" t="s">
        <v>18547</v>
      </c>
      <c r="G3288" t="s">
        <v>18548</v>
      </c>
      <c r="H3288" t="s">
        <v>590</v>
      </c>
      <c r="J3288" t="s">
        <v>18549</v>
      </c>
      <c r="K3288" t="s">
        <v>303</v>
      </c>
      <c r="L3288" t="s">
        <v>229</v>
      </c>
      <c r="M3288" t="s">
        <v>113</v>
      </c>
      <c r="R3288" t="s">
        <v>18550</v>
      </c>
      <c r="S3288" t="s">
        <v>18551</v>
      </c>
      <c r="T3288" t="s">
        <v>326</v>
      </c>
      <c r="U3288" t="s">
        <v>117</v>
      </c>
      <c r="V3288" t="str">
        <f>"14127"</f>
        <v>14127</v>
      </c>
      <c r="AC3288" t="s">
        <v>119</v>
      </c>
      <c r="AD3288" t="s">
        <v>113</v>
      </c>
      <c r="AE3288" t="s">
        <v>306</v>
      </c>
      <c r="AG3288" t="s">
        <v>121</v>
      </c>
    </row>
    <row r="3289" spans="1:33" x14ac:dyDescent="0.25">
      <c r="A3289" t="str">
        <f>"1922436559"</f>
        <v>1922436559</v>
      </c>
      <c r="B3289" t="str">
        <f>"04347137"</f>
        <v>04347137</v>
      </c>
      <c r="C3289" t="s">
        <v>18552</v>
      </c>
      <c r="D3289" t="s">
        <v>18553</v>
      </c>
      <c r="E3289" t="s">
        <v>18554</v>
      </c>
      <c r="G3289" t="s">
        <v>18552</v>
      </c>
      <c r="H3289" t="s">
        <v>18555</v>
      </c>
      <c r="J3289" t="s">
        <v>18556</v>
      </c>
      <c r="L3289" t="s">
        <v>112</v>
      </c>
      <c r="M3289" t="s">
        <v>113</v>
      </c>
      <c r="R3289" t="s">
        <v>18554</v>
      </c>
      <c r="W3289" t="s">
        <v>18557</v>
      </c>
      <c r="X3289" t="s">
        <v>176</v>
      </c>
      <c r="Y3289" t="s">
        <v>116</v>
      </c>
      <c r="Z3289" t="s">
        <v>117</v>
      </c>
      <c r="AA3289" t="str">
        <f>"14203-1126"</f>
        <v>14203-1126</v>
      </c>
      <c r="AB3289" t="s">
        <v>118</v>
      </c>
      <c r="AC3289" t="s">
        <v>119</v>
      </c>
      <c r="AD3289" t="s">
        <v>113</v>
      </c>
      <c r="AE3289" t="s">
        <v>120</v>
      </c>
      <c r="AG3289" t="s">
        <v>121</v>
      </c>
    </row>
    <row r="3290" spans="1:33" x14ac:dyDescent="0.25">
      <c r="A3290" t="str">
        <f>"1922446137"</f>
        <v>1922446137</v>
      </c>
      <c r="B3290" t="str">
        <f>"03760189"</f>
        <v>03760189</v>
      </c>
      <c r="C3290" t="s">
        <v>5109</v>
      </c>
      <c r="D3290" t="s">
        <v>6960</v>
      </c>
      <c r="E3290" t="s">
        <v>6961</v>
      </c>
      <c r="G3290" t="s">
        <v>18558</v>
      </c>
      <c r="H3290" t="s">
        <v>5112</v>
      </c>
      <c r="J3290" t="s">
        <v>18559</v>
      </c>
      <c r="L3290" t="s">
        <v>1143</v>
      </c>
      <c r="M3290" t="s">
        <v>113</v>
      </c>
      <c r="R3290" t="s">
        <v>5109</v>
      </c>
      <c r="W3290" t="s">
        <v>18560</v>
      </c>
      <c r="X3290" t="s">
        <v>18561</v>
      </c>
      <c r="Y3290" t="s">
        <v>1628</v>
      </c>
      <c r="Z3290" t="s">
        <v>117</v>
      </c>
      <c r="AA3290" t="str">
        <f>"14411-9301"</f>
        <v>14411-9301</v>
      </c>
      <c r="AB3290" t="s">
        <v>1146</v>
      </c>
      <c r="AC3290" t="s">
        <v>119</v>
      </c>
      <c r="AD3290" t="s">
        <v>113</v>
      </c>
      <c r="AE3290" t="s">
        <v>120</v>
      </c>
      <c r="AG3290" t="s">
        <v>121</v>
      </c>
    </row>
    <row r="3291" spans="1:33" x14ac:dyDescent="0.25">
      <c r="A3291" t="str">
        <f>"1932103769"</f>
        <v>1932103769</v>
      </c>
      <c r="B3291" t="str">
        <f>"02611892"</f>
        <v>02611892</v>
      </c>
      <c r="C3291" t="s">
        <v>18562</v>
      </c>
      <c r="D3291" t="s">
        <v>18563</v>
      </c>
      <c r="E3291" t="s">
        <v>18564</v>
      </c>
      <c r="G3291" t="s">
        <v>18565</v>
      </c>
      <c r="H3291" t="s">
        <v>18566</v>
      </c>
      <c r="L3291" t="s">
        <v>150</v>
      </c>
      <c r="M3291" t="s">
        <v>113</v>
      </c>
      <c r="R3291" t="s">
        <v>18565</v>
      </c>
      <c r="W3291" t="s">
        <v>18564</v>
      </c>
      <c r="X3291" t="s">
        <v>18567</v>
      </c>
      <c r="Y3291" t="s">
        <v>978</v>
      </c>
      <c r="Z3291" t="s">
        <v>117</v>
      </c>
      <c r="AA3291" t="str">
        <f>"14081-9707"</f>
        <v>14081-9707</v>
      </c>
      <c r="AB3291" t="s">
        <v>118</v>
      </c>
      <c r="AC3291" t="s">
        <v>119</v>
      </c>
      <c r="AD3291" t="s">
        <v>113</v>
      </c>
      <c r="AE3291" t="s">
        <v>120</v>
      </c>
      <c r="AG3291" t="s">
        <v>121</v>
      </c>
    </row>
    <row r="3292" spans="1:33" x14ac:dyDescent="0.25">
      <c r="A3292" t="str">
        <f>"1932108149"</f>
        <v>1932108149</v>
      </c>
      <c r="B3292" t="str">
        <f>"02521906"</f>
        <v>02521906</v>
      </c>
      <c r="C3292" t="s">
        <v>18568</v>
      </c>
      <c r="D3292" t="s">
        <v>18569</v>
      </c>
      <c r="E3292" t="s">
        <v>18570</v>
      </c>
      <c r="G3292" t="s">
        <v>4593</v>
      </c>
      <c r="H3292" t="s">
        <v>4594</v>
      </c>
      <c r="J3292" t="s">
        <v>4595</v>
      </c>
      <c r="L3292" t="s">
        <v>150</v>
      </c>
      <c r="M3292" t="s">
        <v>199</v>
      </c>
      <c r="R3292" t="s">
        <v>18571</v>
      </c>
      <c r="W3292" t="s">
        <v>18572</v>
      </c>
      <c r="Y3292" t="s">
        <v>305</v>
      </c>
      <c r="Z3292" t="s">
        <v>117</v>
      </c>
      <c r="AA3292" t="str">
        <f>"14760-1500"</f>
        <v>14760-1500</v>
      </c>
      <c r="AB3292" t="s">
        <v>118</v>
      </c>
      <c r="AC3292" t="s">
        <v>119</v>
      </c>
      <c r="AD3292" t="s">
        <v>113</v>
      </c>
      <c r="AE3292" t="s">
        <v>120</v>
      </c>
      <c r="AG3292" t="s">
        <v>121</v>
      </c>
    </row>
    <row r="3293" spans="1:33" x14ac:dyDescent="0.25">
      <c r="A3293" t="str">
        <f>"1932109253"</f>
        <v>1932109253</v>
      </c>
      <c r="B3293" t="str">
        <f>"01616022"</f>
        <v>01616022</v>
      </c>
      <c r="C3293" t="s">
        <v>18573</v>
      </c>
      <c r="D3293" t="s">
        <v>18574</v>
      </c>
      <c r="E3293" t="s">
        <v>18575</v>
      </c>
      <c r="H3293" t="s">
        <v>18576</v>
      </c>
      <c r="L3293" t="s">
        <v>142</v>
      </c>
      <c r="M3293" t="s">
        <v>113</v>
      </c>
      <c r="R3293" t="s">
        <v>18577</v>
      </c>
      <c r="W3293" t="s">
        <v>18575</v>
      </c>
      <c r="X3293" t="s">
        <v>18578</v>
      </c>
      <c r="Y3293" t="s">
        <v>318</v>
      </c>
      <c r="Z3293" t="s">
        <v>117</v>
      </c>
      <c r="AA3293" t="str">
        <f>"14225-1080"</f>
        <v>14225-1080</v>
      </c>
      <c r="AB3293" t="s">
        <v>118</v>
      </c>
      <c r="AC3293" t="s">
        <v>119</v>
      </c>
      <c r="AD3293" t="s">
        <v>113</v>
      </c>
      <c r="AE3293" t="s">
        <v>120</v>
      </c>
      <c r="AG3293" t="s">
        <v>121</v>
      </c>
    </row>
    <row r="3294" spans="1:33" x14ac:dyDescent="0.25">
      <c r="A3294" t="str">
        <f>"1265854921"</f>
        <v>1265854921</v>
      </c>
      <c r="B3294" t="str">
        <f>"03824917"</f>
        <v>03824917</v>
      </c>
      <c r="C3294" t="s">
        <v>18579</v>
      </c>
      <c r="D3294" t="s">
        <v>18580</v>
      </c>
      <c r="E3294" t="s">
        <v>18581</v>
      </c>
      <c r="G3294" t="s">
        <v>18582</v>
      </c>
      <c r="H3294" t="s">
        <v>18583</v>
      </c>
      <c r="J3294" t="s">
        <v>18584</v>
      </c>
      <c r="L3294" t="s">
        <v>112</v>
      </c>
      <c r="M3294" t="s">
        <v>113</v>
      </c>
      <c r="R3294" t="s">
        <v>18585</v>
      </c>
      <c r="W3294" t="s">
        <v>18581</v>
      </c>
      <c r="X3294" t="s">
        <v>16282</v>
      </c>
      <c r="Y3294" t="s">
        <v>116</v>
      </c>
      <c r="Z3294" t="s">
        <v>117</v>
      </c>
      <c r="AA3294" t="str">
        <f>"14209-2308"</f>
        <v>14209-2308</v>
      </c>
      <c r="AB3294" t="s">
        <v>634</v>
      </c>
      <c r="AC3294" t="s">
        <v>119</v>
      </c>
      <c r="AD3294" t="s">
        <v>113</v>
      </c>
      <c r="AE3294" t="s">
        <v>120</v>
      </c>
      <c r="AG3294" t="s">
        <v>121</v>
      </c>
    </row>
    <row r="3295" spans="1:33" x14ac:dyDescent="0.25">
      <c r="A3295" t="str">
        <f>"1548580475"</f>
        <v>1548580475</v>
      </c>
      <c r="C3295" t="s">
        <v>18586</v>
      </c>
      <c r="G3295" t="s">
        <v>18587</v>
      </c>
      <c r="H3295" t="s">
        <v>18588</v>
      </c>
      <c r="J3295" t="s">
        <v>18589</v>
      </c>
      <c r="K3295" t="s">
        <v>303</v>
      </c>
      <c r="L3295" t="s">
        <v>112</v>
      </c>
      <c r="M3295" t="s">
        <v>113</v>
      </c>
      <c r="R3295" t="s">
        <v>18590</v>
      </c>
      <c r="S3295" t="s">
        <v>18591</v>
      </c>
      <c r="T3295" t="s">
        <v>18592</v>
      </c>
      <c r="U3295" t="s">
        <v>18593</v>
      </c>
      <c r="V3295" t="str">
        <f>"303285382"</f>
        <v>303285382</v>
      </c>
      <c r="AC3295" t="s">
        <v>119</v>
      </c>
      <c r="AD3295" t="s">
        <v>113</v>
      </c>
      <c r="AE3295" t="s">
        <v>306</v>
      </c>
      <c r="AG3295" t="s">
        <v>121</v>
      </c>
    </row>
    <row r="3296" spans="1:33" x14ac:dyDescent="0.25">
      <c r="A3296" t="str">
        <f>"1740367945"</f>
        <v>1740367945</v>
      </c>
      <c r="B3296" t="str">
        <f>"03227630"</f>
        <v>03227630</v>
      </c>
      <c r="C3296" t="s">
        <v>18594</v>
      </c>
      <c r="D3296" t="s">
        <v>18595</v>
      </c>
      <c r="E3296" t="s">
        <v>18596</v>
      </c>
      <c r="G3296" t="s">
        <v>18587</v>
      </c>
      <c r="H3296" t="s">
        <v>18588</v>
      </c>
      <c r="J3296" t="s">
        <v>18589</v>
      </c>
      <c r="L3296" t="s">
        <v>1033</v>
      </c>
      <c r="M3296" t="s">
        <v>113</v>
      </c>
      <c r="R3296" t="s">
        <v>18597</v>
      </c>
      <c r="W3296" t="s">
        <v>18596</v>
      </c>
      <c r="X3296" t="s">
        <v>2405</v>
      </c>
      <c r="Y3296" t="s">
        <v>116</v>
      </c>
      <c r="Z3296" t="s">
        <v>117</v>
      </c>
      <c r="AA3296" t="str">
        <f>"14215-3021"</f>
        <v>14215-3021</v>
      </c>
      <c r="AB3296" t="s">
        <v>118</v>
      </c>
      <c r="AC3296" t="s">
        <v>119</v>
      </c>
      <c r="AD3296" t="s">
        <v>113</v>
      </c>
      <c r="AE3296" t="s">
        <v>120</v>
      </c>
      <c r="AG3296" t="s">
        <v>121</v>
      </c>
    </row>
    <row r="3297" spans="1:33" x14ac:dyDescent="0.25">
      <c r="A3297" t="str">
        <f>"1093895955"</f>
        <v>1093895955</v>
      </c>
      <c r="B3297" t="str">
        <f>"03015712"</f>
        <v>03015712</v>
      </c>
      <c r="C3297" t="s">
        <v>18598</v>
      </c>
      <c r="D3297" t="s">
        <v>18599</v>
      </c>
      <c r="E3297" t="s">
        <v>18600</v>
      </c>
      <c r="G3297" t="s">
        <v>18587</v>
      </c>
      <c r="H3297" t="s">
        <v>18588</v>
      </c>
      <c r="J3297" t="s">
        <v>18589</v>
      </c>
      <c r="L3297" t="s">
        <v>1033</v>
      </c>
      <c r="M3297" t="s">
        <v>113</v>
      </c>
      <c r="R3297" t="s">
        <v>18600</v>
      </c>
      <c r="W3297" t="s">
        <v>18601</v>
      </c>
      <c r="X3297" t="s">
        <v>253</v>
      </c>
      <c r="Y3297" t="s">
        <v>116</v>
      </c>
      <c r="Z3297" t="s">
        <v>117</v>
      </c>
      <c r="AA3297" t="str">
        <f>"14215-3021"</f>
        <v>14215-3021</v>
      </c>
      <c r="AB3297" t="s">
        <v>118</v>
      </c>
      <c r="AC3297" t="s">
        <v>119</v>
      </c>
      <c r="AD3297" t="s">
        <v>113</v>
      </c>
      <c r="AE3297" t="s">
        <v>120</v>
      </c>
      <c r="AG3297" t="s">
        <v>121</v>
      </c>
    </row>
    <row r="3298" spans="1:33" x14ac:dyDescent="0.25">
      <c r="A3298" t="str">
        <f>"1578590022"</f>
        <v>1578590022</v>
      </c>
      <c r="B3298" t="str">
        <f>"02757344"</f>
        <v>02757344</v>
      </c>
      <c r="C3298" t="s">
        <v>18602</v>
      </c>
      <c r="D3298" t="s">
        <v>18603</v>
      </c>
      <c r="E3298" t="s">
        <v>18604</v>
      </c>
      <c r="G3298" t="s">
        <v>18587</v>
      </c>
      <c r="H3298" t="s">
        <v>18588</v>
      </c>
      <c r="J3298" t="s">
        <v>18589</v>
      </c>
      <c r="L3298" t="s">
        <v>1033</v>
      </c>
      <c r="M3298" t="s">
        <v>113</v>
      </c>
      <c r="R3298" t="s">
        <v>18605</v>
      </c>
      <c r="W3298" t="s">
        <v>18604</v>
      </c>
      <c r="X3298" t="s">
        <v>253</v>
      </c>
      <c r="Y3298" t="s">
        <v>116</v>
      </c>
      <c r="Z3298" t="s">
        <v>117</v>
      </c>
      <c r="AA3298" t="str">
        <f>"14215-3021"</f>
        <v>14215-3021</v>
      </c>
      <c r="AB3298" t="s">
        <v>118</v>
      </c>
      <c r="AC3298" t="s">
        <v>119</v>
      </c>
      <c r="AD3298" t="s">
        <v>113</v>
      </c>
      <c r="AE3298" t="s">
        <v>120</v>
      </c>
      <c r="AG3298" t="s">
        <v>121</v>
      </c>
    </row>
    <row r="3299" spans="1:33" x14ac:dyDescent="0.25">
      <c r="A3299" t="str">
        <f>"1447272547"</f>
        <v>1447272547</v>
      </c>
      <c r="B3299" t="str">
        <f>"03132556"</f>
        <v>03132556</v>
      </c>
      <c r="C3299" t="s">
        <v>18606</v>
      </c>
      <c r="D3299" t="s">
        <v>18607</v>
      </c>
      <c r="E3299" t="s">
        <v>18608</v>
      </c>
      <c r="G3299" t="s">
        <v>18587</v>
      </c>
      <c r="H3299" t="s">
        <v>18588</v>
      </c>
      <c r="J3299" t="s">
        <v>18589</v>
      </c>
      <c r="L3299" t="s">
        <v>1033</v>
      </c>
      <c r="M3299" t="s">
        <v>113</v>
      </c>
      <c r="R3299" t="s">
        <v>18609</v>
      </c>
      <c r="W3299" t="s">
        <v>18610</v>
      </c>
      <c r="X3299" t="s">
        <v>2405</v>
      </c>
      <c r="Y3299" t="s">
        <v>116</v>
      </c>
      <c r="Z3299" t="s">
        <v>117</v>
      </c>
      <c r="AA3299" t="str">
        <f>"14215-3021"</f>
        <v>14215-3021</v>
      </c>
      <c r="AB3299" t="s">
        <v>118</v>
      </c>
      <c r="AC3299" t="s">
        <v>119</v>
      </c>
      <c r="AD3299" t="s">
        <v>113</v>
      </c>
      <c r="AE3299" t="s">
        <v>120</v>
      </c>
      <c r="AG3299" t="s">
        <v>121</v>
      </c>
    </row>
    <row r="3300" spans="1:33" x14ac:dyDescent="0.25">
      <c r="A3300" t="str">
        <f>"1003051368"</f>
        <v>1003051368</v>
      </c>
      <c r="B3300" t="str">
        <f>"03258317"</f>
        <v>03258317</v>
      </c>
      <c r="C3300" t="s">
        <v>18611</v>
      </c>
      <c r="D3300" t="s">
        <v>18612</v>
      </c>
      <c r="E3300" t="s">
        <v>18613</v>
      </c>
      <c r="G3300" t="s">
        <v>18587</v>
      </c>
      <c r="H3300" t="s">
        <v>18588</v>
      </c>
      <c r="J3300" t="s">
        <v>18589</v>
      </c>
      <c r="L3300" t="s">
        <v>112</v>
      </c>
      <c r="M3300" t="s">
        <v>113</v>
      </c>
      <c r="R3300" t="s">
        <v>18614</v>
      </c>
      <c r="W3300" t="s">
        <v>18613</v>
      </c>
      <c r="X3300" t="s">
        <v>253</v>
      </c>
      <c r="Y3300" t="s">
        <v>116</v>
      </c>
      <c r="Z3300" t="s">
        <v>117</v>
      </c>
      <c r="AA3300" t="str">
        <f>"14215-3021"</f>
        <v>14215-3021</v>
      </c>
      <c r="AB3300" t="s">
        <v>118</v>
      </c>
      <c r="AC3300" t="s">
        <v>119</v>
      </c>
      <c r="AD3300" t="s">
        <v>113</v>
      </c>
      <c r="AE3300" t="s">
        <v>120</v>
      </c>
      <c r="AG3300" t="s">
        <v>121</v>
      </c>
    </row>
    <row r="3301" spans="1:33" x14ac:dyDescent="0.25">
      <c r="A3301" t="str">
        <f>"1235289083"</f>
        <v>1235289083</v>
      </c>
      <c r="C3301" t="s">
        <v>18615</v>
      </c>
      <c r="G3301" t="s">
        <v>18587</v>
      </c>
      <c r="H3301" t="s">
        <v>18588</v>
      </c>
      <c r="J3301" t="s">
        <v>18589</v>
      </c>
      <c r="K3301" t="s">
        <v>303</v>
      </c>
      <c r="L3301" t="s">
        <v>229</v>
      </c>
      <c r="M3301" t="s">
        <v>113</v>
      </c>
      <c r="R3301" t="s">
        <v>18616</v>
      </c>
      <c r="S3301" t="s">
        <v>10404</v>
      </c>
      <c r="T3301" t="s">
        <v>153</v>
      </c>
      <c r="U3301" t="s">
        <v>117</v>
      </c>
      <c r="V3301" t="str">
        <f>"143011910"</f>
        <v>143011910</v>
      </c>
      <c r="AC3301" t="s">
        <v>119</v>
      </c>
      <c r="AD3301" t="s">
        <v>113</v>
      </c>
      <c r="AE3301" t="s">
        <v>306</v>
      </c>
      <c r="AG3301" t="s">
        <v>121</v>
      </c>
    </row>
    <row r="3302" spans="1:33" x14ac:dyDescent="0.25">
      <c r="A3302" t="str">
        <f>"1730333857"</f>
        <v>1730333857</v>
      </c>
      <c r="B3302" t="str">
        <f>"03469927"</f>
        <v>03469927</v>
      </c>
      <c r="C3302" t="s">
        <v>18617</v>
      </c>
      <c r="D3302" t="s">
        <v>18618</v>
      </c>
      <c r="E3302" t="s">
        <v>18619</v>
      </c>
      <c r="G3302" t="s">
        <v>18587</v>
      </c>
      <c r="H3302" t="s">
        <v>18588</v>
      </c>
      <c r="J3302" t="s">
        <v>18589</v>
      </c>
      <c r="L3302" t="s">
        <v>1033</v>
      </c>
      <c r="M3302" t="s">
        <v>113</v>
      </c>
      <c r="R3302" t="s">
        <v>18620</v>
      </c>
      <c r="W3302" t="s">
        <v>18619</v>
      </c>
      <c r="X3302" t="s">
        <v>253</v>
      </c>
      <c r="Y3302" t="s">
        <v>116</v>
      </c>
      <c r="Z3302" t="s">
        <v>117</v>
      </c>
      <c r="AA3302" t="str">
        <f>"14215-3021"</f>
        <v>14215-3021</v>
      </c>
      <c r="AB3302" t="s">
        <v>118</v>
      </c>
      <c r="AC3302" t="s">
        <v>119</v>
      </c>
      <c r="AD3302" t="s">
        <v>113</v>
      </c>
      <c r="AE3302" t="s">
        <v>120</v>
      </c>
      <c r="AG3302" t="s">
        <v>121</v>
      </c>
    </row>
    <row r="3303" spans="1:33" x14ac:dyDescent="0.25">
      <c r="A3303" t="str">
        <f>"1508832403"</f>
        <v>1508832403</v>
      </c>
      <c r="B3303" t="str">
        <f>"02138847"</f>
        <v>02138847</v>
      </c>
      <c r="C3303" t="s">
        <v>18621</v>
      </c>
      <c r="D3303" t="s">
        <v>18622</v>
      </c>
      <c r="E3303" t="s">
        <v>18623</v>
      </c>
      <c r="G3303" t="s">
        <v>18587</v>
      </c>
      <c r="H3303" t="s">
        <v>18588</v>
      </c>
      <c r="J3303" t="s">
        <v>18589</v>
      </c>
      <c r="L3303" t="s">
        <v>1033</v>
      </c>
      <c r="M3303" t="s">
        <v>113</v>
      </c>
      <c r="R3303" t="s">
        <v>18624</v>
      </c>
      <c r="W3303" t="s">
        <v>18623</v>
      </c>
      <c r="Y3303" t="s">
        <v>116</v>
      </c>
      <c r="Z3303" t="s">
        <v>117</v>
      </c>
      <c r="AA3303" t="str">
        <f>"14215-3098"</f>
        <v>14215-3098</v>
      </c>
      <c r="AB3303" t="s">
        <v>118</v>
      </c>
      <c r="AC3303" t="s">
        <v>119</v>
      </c>
      <c r="AD3303" t="s">
        <v>113</v>
      </c>
      <c r="AE3303" t="s">
        <v>120</v>
      </c>
      <c r="AG3303" t="s">
        <v>121</v>
      </c>
    </row>
    <row r="3304" spans="1:33" x14ac:dyDescent="0.25">
      <c r="A3304" t="str">
        <f>"1932343720"</f>
        <v>1932343720</v>
      </c>
      <c r="B3304" t="str">
        <f>"03228975"</f>
        <v>03228975</v>
      </c>
      <c r="C3304" t="s">
        <v>18625</v>
      </c>
      <c r="D3304" t="s">
        <v>18626</v>
      </c>
      <c r="E3304" t="s">
        <v>18627</v>
      </c>
      <c r="G3304" t="s">
        <v>18587</v>
      </c>
      <c r="H3304" t="s">
        <v>18588</v>
      </c>
      <c r="J3304" t="s">
        <v>18589</v>
      </c>
      <c r="L3304" t="s">
        <v>1033</v>
      </c>
      <c r="M3304" t="s">
        <v>113</v>
      </c>
      <c r="R3304" t="s">
        <v>18628</v>
      </c>
      <c r="W3304" t="s">
        <v>18627</v>
      </c>
      <c r="X3304" t="s">
        <v>253</v>
      </c>
      <c r="Y3304" t="s">
        <v>116</v>
      </c>
      <c r="Z3304" t="s">
        <v>117</v>
      </c>
      <c r="AA3304" t="str">
        <f>"14215-3021"</f>
        <v>14215-3021</v>
      </c>
      <c r="AB3304" t="s">
        <v>118</v>
      </c>
      <c r="AC3304" t="s">
        <v>119</v>
      </c>
      <c r="AD3304" t="s">
        <v>113</v>
      </c>
      <c r="AE3304" t="s">
        <v>120</v>
      </c>
      <c r="AG3304" t="s">
        <v>121</v>
      </c>
    </row>
    <row r="3305" spans="1:33" x14ac:dyDescent="0.25">
      <c r="A3305" t="str">
        <f>"1124182431"</f>
        <v>1124182431</v>
      </c>
      <c r="B3305" t="str">
        <f>"02690522"</f>
        <v>02690522</v>
      </c>
      <c r="C3305" t="s">
        <v>18629</v>
      </c>
      <c r="D3305" t="s">
        <v>18630</v>
      </c>
      <c r="E3305" t="s">
        <v>18631</v>
      </c>
      <c r="G3305" t="s">
        <v>18587</v>
      </c>
      <c r="H3305" t="s">
        <v>18588</v>
      </c>
      <c r="J3305" t="s">
        <v>18589</v>
      </c>
      <c r="L3305" t="s">
        <v>1033</v>
      </c>
      <c r="M3305" t="s">
        <v>113</v>
      </c>
      <c r="R3305" t="s">
        <v>18632</v>
      </c>
      <c r="W3305" t="s">
        <v>18631</v>
      </c>
      <c r="X3305" t="s">
        <v>253</v>
      </c>
      <c r="Y3305" t="s">
        <v>116</v>
      </c>
      <c r="Z3305" t="s">
        <v>117</v>
      </c>
      <c r="AA3305" t="str">
        <f>"14215-3021"</f>
        <v>14215-3021</v>
      </c>
      <c r="AB3305" t="s">
        <v>118</v>
      </c>
      <c r="AC3305" t="s">
        <v>119</v>
      </c>
      <c r="AD3305" t="s">
        <v>113</v>
      </c>
      <c r="AE3305" t="s">
        <v>120</v>
      </c>
      <c r="AG3305" t="s">
        <v>121</v>
      </c>
    </row>
    <row r="3306" spans="1:33" x14ac:dyDescent="0.25">
      <c r="A3306" t="str">
        <f>"1801102330"</f>
        <v>1801102330</v>
      </c>
      <c r="B3306" t="str">
        <f>"03884255"</f>
        <v>03884255</v>
      </c>
      <c r="C3306" t="s">
        <v>18633</v>
      </c>
      <c r="D3306" t="s">
        <v>18634</v>
      </c>
      <c r="E3306" t="s">
        <v>18635</v>
      </c>
      <c r="G3306" t="s">
        <v>18587</v>
      </c>
      <c r="H3306" t="s">
        <v>18588</v>
      </c>
      <c r="J3306" t="s">
        <v>18589</v>
      </c>
      <c r="L3306" t="s">
        <v>1033</v>
      </c>
      <c r="M3306" t="s">
        <v>113</v>
      </c>
      <c r="R3306" t="s">
        <v>18636</v>
      </c>
      <c r="W3306" t="s">
        <v>18635</v>
      </c>
      <c r="X3306" t="s">
        <v>2405</v>
      </c>
      <c r="Y3306" t="s">
        <v>116</v>
      </c>
      <c r="Z3306" t="s">
        <v>117</v>
      </c>
      <c r="AA3306" t="str">
        <f>"14215-3021"</f>
        <v>14215-3021</v>
      </c>
      <c r="AB3306" t="s">
        <v>118</v>
      </c>
      <c r="AC3306" t="s">
        <v>119</v>
      </c>
      <c r="AD3306" t="s">
        <v>113</v>
      </c>
      <c r="AE3306" t="s">
        <v>120</v>
      </c>
      <c r="AG3306" t="s">
        <v>121</v>
      </c>
    </row>
    <row r="3307" spans="1:33" x14ac:dyDescent="0.25">
      <c r="A3307" t="str">
        <f>"1659301026"</f>
        <v>1659301026</v>
      </c>
      <c r="B3307" t="str">
        <f>"02779142"</f>
        <v>02779142</v>
      </c>
      <c r="C3307" t="s">
        <v>18637</v>
      </c>
      <c r="D3307" t="s">
        <v>18638</v>
      </c>
      <c r="E3307" t="s">
        <v>18639</v>
      </c>
      <c r="G3307" t="s">
        <v>18587</v>
      </c>
      <c r="H3307" t="s">
        <v>18588</v>
      </c>
      <c r="J3307" t="s">
        <v>18589</v>
      </c>
      <c r="L3307" t="s">
        <v>1033</v>
      </c>
      <c r="M3307" t="s">
        <v>113</v>
      </c>
      <c r="R3307" t="s">
        <v>18640</v>
      </c>
      <c r="W3307" t="s">
        <v>18639</v>
      </c>
      <c r="X3307" t="s">
        <v>17611</v>
      </c>
      <c r="Y3307" t="s">
        <v>116</v>
      </c>
      <c r="Z3307" t="s">
        <v>117</v>
      </c>
      <c r="AA3307" t="str">
        <f>"14215"</f>
        <v>14215</v>
      </c>
      <c r="AB3307" t="s">
        <v>118</v>
      </c>
      <c r="AC3307" t="s">
        <v>119</v>
      </c>
      <c r="AD3307" t="s">
        <v>113</v>
      </c>
      <c r="AE3307" t="s">
        <v>120</v>
      </c>
      <c r="AG3307" t="s">
        <v>121</v>
      </c>
    </row>
    <row r="3308" spans="1:33" x14ac:dyDescent="0.25">
      <c r="A3308" t="str">
        <f>"1073713251"</f>
        <v>1073713251</v>
      </c>
      <c r="B3308" t="str">
        <f>"03465996"</f>
        <v>03465996</v>
      </c>
      <c r="C3308" t="s">
        <v>18641</v>
      </c>
      <c r="D3308" t="s">
        <v>18642</v>
      </c>
      <c r="E3308" t="s">
        <v>18643</v>
      </c>
      <c r="G3308" t="s">
        <v>18587</v>
      </c>
      <c r="H3308" t="s">
        <v>18588</v>
      </c>
      <c r="J3308" t="s">
        <v>18589</v>
      </c>
      <c r="L3308" t="s">
        <v>1033</v>
      </c>
      <c r="M3308" t="s">
        <v>113</v>
      </c>
      <c r="R3308" t="s">
        <v>18644</v>
      </c>
      <c r="W3308" t="s">
        <v>18645</v>
      </c>
      <c r="X3308" t="s">
        <v>253</v>
      </c>
      <c r="Y3308" t="s">
        <v>116</v>
      </c>
      <c r="Z3308" t="s">
        <v>117</v>
      </c>
      <c r="AA3308" t="str">
        <f>"14215-3021"</f>
        <v>14215-3021</v>
      </c>
      <c r="AB3308" t="s">
        <v>118</v>
      </c>
      <c r="AC3308" t="s">
        <v>119</v>
      </c>
      <c r="AD3308" t="s">
        <v>113</v>
      </c>
      <c r="AE3308" t="s">
        <v>120</v>
      </c>
      <c r="AG3308" t="s">
        <v>121</v>
      </c>
    </row>
    <row r="3309" spans="1:33" x14ac:dyDescent="0.25">
      <c r="A3309" t="str">
        <f>"1962431601"</f>
        <v>1962431601</v>
      </c>
      <c r="B3309" t="str">
        <f>"02842840"</f>
        <v>02842840</v>
      </c>
      <c r="C3309" t="s">
        <v>18646</v>
      </c>
      <c r="D3309" t="s">
        <v>18647</v>
      </c>
      <c r="E3309" t="s">
        <v>18648</v>
      </c>
      <c r="G3309" t="s">
        <v>18587</v>
      </c>
      <c r="H3309" t="s">
        <v>18588</v>
      </c>
      <c r="J3309" t="s">
        <v>18589</v>
      </c>
      <c r="L3309" t="s">
        <v>1033</v>
      </c>
      <c r="M3309" t="s">
        <v>113</v>
      </c>
      <c r="R3309" t="s">
        <v>18649</v>
      </c>
      <c r="W3309" t="s">
        <v>18648</v>
      </c>
      <c r="X3309" t="s">
        <v>253</v>
      </c>
      <c r="Y3309" t="s">
        <v>116</v>
      </c>
      <c r="Z3309" t="s">
        <v>117</v>
      </c>
      <c r="AA3309" t="str">
        <f>"14215-3021"</f>
        <v>14215-3021</v>
      </c>
      <c r="AB3309" t="s">
        <v>118</v>
      </c>
      <c r="AC3309" t="s">
        <v>119</v>
      </c>
      <c r="AD3309" t="s">
        <v>113</v>
      </c>
      <c r="AE3309" t="s">
        <v>120</v>
      </c>
      <c r="AG3309" t="s">
        <v>121</v>
      </c>
    </row>
    <row r="3310" spans="1:33" x14ac:dyDescent="0.25">
      <c r="A3310" t="str">
        <f>"1639354848"</f>
        <v>1639354848</v>
      </c>
      <c r="B3310" t="str">
        <f>"03405612"</f>
        <v>03405612</v>
      </c>
      <c r="C3310" t="s">
        <v>18650</v>
      </c>
      <c r="D3310" t="s">
        <v>18651</v>
      </c>
      <c r="E3310" t="s">
        <v>18652</v>
      </c>
      <c r="G3310" t="s">
        <v>18587</v>
      </c>
      <c r="H3310" t="s">
        <v>18588</v>
      </c>
      <c r="J3310" t="s">
        <v>18589</v>
      </c>
      <c r="L3310" t="s">
        <v>1033</v>
      </c>
      <c r="M3310" t="s">
        <v>113</v>
      </c>
      <c r="R3310" t="s">
        <v>18653</v>
      </c>
      <c r="W3310" t="s">
        <v>18652</v>
      </c>
      <c r="X3310" t="s">
        <v>253</v>
      </c>
      <c r="Y3310" t="s">
        <v>116</v>
      </c>
      <c r="Z3310" t="s">
        <v>117</v>
      </c>
      <c r="AA3310" t="str">
        <f>"14215-3021"</f>
        <v>14215-3021</v>
      </c>
      <c r="AB3310" t="s">
        <v>118</v>
      </c>
      <c r="AC3310" t="s">
        <v>119</v>
      </c>
      <c r="AD3310" t="s">
        <v>113</v>
      </c>
      <c r="AE3310" t="s">
        <v>120</v>
      </c>
      <c r="AG3310" t="s">
        <v>121</v>
      </c>
    </row>
    <row r="3311" spans="1:33" x14ac:dyDescent="0.25">
      <c r="A3311" t="str">
        <f>"1700813169"</f>
        <v>1700813169</v>
      </c>
      <c r="B3311" t="str">
        <f>"00642599"</f>
        <v>00642599</v>
      </c>
      <c r="C3311" t="s">
        <v>18654</v>
      </c>
      <c r="D3311" t="s">
        <v>18655</v>
      </c>
      <c r="E3311" t="s">
        <v>18656</v>
      </c>
      <c r="G3311" t="s">
        <v>18587</v>
      </c>
      <c r="H3311" t="s">
        <v>18588</v>
      </c>
      <c r="J3311" t="s">
        <v>18589</v>
      </c>
      <c r="L3311" t="s">
        <v>1033</v>
      </c>
      <c r="M3311" t="s">
        <v>113</v>
      </c>
      <c r="R3311" t="s">
        <v>18657</v>
      </c>
      <c r="W3311" t="s">
        <v>18656</v>
      </c>
      <c r="X3311" t="s">
        <v>18658</v>
      </c>
      <c r="Y3311" t="s">
        <v>116</v>
      </c>
      <c r="Z3311" t="s">
        <v>117</v>
      </c>
      <c r="AA3311" t="str">
        <f>"14215-3021"</f>
        <v>14215-3021</v>
      </c>
      <c r="AB3311" t="s">
        <v>118</v>
      </c>
      <c r="AC3311" t="s">
        <v>119</v>
      </c>
      <c r="AD3311" t="s">
        <v>113</v>
      </c>
      <c r="AE3311" t="s">
        <v>120</v>
      </c>
      <c r="AG3311" t="s">
        <v>121</v>
      </c>
    </row>
    <row r="3312" spans="1:33" x14ac:dyDescent="0.25">
      <c r="A3312" t="str">
        <f>"1114925088"</f>
        <v>1114925088</v>
      </c>
      <c r="B3312" t="str">
        <f>"00886920"</f>
        <v>00886920</v>
      </c>
      <c r="C3312" t="s">
        <v>18659</v>
      </c>
      <c r="D3312" t="s">
        <v>18660</v>
      </c>
      <c r="E3312" t="s">
        <v>18661</v>
      </c>
      <c r="G3312" t="s">
        <v>18587</v>
      </c>
      <c r="H3312" t="s">
        <v>18588</v>
      </c>
      <c r="J3312" t="s">
        <v>18589</v>
      </c>
      <c r="L3312" t="s">
        <v>1033</v>
      </c>
      <c r="M3312" t="s">
        <v>113</v>
      </c>
      <c r="R3312" t="s">
        <v>18662</v>
      </c>
      <c r="W3312" t="s">
        <v>18661</v>
      </c>
      <c r="X3312" t="s">
        <v>15945</v>
      </c>
      <c r="Y3312" t="s">
        <v>116</v>
      </c>
      <c r="Z3312" t="s">
        <v>117</v>
      </c>
      <c r="AA3312" t="str">
        <f>"14203-1005"</f>
        <v>14203-1005</v>
      </c>
      <c r="AB3312" t="s">
        <v>118</v>
      </c>
      <c r="AC3312" t="s">
        <v>119</v>
      </c>
      <c r="AD3312" t="s">
        <v>113</v>
      </c>
      <c r="AE3312" t="s">
        <v>120</v>
      </c>
      <c r="AG3312" t="s">
        <v>121</v>
      </c>
    </row>
    <row r="3313" spans="1:33" x14ac:dyDescent="0.25">
      <c r="A3313" t="str">
        <f>"1821036625"</f>
        <v>1821036625</v>
      </c>
      <c r="B3313" t="str">
        <f>"01402139"</f>
        <v>01402139</v>
      </c>
      <c r="C3313" t="s">
        <v>18663</v>
      </c>
      <c r="D3313" t="s">
        <v>18664</v>
      </c>
      <c r="E3313" t="s">
        <v>18665</v>
      </c>
      <c r="G3313" t="s">
        <v>18587</v>
      </c>
      <c r="H3313" t="s">
        <v>18588</v>
      </c>
      <c r="J3313" t="s">
        <v>18589</v>
      </c>
      <c r="L3313" t="s">
        <v>1033</v>
      </c>
      <c r="M3313" t="s">
        <v>113</v>
      </c>
      <c r="R3313" t="s">
        <v>18666</v>
      </c>
      <c r="W3313" t="s">
        <v>18665</v>
      </c>
      <c r="X3313" t="s">
        <v>253</v>
      </c>
      <c r="Y3313" t="s">
        <v>116</v>
      </c>
      <c r="Z3313" t="s">
        <v>117</v>
      </c>
      <c r="AA3313" t="str">
        <f>"14215-3021"</f>
        <v>14215-3021</v>
      </c>
      <c r="AB3313" t="s">
        <v>118</v>
      </c>
      <c r="AC3313" t="s">
        <v>119</v>
      </c>
      <c r="AD3313" t="s">
        <v>113</v>
      </c>
      <c r="AE3313" t="s">
        <v>120</v>
      </c>
      <c r="AG3313" t="s">
        <v>121</v>
      </c>
    </row>
    <row r="3314" spans="1:33" x14ac:dyDescent="0.25">
      <c r="A3314" t="str">
        <f>"1184983140"</f>
        <v>1184983140</v>
      </c>
      <c r="C3314" t="s">
        <v>18667</v>
      </c>
      <c r="G3314" t="s">
        <v>18587</v>
      </c>
      <c r="H3314" t="s">
        <v>18588</v>
      </c>
      <c r="J3314" t="s">
        <v>18589</v>
      </c>
      <c r="K3314" t="s">
        <v>303</v>
      </c>
      <c r="L3314" t="s">
        <v>229</v>
      </c>
      <c r="M3314" t="s">
        <v>113</v>
      </c>
      <c r="R3314" t="s">
        <v>18668</v>
      </c>
      <c r="S3314" t="s">
        <v>18669</v>
      </c>
      <c r="T3314" t="s">
        <v>116</v>
      </c>
      <c r="U3314" t="s">
        <v>117</v>
      </c>
      <c r="V3314" t="str">
        <f>"142021102"</f>
        <v>142021102</v>
      </c>
      <c r="AC3314" t="s">
        <v>119</v>
      </c>
      <c r="AD3314" t="s">
        <v>113</v>
      </c>
      <c r="AE3314" t="s">
        <v>306</v>
      </c>
      <c r="AG3314" t="s">
        <v>121</v>
      </c>
    </row>
    <row r="3315" spans="1:33" x14ac:dyDescent="0.25">
      <c r="A3315" t="str">
        <f>"1639304785"</f>
        <v>1639304785</v>
      </c>
      <c r="B3315" t="str">
        <f>"03786514"</f>
        <v>03786514</v>
      </c>
      <c r="C3315" t="s">
        <v>18670</v>
      </c>
      <c r="D3315" t="s">
        <v>18671</v>
      </c>
      <c r="E3315" t="s">
        <v>18672</v>
      </c>
      <c r="G3315" t="s">
        <v>18587</v>
      </c>
      <c r="H3315" t="s">
        <v>18588</v>
      </c>
      <c r="J3315" t="s">
        <v>18589</v>
      </c>
      <c r="L3315" t="s">
        <v>1033</v>
      </c>
      <c r="M3315" t="s">
        <v>113</v>
      </c>
      <c r="R3315" t="s">
        <v>18673</v>
      </c>
      <c r="W3315" t="s">
        <v>18672</v>
      </c>
      <c r="X3315" t="s">
        <v>253</v>
      </c>
      <c r="Y3315" t="s">
        <v>116</v>
      </c>
      <c r="Z3315" t="s">
        <v>117</v>
      </c>
      <c r="AA3315" t="str">
        <f>"14215-3021"</f>
        <v>14215-3021</v>
      </c>
      <c r="AB3315" t="s">
        <v>118</v>
      </c>
      <c r="AC3315" t="s">
        <v>119</v>
      </c>
      <c r="AD3315" t="s">
        <v>113</v>
      </c>
      <c r="AE3315" t="s">
        <v>120</v>
      </c>
      <c r="AG3315" t="s">
        <v>121</v>
      </c>
    </row>
    <row r="3316" spans="1:33" x14ac:dyDescent="0.25">
      <c r="A3316" t="str">
        <f>"1285760819"</f>
        <v>1285760819</v>
      </c>
      <c r="B3316" t="str">
        <f>"02707220"</f>
        <v>02707220</v>
      </c>
      <c r="C3316" t="s">
        <v>18674</v>
      </c>
      <c r="D3316" t="s">
        <v>18675</v>
      </c>
      <c r="E3316" t="s">
        <v>18676</v>
      </c>
      <c r="G3316" t="s">
        <v>18587</v>
      </c>
      <c r="H3316" t="s">
        <v>18588</v>
      </c>
      <c r="J3316" t="s">
        <v>18589</v>
      </c>
      <c r="L3316" t="s">
        <v>1033</v>
      </c>
      <c r="M3316" t="s">
        <v>113</v>
      </c>
      <c r="R3316" t="s">
        <v>18677</v>
      </c>
      <c r="W3316" t="s">
        <v>18676</v>
      </c>
      <c r="X3316" t="s">
        <v>253</v>
      </c>
      <c r="Y3316" t="s">
        <v>116</v>
      </c>
      <c r="Z3316" t="s">
        <v>117</v>
      </c>
      <c r="AA3316" t="str">
        <f>"14215-3021"</f>
        <v>14215-3021</v>
      </c>
      <c r="AB3316" t="s">
        <v>118</v>
      </c>
      <c r="AC3316" t="s">
        <v>119</v>
      </c>
      <c r="AD3316" t="s">
        <v>113</v>
      </c>
      <c r="AE3316" t="s">
        <v>120</v>
      </c>
      <c r="AG3316" t="s">
        <v>121</v>
      </c>
    </row>
    <row r="3317" spans="1:33" x14ac:dyDescent="0.25">
      <c r="A3317" t="str">
        <f>"1578683496"</f>
        <v>1578683496</v>
      </c>
      <c r="B3317" t="str">
        <f>"01642837"</f>
        <v>01642837</v>
      </c>
      <c r="C3317" t="s">
        <v>18678</v>
      </c>
      <c r="D3317" t="s">
        <v>18679</v>
      </c>
      <c r="E3317" t="s">
        <v>18680</v>
      </c>
      <c r="G3317" t="s">
        <v>18681</v>
      </c>
      <c r="H3317" t="s">
        <v>18682</v>
      </c>
      <c r="J3317" t="s">
        <v>18683</v>
      </c>
      <c r="L3317" t="s">
        <v>142</v>
      </c>
      <c r="M3317" t="s">
        <v>113</v>
      </c>
      <c r="R3317" t="s">
        <v>18684</v>
      </c>
      <c r="W3317" t="s">
        <v>18680</v>
      </c>
      <c r="X3317" t="s">
        <v>18685</v>
      </c>
      <c r="Y3317" t="s">
        <v>9511</v>
      </c>
      <c r="Z3317" t="s">
        <v>117</v>
      </c>
      <c r="AA3317" t="str">
        <f>"14420-1442"</f>
        <v>14420-1442</v>
      </c>
      <c r="AB3317" t="s">
        <v>528</v>
      </c>
      <c r="AC3317" t="s">
        <v>119</v>
      </c>
      <c r="AD3317" t="s">
        <v>113</v>
      </c>
      <c r="AE3317" t="s">
        <v>120</v>
      </c>
      <c r="AG3317" t="s">
        <v>121</v>
      </c>
    </row>
    <row r="3318" spans="1:33" x14ac:dyDescent="0.25">
      <c r="A3318" t="str">
        <f>"1790806628"</f>
        <v>1790806628</v>
      </c>
      <c r="C3318" t="s">
        <v>18686</v>
      </c>
      <c r="G3318" t="s">
        <v>18681</v>
      </c>
      <c r="H3318" t="s">
        <v>18682</v>
      </c>
      <c r="J3318" t="s">
        <v>18683</v>
      </c>
      <c r="K3318" t="s">
        <v>303</v>
      </c>
      <c r="L3318" t="s">
        <v>112</v>
      </c>
      <c r="M3318" t="s">
        <v>113</v>
      </c>
      <c r="R3318" t="s">
        <v>18687</v>
      </c>
      <c r="S3318" t="s">
        <v>18688</v>
      </c>
      <c r="T3318" t="s">
        <v>129</v>
      </c>
      <c r="U3318" t="s">
        <v>117</v>
      </c>
      <c r="V3318" t="str">
        <f>"142243604"</f>
        <v>142243604</v>
      </c>
      <c r="AC3318" t="s">
        <v>119</v>
      </c>
      <c r="AD3318" t="s">
        <v>113</v>
      </c>
      <c r="AE3318" t="s">
        <v>306</v>
      </c>
      <c r="AG3318" t="s">
        <v>121</v>
      </c>
    </row>
    <row r="3319" spans="1:33" x14ac:dyDescent="0.25">
      <c r="C3319" t="s">
        <v>18689</v>
      </c>
      <c r="G3319" t="s">
        <v>18681</v>
      </c>
      <c r="H3319" t="s">
        <v>18682</v>
      </c>
      <c r="J3319" t="s">
        <v>18683</v>
      </c>
      <c r="K3319" t="s">
        <v>303</v>
      </c>
      <c r="L3319" t="s">
        <v>3095</v>
      </c>
      <c r="M3319" t="s">
        <v>113</v>
      </c>
      <c r="N3319" t="s">
        <v>18690</v>
      </c>
      <c r="O3319" t="s">
        <v>18691</v>
      </c>
      <c r="P3319" t="s">
        <v>117</v>
      </c>
      <c r="Q3319" t="str">
        <f>"14513"</f>
        <v>14513</v>
      </c>
      <c r="AC3319" t="s">
        <v>119</v>
      </c>
      <c r="AD3319" t="s">
        <v>113</v>
      </c>
      <c r="AE3319" t="s">
        <v>3098</v>
      </c>
      <c r="AG3319" t="s">
        <v>121</v>
      </c>
    </row>
    <row r="3320" spans="1:33" x14ac:dyDescent="0.25">
      <c r="A3320" t="str">
        <f>"1154442002"</f>
        <v>1154442002</v>
      </c>
      <c r="C3320" t="s">
        <v>18692</v>
      </c>
      <c r="G3320" t="s">
        <v>18681</v>
      </c>
      <c r="H3320" t="s">
        <v>18682</v>
      </c>
      <c r="J3320" t="s">
        <v>18683</v>
      </c>
      <c r="K3320" t="s">
        <v>303</v>
      </c>
      <c r="L3320" t="s">
        <v>112</v>
      </c>
      <c r="M3320" t="s">
        <v>113</v>
      </c>
      <c r="R3320" t="s">
        <v>18693</v>
      </c>
      <c r="S3320" t="s">
        <v>18688</v>
      </c>
      <c r="T3320" t="s">
        <v>129</v>
      </c>
      <c r="U3320" t="s">
        <v>117</v>
      </c>
      <c r="V3320" t="str">
        <f>"142243604"</f>
        <v>142243604</v>
      </c>
      <c r="AC3320" t="s">
        <v>119</v>
      </c>
      <c r="AD3320" t="s">
        <v>113</v>
      </c>
      <c r="AE3320" t="s">
        <v>306</v>
      </c>
      <c r="AG3320" t="s">
        <v>121</v>
      </c>
    </row>
    <row r="3321" spans="1:33" x14ac:dyDescent="0.25">
      <c r="A3321" t="str">
        <f>"1396866257"</f>
        <v>1396866257</v>
      </c>
      <c r="C3321" t="s">
        <v>18694</v>
      </c>
      <c r="G3321" t="s">
        <v>18681</v>
      </c>
      <c r="H3321" t="s">
        <v>18682</v>
      </c>
      <c r="J3321" t="s">
        <v>18683</v>
      </c>
      <c r="K3321" t="s">
        <v>303</v>
      </c>
      <c r="L3321" t="s">
        <v>229</v>
      </c>
      <c r="M3321" t="s">
        <v>113</v>
      </c>
      <c r="R3321" t="s">
        <v>18695</v>
      </c>
      <c r="S3321" t="s">
        <v>18688</v>
      </c>
      <c r="T3321" t="s">
        <v>129</v>
      </c>
      <c r="U3321" t="s">
        <v>117</v>
      </c>
      <c r="V3321" t="str">
        <f>"142243604"</f>
        <v>142243604</v>
      </c>
      <c r="AC3321" t="s">
        <v>119</v>
      </c>
      <c r="AD3321" t="s">
        <v>113</v>
      </c>
      <c r="AE3321" t="s">
        <v>306</v>
      </c>
      <c r="AG3321" t="s">
        <v>121</v>
      </c>
    </row>
    <row r="3322" spans="1:33" x14ac:dyDescent="0.25">
      <c r="A3322" t="str">
        <f>"1720109267"</f>
        <v>1720109267</v>
      </c>
      <c r="C3322" t="s">
        <v>18696</v>
      </c>
      <c r="G3322" t="s">
        <v>18681</v>
      </c>
      <c r="H3322" t="s">
        <v>18682</v>
      </c>
      <c r="J3322" t="s">
        <v>18683</v>
      </c>
      <c r="K3322" t="s">
        <v>303</v>
      </c>
      <c r="L3322" t="s">
        <v>112</v>
      </c>
      <c r="M3322" t="s">
        <v>113</v>
      </c>
      <c r="R3322" t="s">
        <v>18697</v>
      </c>
      <c r="S3322" t="s">
        <v>18698</v>
      </c>
      <c r="T3322" t="s">
        <v>1628</v>
      </c>
      <c r="U3322" t="s">
        <v>117</v>
      </c>
      <c r="V3322" t="str">
        <f>"144111513"</f>
        <v>144111513</v>
      </c>
      <c r="AC3322" t="s">
        <v>119</v>
      </c>
      <c r="AD3322" t="s">
        <v>113</v>
      </c>
      <c r="AE3322" t="s">
        <v>306</v>
      </c>
      <c r="AG3322" t="s">
        <v>121</v>
      </c>
    </row>
    <row r="3323" spans="1:33" x14ac:dyDescent="0.25">
      <c r="A3323" t="str">
        <f>"1447371992"</f>
        <v>1447371992</v>
      </c>
      <c r="C3323" t="s">
        <v>18699</v>
      </c>
      <c r="G3323" t="s">
        <v>18681</v>
      </c>
      <c r="H3323" t="s">
        <v>18682</v>
      </c>
      <c r="J3323" t="s">
        <v>18683</v>
      </c>
      <c r="K3323" t="s">
        <v>303</v>
      </c>
      <c r="L3323" t="s">
        <v>112</v>
      </c>
      <c r="M3323" t="s">
        <v>113</v>
      </c>
      <c r="R3323" t="s">
        <v>18700</v>
      </c>
      <c r="S3323" t="s">
        <v>18701</v>
      </c>
      <c r="T3323" t="s">
        <v>18702</v>
      </c>
      <c r="U3323" t="s">
        <v>117</v>
      </c>
      <c r="V3323" t="str">
        <f>"145131238"</f>
        <v>145131238</v>
      </c>
      <c r="AC3323" t="s">
        <v>119</v>
      </c>
      <c r="AD3323" t="s">
        <v>113</v>
      </c>
      <c r="AE3323" t="s">
        <v>306</v>
      </c>
      <c r="AG3323" t="s">
        <v>121</v>
      </c>
    </row>
    <row r="3324" spans="1:33" x14ac:dyDescent="0.25">
      <c r="A3324" t="str">
        <f>"1508273582"</f>
        <v>1508273582</v>
      </c>
      <c r="B3324" t="str">
        <f>"03923140"</f>
        <v>03923140</v>
      </c>
      <c r="C3324" t="s">
        <v>18703</v>
      </c>
      <c r="D3324" t="s">
        <v>18704</v>
      </c>
      <c r="E3324" t="s">
        <v>18705</v>
      </c>
      <c r="G3324" t="s">
        <v>18706</v>
      </c>
      <c r="H3324" t="s">
        <v>382</v>
      </c>
      <c r="L3324" t="s">
        <v>150</v>
      </c>
      <c r="M3324" t="s">
        <v>113</v>
      </c>
      <c r="R3324" t="s">
        <v>18705</v>
      </c>
      <c r="W3324" t="s">
        <v>18707</v>
      </c>
      <c r="X3324" t="s">
        <v>18210</v>
      </c>
      <c r="Y3324" t="s">
        <v>387</v>
      </c>
      <c r="Z3324" t="s">
        <v>117</v>
      </c>
      <c r="AA3324" t="str">
        <f>"14787-1121"</f>
        <v>14787-1121</v>
      </c>
      <c r="AB3324" t="s">
        <v>118</v>
      </c>
      <c r="AC3324" t="s">
        <v>119</v>
      </c>
      <c r="AD3324" t="s">
        <v>113</v>
      </c>
      <c r="AE3324" t="s">
        <v>120</v>
      </c>
      <c r="AG3324" t="s">
        <v>121</v>
      </c>
    </row>
    <row r="3325" spans="1:33" x14ac:dyDescent="0.25">
      <c r="A3325" t="str">
        <f>"1043647688"</f>
        <v>1043647688</v>
      </c>
      <c r="B3325" t="str">
        <f>"03716887"</f>
        <v>03716887</v>
      </c>
      <c r="C3325" t="s">
        <v>18708</v>
      </c>
      <c r="D3325" t="s">
        <v>18709</v>
      </c>
      <c r="E3325" t="s">
        <v>18710</v>
      </c>
      <c r="G3325" t="s">
        <v>18706</v>
      </c>
      <c r="H3325" t="s">
        <v>382</v>
      </c>
      <c r="L3325" t="s">
        <v>150</v>
      </c>
      <c r="M3325" t="s">
        <v>113</v>
      </c>
      <c r="R3325" t="s">
        <v>18710</v>
      </c>
      <c r="W3325" t="s">
        <v>18711</v>
      </c>
      <c r="X3325" t="s">
        <v>18712</v>
      </c>
      <c r="Y3325" t="s">
        <v>986</v>
      </c>
      <c r="Z3325" t="s">
        <v>117</v>
      </c>
      <c r="AA3325" t="str">
        <f>"14701-6627"</f>
        <v>14701-6627</v>
      </c>
      <c r="AB3325" t="s">
        <v>118</v>
      </c>
      <c r="AC3325" t="s">
        <v>119</v>
      </c>
      <c r="AD3325" t="s">
        <v>113</v>
      </c>
      <c r="AE3325" t="s">
        <v>120</v>
      </c>
      <c r="AG3325" t="s">
        <v>121</v>
      </c>
    </row>
    <row r="3326" spans="1:33" x14ac:dyDescent="0.25">
      <c r="A3326" t="str">
        <f>"1053419028"</f>
        <v>1053419028</v>
      </c>
      <c r="B3326" t="str">
        <f>"03059721"</f>
        <v>03059721</v>
      </c>
      <c r="C3326" t="s">
        <v>18713</v>
      </c>
      <c r="D3326" t="s">
        <v>18714</v>
      </c>
      <c r="E3326" t="s">
        <v>18715</v>
      </c>
      <c r="G3326" t="s">
        <v>18716</v>
      </c>
      <c r="H3326" t="s">
        <v>3557</v>
      </c>
      <c r="I3326">
        <v>4403</v>
      </c>
      <c r="J3326" t="s">
        <v>18717</v>
      </c>
      <c r="L3326" t="s">
        <v>150</v>
      </c>
      <c r="M3326" t="s">
        <v>113</v>
      </c>
      <c r="R3326" t="s">
        <v>18718</v>
      </c>
      <c r="W3326" t="s">
        <v>18719</v>
      </c>
      <c r="X3326" t="s">
        <v>18720</v>
      </c>
      <c r="Y3326" t="s">
        <v>18721</v>
      </c>
      <c r="Z3326" t="s">
        <v>117</v>
      </c>
      <c r="AA3326" t="str">
        <f>"14454-1179"</f>
        <v>14454-1179</v>
      </c>
      <c r="AB3326" t="s">
        <v>118</v>
      </c>
      <c r="AC3326" t="s">
        <v>119</v>
      </c>
      <c r="AD3326" t="s">
        <v>113</v>
      </c>
      <c r="AE3326" t="s">
        <v>120</v>
      </c>
      <c r="AG3326" t="s">
        <v>121</v>
      </c>
    </row>
    <row r="3327" spans="1:33" x14ac:dyDescent="0.25">
      <c r="A3327" t="str">
        <f>"1740244672"</f>
        <v>1740244672</v>
      </c>
      <c r="B3327" t="str">
        <f>"02984738"</f>
        <v>02984738</v>
      </c>
      <c r="C3327" t="s">
        <v>18722</v>
      </c>
      <c r="D3327" t="s">
        <v>18723</v>
      </c>
      <c r="E3327" t="s">
        <v>18724</v>
      </c>
      <c r="G3327" t="s">
        <v>18716</v>
      </c>
      <c r="H3327" t="s">
        <v>3557</v>
      </c>
      <c r="I3327">
        <v>4403</v>
      </c>
      <c r="J3327" t="s">
        <v>18717</v>
      </c>
      <c r="L3327" t="s">
        <v>150</v>
      </c>
      <c r="M3327" t="s">
        <v>113</v>
      </c>
      <c r="R3327" t="s">
        <v>18725</v>
      </c>
      <c r="W3327" t="s">
        <v>18724</v>
      </c>
      <c r="X3327" t="s">
        <v>18726</v>
      </c>
      <c r="Y3327" t="s">
        <v>18727</v>
      </c>
      <c r="Z3327" t="s">
        <v>117</v>
      </c>
      <c r="AA3327" t="str">
        <f>"14591-0243"</f>
        <v>14591-0243</v>
      </c>
      <c r="AB3327" t="s">
        <v>118</v>
      </c>
      <c r="AC3327" t="s">
        <v>119</v>
      </c>
      <c r="AD3327" t="s">
        <v>113</v>
      </c>
      <c r="AE3327" t="s">
        <v>120</v>
      </c>
      <c r="AG3327" t="s">
        <v>121</v>
      </c>
    </row>
    <row r="3328" spans="1:33" x14ac:dyDescent="0.25">
      <c r="A3328" t="str">
        <f>"1962577171"</f>
        <v>1962577171</v>
      </c>
      <c r="B3328" t="str">
        <f>"03157339"</f>
        <v>03157339</v>
      </c>
      <c r="C3328" t="s">
        <v>18728</v>
      </c>
      <c r="D3328" t="s">
        <v>18729</v>
      </c>
      <c r="E3328" t="s">
        <v>18730</v>
      </c>
      <c r="G3328" t="s">
        <v>18728</v>
      </c>
      <c r="H3328" t="s">
        <v>707</v>
      </c>
      <c r="J3328" t="s">
        <v>18731</v>
      </c>
      <c r="L3328" t="s">
        <v>142</v>
      </c>
      <c r="M3328" t="s">
        <v>113</v>
      </c>
      <c r="R3328" t="s">
        <v>18732</v>
      </c>
      <c r="W3328" t="s">
        <v>18733</v>
      </c>
      <c r="X3328" t="s">
        <v>709</v>
      </c>
      <c r="Y3328" t="s">
        <v>116</v>
      </c>
      <c r="Z3328" t="s">
        <v>117</v>
      </c>
      <c r="AA3328" t="str">
        <f>"14263-0001"</f>
        <v>14263-0001</v>
      </c>
      <c r="AB3328" t="s">
        <v>118</v>
      </c>
      <c r="AC3328" t="s">
        <v>119</v>
      </c>
      <c r="AD3328" t="s">
        <v>113</v>
      </c>
      <c r="AE3328" t="s">
        <v>120</v>
      </c>
      <c r="AG3328" t="s">
        <v>121</v>
      </c>
    </row>
    <row r="3329" spans="1:33" x14ac:dyDescent="0.25">
      <c r="A3329" t="str">
        <f>"1962602136"</f>
        <v>1962602136</v>
      </c>
      <c r="B3329" t="str">
        <f>"03807430"</f>
        <v>03807430</v>
      </c>
      <c r="C3329" t="s">
        <v>18734</v>
      </c>
      <c r="D3329" t="s">
        <v>18735</v>
      </c>
      <c r="E3329" t="s">
        <v>18736</v>
      </c>
      <c r="G3329" t="s">
        <v>18734</v>
      </c>
      <c r="J3329" t="s">
        <v>18737</v>
      </c>
      <c r="L3329" t="s">
        <v>142</v>
      </c>
      <c r="M3329" t="s">
        <v>113</v>
      </c>
      <c r="R3329" t="s">
        <v>18738</v>
      </c>
      <c r="W3329" t="s">
        <v>18736</v>
      </c>
      <c r="X3329" t="s">
        <v>18739</v>
      </c>
      <c r="Y3329" t="s">
        <v>240</v>
      </c>
      <c r="Z3329" t="s">
        <v>117</v>
      </c>
      <c r="AA3329" t="str">
        <f>"14221-7889"</f>
        <v>14221-7889</v>
      </c>
      <c r="AB3329" t="s">
        <v>118</v>
      </c>
      <c r="AC3329" t="s">
        <v>119</v>
      </c>
      <c r="AD3329" t="s">
        <v>113</v>
      </c>
      <c r="AE3329" t="s">
        <v>120</v>
      </c>
      <c r="AG3329" t="s">
        <v>121</v>
      </c>
    </row>
    <row r="3330" spans="1:33" x14ac:dyDescent="0.25">
      <c r="A3330" t="str">
        <f>"1962609677"</f>
        <v>1962609677</v>
      </c>
      <c r="B3330" t="str">
        <f>"03456397"</f>
        <v>03456397</v>
      </c>
      <c r="C3330" t="s">
        <v>18740</v>
      </c>
      <c r="D3330" t="s">
        <v>18741</v>
      </c>
      <c r="E3330" t="s">
        <v>18742</v>
      </c>
      <c r="G3330" t="s">
        <v>6204</v>
      </c>
      <c r="H3330" t="s">
        <v>18743</v>
      </c>
      <c r="J3330" t="s">
        <v>6205</v>
      </c>
      <c r="L3330" t="s">
        <v>728</v>
      </c>
      <c r="M3330" t="s">
        <v>113</v>
      </c>
      <c r="R3330" t="s">
        <v>18744</v>
      </c>
      <c r="W3330" t="s">
        <v>18742</v>
      </c>
      <c r="X3330" t="s">
        <v>253</v>
      </c>
      <c r="Y3330" t="s">
        <v>116</v>
      </c>
      <c r="Z3330" t="s">
        <v>117</v>
      </c>
      <c r="AA3330" t="str">
        <f>"14215-3021"</f>
        <v>14215-3021</v>
      </c>
      <c r="AB3330" t="s">
        <v>118</v>
      </c>
      <c r="AC3330" t="s">
        <v>119</v>
      </c>
      <c r="AD3330" t="s">
        <v>113</v>
      </c>
      <c r="AE3330" t="s">
        <v>120</v>
      </c>
      <c r="AG3330" t="s">
        <v>121</v>
      </c>
    </row>
    <row r="3331" spans="1:33" x14ac:dyDescent="0.25">
      <c r="A3331" t="str">
        <f>"1922344324"</f>
        <v>1922344324</v>
      </c>
      <c r="B3331" t="str">
        <f>"00355986"</f>
        <v>00355986</v>
      </c>
      <c r="C3331" t="s">
        <v>18539</v>
      </c>
      <c r="D3331" t="s">
        <v>18540</v>
      </c>
      <c r="E3331" t="s">
        <v>18541</v>
      </c>
      <c r="G3331" t="s">
        <v>18542</v>
      </c>
      <c r="H3331" t="s">
        <v>18543</v>
      </c>
      <c r="I3331">
        <v>213</v>
      </c>
      <c r="J3331" t="s">
        <v>18544</v>
      </c>
      <c r="L3331" t="s">
        <v>19</v>
      </c>
      <c r="M3331" t="s">
        <v>199</v>
      </c>
      <c r="R3331" t="s">
        <v>18539</v>
      </c>
      <c r="W3331" t="s">
        <v>18545</v>
      </c>
      <c r="X3331" t="s">
        <v>18546</v>
      </c>
      <c r="Y3331" t="s">
        <v>527</v>
      </c>
      <c r="Z3331" t="s">
        <v>117</v>
      </c>
      <c r="AA3331" t="str">
        <f>"14103-9706"</f>
        <v>14103-9706</v>
      </c>
      <c r="AB3331" t="s">
        <v>282</v>
      </c>
      <c r="AC3331" t="s">
        <v>119</v>
      </c>
      <c r="AD3331" t="s">
        <v>113</v>
      </c>
      <c r="AE3331" t="s">
        <v>120</v>
      </c>
      <c r="AG3331" t="s">
        <v>121</v>
      </c>
    </row>
    <row r="3332" spans="1:33" x14ac:dyDescent="0.25">
      <c r="C3332" t="s">
        <v>18745</v>
      </c>
      <c r="G3332" t="s">
        <v>18746</v>
      </c>
      <c r="H3332" t="s">
        <v>18747</v>
      </c>
      <c r="J3332" t="s">
        <v>18748</v>
      </c>
      <c r="K3332" t="s">
        <v>303</v>
      </c>
      <c r="L3332" t="s">
        <v>3095</v>
      </c>
      <c r="M3332" t="s">
        <v>113</v>
      </c>
      <c r="N3332" t="s">
        <v>18749</v>
      </c>
      <c r="O3332" t="s">
        <v>3097</v>
      </c>
      <c r="P3332" t="s">
        <v>117</v>
      </c>
      <c r="Q3332" t="str">
        <f t="shared" ref="Q3332:Q3360" si="0">"14214"</f>
        <v>14214</v>
      </c>
      <c r="AC3332" t="s">
        <v>119</v>
      </c>
      <c r="AD3332" t="s">
        <v>113</v>
      </c>
      <c r="AE3332" t="s">
        <v>3098</v>
      </c>
      <c r="AG3332" t="s">
        <v>121</v>
      </c>
    </row>
    <row r="3333" spans="1:33" x14ac:dyDescent="0.25">
      <c r="C3333" t="s">
        <v>18750</v>
      </c>
      <c r="G3333" t="s">
        <v>18746</v>
      </c>
      <c r="H3333" t="s">
        <v>18747</v>
      </c>
      <c r="J3333" t="s">
        <v>18748</v>
      </c>
      <c r="K3333" t="s">
        <v>303</v>
      </c>
      <c r="L3333" t="s">
        <v>3095</v>
      </c>
      <c r="M3333" t="s">
        <v>113</v>
      </c>
      <c r="N3333" t="s">
        <v>18749</v>
      </c>
      <c r="O3333" t="s">
        <v>3097</v>
      </c>
      <c r="P3333" t="s">
        <v>117</v>
      </c>
      <c r="Q3333" t="str">
        <f t="shared" si="0"/>
        <v>14214</v>
      </c>
      <c r="AC3333" t="s">
        <v>119</v>
      </c>
      <c r="AD3333" t="s">
        <v>113</v>
      </c>
      <c r="AE3333" t="s">
        <v>3098</v>
      </c>
      <c r="AG3333" t="s">
        <v>121</v>
      </c>
    </row>
    <row r="3334" spans="1:33" x14ac:dyDescent="0.25">
      <c r="C3334" t="s">
        <v>18751</v>
      </c>
      <c r="G3334" t="s">
        <v>18746</v>
      </c>
      <c r="H3334" t="s">
        <v>18747</v>
      </c>
      <c r="J3334" t="s">
        <v>18748</v>
      </c>
      <c r="K3334" t="s">
        <v>303</v>
      </c>
      <c r="L3334" t="s">
        <v>3095</v>
      </c>
      <c r="M3334" t="s">
        <v>113</v>
      </c>
      <c r="N3334" t="s">
        <v>18749</v>
      </c>
      <c r="O3334" t="s">
        <v>3097</v>
      </c>
      <c r="P3334" t="s">
        <v>117</v>
      </c>
      <c r="Q3334" t="str">
        <f t="shared" si="0"/>
        <v>14214</v>
      </c>
      <c r="AC3334" t="s">
        <v>119</v>
      </c>
      <c r="AD3334" t="s">
        <v>113</v>
      </c>
      <c r="AE3334" t="s">
        <v>3098</v>
      </c>
      <c r="AG3334" t="s">
        <v>121</v>
      </c>
    </row>
    <row r="3335" spans="1:33" x14ac:dyDescent="0.25">
      <c r="C3335" t="s">
        <v>18752</v>
      </c>
      <c r="G3335" t="s">
        <v>18746</v>
      </c>
      <c r="H3335" t="s">
        <v>18747</v>
      </c>
      <c r="J3335" t="s">
        <v>18748</v>
      </c>
      <c r="K3335" t="s">
        <v>303</v>
      </c>
      <c r="L3335" t="s">
        <v>3095</v>
      </c>
      <c r="M3335" t="s">
        <v>113</v>
      </c>
      <c r="N3335" t="s">
        <v>18749</v>
      </c>
      <c r="O3335" t="s">
        <v>3097</v>
      </c>
      <c r="P3335" t="s">
        <v>117</v>
      </c>
      <c r="Q3335" t="str">
        <f t="shared" si="0"/>
        <v>14214</v>
      </c>
      <c r="AC3335" t="s">
        <v>119</v>
      </c>
      <c r="AD3335" t="s">
        <v>113</v>
      </c>
      <c r="AE3335" t="s">
        <v>3098</v>
      </c>
      <c r="AG3335" t="s">
        <v>121</v>
      </c>
    </row>
    <row r="3336" spans="1:33" x14ac:dyDescent="0.25">
      <c r="C3336" t="s">
        <v>18753</v>
      </c>
      <c r="G3336" t="s">
        <v>18746</v>
      </c>
      <c r="H3336" t="s">
        <v>18747</v>
      </c>
      <c r="J3336" t="s">
        <v>18748</v>
      </c>
      <c r="K3336" t="s">
        <v>303</v>
      </c>
      <c r="L3336" t="s">
        <v>3095</v>
      </c>
      <c r="M3336" t="s">
        <v>113</v>
      </c>
      <c r="N3336" t="s">
        <v>18749</v>
      </c>
      <c r="O3336" t="s">
        <v>3097</v>
      </c>
      <c r="P3336" t="s">
        <v>117</v>
      </c>
      <c r="Q3336" t="str">
        <f t="shared" si="0"/>
        <v>14214</v>
      </c>
      <c r="AC3336" t="s">
        <v>119</v>
      </c>
      <c r="AD3336" t="s">
        <v>113</v>
      </c>
      <c r="AE3336" t="s">
        <v>3098</v>
      </c>
      <c r="AG3336" t="s">
        <v>121</v>
      </c>
    </row>
    <row r="3337" spans="1:33" x14ac:dyDescent="0.25">
      <c r="C3337" t="s">
        <v>18754</v>
      </c>
      <c r="G3337" t="s">
        <v>18746</v>
      </c>
      <c r="H3337" t="s">
        <v>18747</v>
      </c>
      <c r="J3337" t="s">
        <v>18748</v>
      </c>
      <c r="K3337" t="s">
        <v>303</v>
      </c>
      <c r="L3337" t="s">
        <v>3095</v>
      </c>
      <c r="M3337" t="s">
        <v>113</v>
      </c>
      <c r="N3337" t="s">
        <v>18749</v>
      </c>
      <c r="O3337" t="s">
        <v>3097</v>
      </c>
      <c r="P3337" t="s">
        <v>117</v>
      </c>
      <c r="Q3337" t="str">
        <f t="shared" si="0"/>
        <v>14214</v>
      </c>
      <c r="AC3337" t="s">
        <v>119</v>
      </c>
      <c r="AD3337" t="s">
        <v>113</v>
      </c>
      <c r="AE3337" t="s">
        <v>3098</v>
      </c>
      <c r="AG3337" t="s">
        <v>121</v>
      </c>
    </row>
    <row r="3338" spans="1:33" x14ac:dyDescent="0.25">
      <c r="C3338" t="s">
        <v>18755</v>
      </c>
      <c r="G3338" t="s">
        <v>18746</v>
      </c>
      <c r="H3338" t="s">
        <v>18747</v>
      </c>
      <c r="J3338" t="s">
        <v>18748</v>
      </c>
      <c r="K3338" t="s">
        <v>303</v>
      </c>
      <c r="L3338" t="s">
        <v>3095</v>
      </c>
      <c r="M3338" t="s">
        <v>113</v>
      </c>
      <c r="N3338" t="s">
        <v>18749</v>
      </c>
      <c r="O3338" t="s">
        <v>3097</v>
      </c>
      <c r="P3338" t="s">
        <v>117</v>
      </c>
      <c r="Q3338" t="str">
        <f t="shared" si="0"/>
        <v>14214</v>
      </c>
      <c r="AC3338" t="s">
        <v>119</v>
      </c>
      <c r="AD3338" t="s">
        <v>113</v>
      </c>
      <c r="AE3338" t="s">
        <v>3098</v>
      </c>
      <c r="AG3338" t="s">
        <v>121</v>
      </c>
    </row>
    <row r="3339" spans="1:33" x14ac:dyDescent="0.25">
      <c r="C3339" t="s">
        <v>18756</v>
      </c>
      <c r="G3339" t="s">
        <v>18746</v>
      </c>
      <c r="H3339" t="s">
        <v>18747</v>
      </c>
      <c r="J3339" t="s">
        <v>18748</v>
      </c>
      <c r="K3339" t="s">
        <v>303</v>
      </c>
      <c r="L3339" t="s">
        <v>3095</v>
      </c>
      <c r="M3339" t="s">
        <v>113</v>
      </c>
      <c r="N3339" t="s">
        <v>18749</v>
      </c>
      <c r="O3339" t="s">
        <v>3097</v>
      </c>
      <c r="P3339" t="s">
        <v>117</v>
      </c>
      <c r="Q3339" t="str">
        <f t="shared" si="0"/>
        <v>14214</v>
      </c>
      <c r="AC3339" t="s">
        <v>119</v>
      </c>
      <c r="AD3339" t="s">
        <v>113</v>
      </c>
      <c r="AE3339" t="s">
        <v>3098</v>
      </c>
      <c r="AG3339" t="s">
        <v>121</v>
      </c>
    </row>
    <row r="3340" spans="1:33" x14ac:dyDescent="0.25">
      <c r="C3340" t="s">
        <v>18757</v>
      </c>
      <c r="G3340" t="s">
        <v>18746</v>
      </c>
      <c r="H3340" t="s">
        <v>18747</v>
      </c>
      <c r="J3340" t="s">
        <v>18748</v>
      </c>
      <c r="K3340" t="s">
        <v>303</v>
      </c>
      <c r="L3340" t="s">
        <v>3095</v>
      </c>
      <c r="M3340" t="s">
        <v>113</v>
      </c>
      <c r="N3340" t="s">
        <v>18749</v>
      </c>
      <c r="O3340" t="s">
        <v>3097</v>
      </c>
      <c r="P3340" t="s">
        <v>117</v>
      </c>
      <c r="Q3340" t="str">
        <f t="shared" si="0"/>
        <v>14214</v>
      </c>
      <c r="AC3340" t="s">
        <v>119</v>
      </c>
      <c r="AD3340" t="s">
        <v>113</v>
      </c>
      <c r="AE3340" t="s">
        <v>3098</v>
      </c>
      <c r="AG3340" t="s">
        <v>121</v>
      </c>
    </row>
    <row r="3341" spans="1:33" x14ac:dyDescent="0.25">
      <c r="C3341" t="s">
        <v>18758</v>
      </c>
      <c r="G3341" t="s">
        <v>18746</v>
      </c>
      <c r="H3341" t="s">
        <v>18747</v>
      </c>
      <c r="J3341" t="s">
        <v>18748</v>
      </c>
      <c r="K3341" t="s">
        <v>303</v>
      </c>
      <c r="L3341" t="s">
        <v>3095</v>
      </c>
      <c r="M3341" t="s">
        <v>113</v>
      </c>
      <c r="N3341" t="s">
        <v>18749</v>
      </c>
      <c r="O3341" t="s">
        <v>3097</v>
      </c>
      <c r="P3341" t="s">
        <v>117</v>
      </c>
      <c r="Q3341" t="str">
        <f t="shared" si="0"/>
        <v>14214</v>
      </c>
      <c r="AC3341" t="s">
        <v>119</v>
      </c>
      <c r="AD3341" t="s">
        <v>113</v>
      </c>
      <c r="AE3341" t="s">
        <v>3098</v>
      </c>
      <c r="AG3341" t="s">
        <v>121</v>
      </c>
    </row>
    <row r="3342" spans="1:33" x14ac:dyDescent="0.25">
      <c r="C3342" t="s">
        <v>18759</v>
      </c>
      <c r="G3342" t="s">
        <v>18746</v>
      </c>
      <c r="H3342" t="s">
        <v>18747</v>
      </c>
      <c r="J3342" t="s">
        <v>18748</v>
      </c>
      <c r="K3342" t="s">
        <v>303</v>
      </c>
      <c r="L3342" t="s">
        <v>3095</v>
      </c>
      <c r="M3342" t="s">
        <v>113</v>
      </c>
      <c r="N3342" t="s">
        <v>18749</v>
      </c>
      <c r="O3342" t="s">
        <v>3097</v>
      </c>
      <c r="P3342" t="s">
        <v>117</v>
      </c>
      <c r="Q3342" t="str">
        <f t="shared" si="0"/>
        <v>14214</v>
      </c>
      <c r="AC3342" t="s">
        <v>119</v>
      </c>
      <c r="AD3342" t="s">
        <v>113</v>
      </c>
      <c r="AE3342" t="s">
        <v>3098</v>
      </c>
      <c r="AG3342" t="s">
        <v>121</v>
      </c>
    </row>
    <row r="3343" spans="1:33" x14ac:dyDescent="0.25">
      <c r="C3343" t="s">
        <v>18760</v>
      </c>
      <c r="G3343" t="s">
        <v>18746</v>
      </c>
      <c r="H3343" t="s">
        <v>18747</v>
      </c>
      <c r="J3343" t="s">
        <v>18748</v>
      </c>
      <c r="K3343" t="s">
        <v>303</v>
      </c>
      <c r="L3343" t="s">
        <v>3095</v>
      </c>
      <c r="M3343" t="s">
        <v>113</v>
      </c>
      <c r="N3343" t="s">
        <v>18749</v>
      </c>
      <c r="O3343" t="s">
        <v>3097</v>
      </c>
      <c r="P3343" t="s">
        <v>117</v>
      </c>
      <c r="Q3343" t="str">
        <f t="shared" si="0"/>
        <v>14214</v>
      </c>
      <c r="AC3343" t="s">
        <v>119</v>
      </c>
      <c r="AD3343" t="s">
        <v>113</v>
      </c>
      <c r="AE3343" t="s">
        <v>3098</v>
      </c>
      <c r="AG3343" t="s">
        <v>121</v>
      </c>
    </row>
    <row r="3344" spans="1:33" x14ac:dyDescent="0.25">
      <c r="C3344" t="s">
        <v>18761</v>
      </c>
      <c r="G3344" t="s">
        <v>18746</v>
      </c>
      <c r="H3344" t="s">
        <v>18747</v>
      </c>
      <c r="J3344" t="s">
        <v>18748</v>
      </c>
      <c r="K3344" t="s">
        <v>303</v>
      </c>
      <c r="L3344" t="s">
        <v>3095</v>
      </c>
      <c r="M3344" t="s">
        <v>113</v>
      </c>
      <c r="N3344" t="s">
        <v>18749</v>
      </c>
      <c r="O3344" t="s">
        <v>3097</v>
      </c>
      <c r="P3344" t="s">
        <v>117</v>
      </c>
      <c r="Q3344" t="str">
        <f t="shared" si="0"/>
        <v>14214</v>
      </c>
      <c r="AC3344" t="s">
        <v>119</v>
      </c>
      <c r="AD3344" t="s">
        <v>113</v>
      </c>
      <c r="AE3344" t="s">
        <v>3098</v>
      </c>
      <c r="AG3344" t="s">
        <v>121</v>
      </c>
    </row>
    <row r="3345" spans="3:33" x14ac:dyDescent="0.25">
      <c r="C3345" t="s">
        <v>18762</v>
      </c>
      <c r="G3345" t="s">
        <v>18746</v>
      </c>
      <c r="H3345" t="s">
        <v>18747</v>
      </c>
      <c r="J3345" t="s">
        <v>18748</v>
      </c>
      <c r="K3345" t="s">
        <v>303</v>
      </c>
      <c r="L3345" t="s">
        <v>3095</v>
      </c>
      <c r="M3345" t="s">
        <v>113</v>
      </c>
      <c r="N3345" t="s">
        <v>18749</v>
      </c>
      <c r="O3345" t="s">
        <v>3097</v>
      </c>
      <c r="P3345" t="s">
        <v>117</v>
      </c>
      <c r="Q3345" t="str">
        <f t="shared" si="0"/>
        <v>14214</v>
      </c>
      <c r="AC3345" t="s">
        <v>119</v>
      </c>
      <c r="AD3345" t="s">
        <v>113</v>
      </c>
      <c r="AE3345" t="s">
        <v>3098</v>
      </c>
      <c r="AG3345" t="s">
        <v>121</v>
      </c>
    </row>
    <row r="3346" spans="3:33" x14ac:dyDescent="0.25">
      <c r="C3346" t="s">
        <v>18763</v>
      </c>
      <c r="G3346" t="s">
        <v>18746</v>
      </c>
      <c r="H3346" t="s">
        <v>18747</v>
      </c>
      <c r="J3346" t="s">
        <v>18748</v>
      </c>
      <c r="K3346" t="s">
        <v>303</v>
      </c>
      <c r="L3346" t="s">
        <v>3095</v>
      </c>
      <c r="M3346" t="s">
        <v>113</v>
      </c>
      <c r="N3346" t="s">
        <v>18749</v>
      </c>
      <c r="O3346" t="s">
        <v>3097</v>
      </c>
      <c r="P3346" t="s">
        <v>117</v>
      </c>
      <c r="Q3346" t="str">
        <f t="shared" si="0"/>
        <v>14214</v>
      </c>
      <c r="AC3346" t="s">
        <v>119</v>
      </c>
      <c r="AD3346" t="s">
        <v>113</v>
      </c>
      <c r="AE3346" t="s">
        <v>3098</v>
      </c>
      <c r="AG3346" t="s">
        <v>121</v>
      </c>
    </row>
    <row r="3347" spans="3:33" x14ac:dyDescent="0.25">
      <c r="C3347" t="s">
        <v>18764</v>
      </c>
      <c r="G3347" t="s">
        <v>18746</v>
      </c>
      <c r="H3347" t="s">
        <v>18747</v>
      </c>
      <c r="J3347" t="s">
        <v>18748</v>
      </c>
      <c r="K3347" t="s">
        <v>303</v>
      </c>
      <c r="L3347" t="s">
        <v>3095</v>
      </c>
      <c r="M3347" t="s">
        <v>113</v>
      </c>
      <c r="N3347" t="s">
        <v>18749</v>
      </c>
      <c r="O3347" t="s">
        <v>3097</v>
      </c>
      <c r="P3347" t="s">
        <v>117</v>
      </c>
      <c r="Q3347" t="str">
        <f t="shared" si="0"/>
        <v>14214</v>
      </c>
      <c r="AC3347" t="s">
        <v>119</v>
      </c>
      <c r="AD3347" t="s">
        <v>113</v>
      </c>
      <c r="AE3347" t="s">
        <v>3098</v>
      </c>
      <c r="AG3347" t="s">
        <v>121</v>
      </c>
    </row>
    <row r="3348" spans="3:33" x14ac:dyDescent="0.25">
      <c r="C3348" t="s">
        <v>18765</v>
      </c>
      <c r="G3348" t="s">
        <v>18746</v>
      </c>
      <c r="H3348" t="s">
        <v>18747</v>
      </c>
      <c r="J3348" t="s">
        <v>18748</v>
      </c>
      <c r="K3348" t="s">
        <v>303</v>
      </c>
      <c r="L3348" t="s">
        <v>3095</v>
      </c>
      <c r="M3348" t="s">
        <v>113</v>
      </c>
      <c r="N3348" t="s">
        <v>18749</v>
      </c>
      <c r="O3348" t="s">
        <v>3097</v>
      </c>
      <c r="P3348" t="s">
        <v>117</v>
      </c>
      <c r="Q3348" t="str">
        <f t="shared" si="0"/>
        <v>14214</v>
      </c>
      <c r="AC3348" t="s">
        <v>119</v>
      </c>
      <c r="AD3348" t="s">
        <v>113</v>
      </c>
      <c r="AE3348" t="s">
        <v>3098</v>
      </c>
      <c r="AG3348" t="s">
        <v>121</v>
      </c>
    </row>
    <row r="3349" spans="3:33" x14ac:dyDescent="0.25">
      <c r="C3349" t="s">
        <v>18766</v>
      </c>
      <c r="G3349" t="s">
        <v>18746</v>
      </c>
      <c r="H3349" t="s">
        <v>18747</v>
      </c>
      <c r="J3349" t="s">
        <v>18748</v>
      </c>
      <c r="K3349" t="s">
        <v>303</v>
      </c>
      <c r="L3349" t="s">
        <v>3095</v>
      </c>
      <c r="M3349" t="s">
        <v>113</v>
      </c>
      <c r="N3349" t="s">
        <v>18749</v>
      </c>
      <c r="O3349" t="s">
        <v>3097</v>
      </c>
      <c r="P3349" t="s">
        <v>117</v>
      </c>
      <c r="Q3349" t="str">
        <f t="shared" si="0"/>
        <v>14214</v>
      </c>
      <c r="AC3349" t="s">
        <v>119</v>
      </c>
      <c r="AD3349" t="s">
        <v>113</v>
      </c>
      <c r="AE3349" t="s">
        <v>3098</v>
      </c>
      <c r="AG3349" t="s">
        <v>121</v>
      </c>
    </row>
    <row r="3350" spans="3:33" x14ac:dyDescent="0.25">
      <c r="C3350" t="s">
        <v>18767</v>
      </c>
      <c r="G3350" t="s">
        <v>18746</v>
      </c>
      <c r="H3350" t="s">
        <v>18747</v>
      </c>
      <c r="J3350" t="s">
        <v>18748</v>
      </c>
      <c r="K3350" t="s">
        <v>303</v>
      </c>
      <c r="L3350" t="s">
        <v>3095</v>
      </c>
      <c r="M3350" t="s">
        <v>113</v>
      </c>
      <c r="N3350" t="s">
        <v>18749</v>
      </c>
      <c r="O3350" t="s">
        <v>3097</v>
      </c>
      <c r="P3350" t="s">
        <v>117</v>
      </c>
      <c r="Q3350" t="str">
        <f t="shared" si="0"/>
        <v>14214</v>
      </c>
      <c r="AC3350" t="s">
        <v>119</v>
      </c>
      <c r="AD3350" t="s">
        <v>113</v>
      </c>
      <c r="AE3350" t="s">
        <v>3098</v>
      </c>
      <c r="AG3350" t="s">
        <v>121</v>
      </c>
    </row>
    <row r="3351" spans="3:33" x14ac:dyDescent="0.25">
      <c r="C3351" t="s">
        <v>18768</v>
      </c>
      <c r="G3351" t="s">
        <v>18746</v>
      </c>
      <c r="H3351" t="s">
        <v>18747</v>
      </c>
      <c r="J3351" t="s">
        <v>18748</v>
      </c>
      <c r="K3351" t="s">
        <v>303</v>
      </c>
      <c r="L3351" t="s">
        <v>3095</v>
      </c>
      <c r="M3351" t="s">
        <v>113</v>
      </c>
      <c r="N3351" t="s">
        <v>18749</v>
      </c>
      <c r="O3351" t="s">
        <v>3097</v>
      </c>
      <c r="P3351" t="s">
        <v>117</v>
      </c>
      <c r="Q3351" t="str">
        <f t="shared" si="0"/>
        <v>14214</v>
      </c>
      <c r="AC3351" t="s">
        <v>119</v>
      </c>
      <c r="AD3351" t="s">
        <v>113</v>
      </c>
      <c r="AE3351" t="s">
        <v>3098</v>
      </c>
      <c r="AG3351" t="s">
        <v>121</v>
      </c>
    </row>
    <row r="3352" spans="3:33" x14ac:dyDescent="0.25">
      <c r="C3352" t="s">
        <v>18769</v>
      </c>
      <c r="G3352" t="s">
        <v>18746</v>
      </c>
      <c r="H3352" t="s">
        <v>18747</v>
      </c>
      <c r="J3352" t="s">
        <v>18748</v>
      </c>
      <c r="K3352" t="s">
        <v>303</v>
      </c>
      <c r="L3352" t="s">
        <v>3095</v>
      </c>
      <c r="M3352" t="s">
        <v>113</v>
      </c>
      <c r="N3352" t="s">
        <v>18749</v>
      </c>
      <c r="O3352" t="s">
        <v>3097</v>
      </c>
      <c r="P3352" t="s">
        <v>117</v>
      </c>
      <c r="Q3352" t="str">
        <f t="shared" si="0"/>
        <v>14214</v>
      </c>
      <c r="AC3352" t="s">
        <v>119</v>
      </c>
      <c r="AD3352" t="s">
        <v>113</v>
      </c>
      <c r="AE3352" t="s">
        <v>3098</v>
      </c>
      <c r="AG3352" t="s">
        <v>121</v>
      </c>
    </row>
    <row r="3353" spans="3:33" x14ac:dyDescent="0.25">
      <c r="C3353" t="s">
        <v>18770</v>
      </c>
      <c r="G3353" t="s">
        <v>18746</v>
      </c>
      <c r="H3353" t="s">
        <v>18747</v>
      </c>
      <c r="J3353" t="s">
        <v>18748</v>
      </c>
      <c r="K3353" t="s">
        <v>303</v>
      </c>
      <c r="L3353" t="s">
        <v>3095</v>
      </c>
      <c r="M3353" t="s">
        <v>113</v>
      </c>
      <c r="N3353" t="s">
        <v>18749</v>
      </c>
      <c r="O3353" t="s">
        <v>3097</v>
      </c>
      <c r="P3353" t="s">
        <v>117</v>
      </c>
      <c r="Q3353" t="str">
        <f t="shared" si="0"/>
        <v>14214</v>
      </c>
      <c r="AC3353" t="s">
        <v>119</v>
      </c>
      <c r="AD3353" t="s">
        <v>113</v>
      </c>
      <c r="AE3353" t="s">
        <v>3098</v>
      </c>
      <c r="AG3353" t="s">
        <v>121</v>
      </c>
    </row>
    <row r="3354" spans="3:33" x14ac:dyDescent="0.25">
      <c r="C3354" t="s">
        <v>18771</v>
      </c>
      <c r="G3354" t="s">
        <v>18746</v>
      </c>
      <c r="H3354" t="s">
        <v>18747</v>
      </c>
      <c r="J3354" t="s">
        <v>18748</v>
      </c>
      <c r="K3354" t="s">
        <v>303</v>
      </c>
      <c r="L3354" t="s">
        <v>3095</v>
      </c>
      <c r="M3354" t="s">
        <v>113</v>
      </c>
      <c r="N3354" t="s">
        <v>18749</v>
      </c>
      <c r="O3354" t="s">
        <v>3097</v>
      </c>
      <c r="P3354" t="s">
        <v>117</v>
      </c>
      <c r="Q3354" t="str">
        <f t="shared" si="0"/>
        <v>14214</v>
      </c>
      <c r="AC3354" t="s">
        <v>119</v>
      </c>
      <c r="AD3354" t="s">
        <v>113</v>
      </c>
      <c r="AE3354" t="s">
        <v>3098</v>
      </c>
      <c r="AG3354" t="s">
        <v>121</v>
      </c>
    </row>
    <row r="3355" spans="3:33" x14ac:dyDescent="0.25">
      <c r="C3355" t="s">
        <v>18772</v>
      </c>
      <c r="G3355" t="s">
        <v>18746</v>
      </c>
      <c r="H3355" t="s">
        <v>18747</v>
      </c>
      <c r="J3355" t="s">
        <v>18748</v>
      </c>
      <c r="K3355" t="s">
        <v>303</v>
      </c>
      <c r="L3355" t="s">
        <v>3095</v>
      </c>
      <c r="M3355" t="s">
        <v>113</v>
      </c>
      <c r="N3355" t="s">
        <v>18749</v>
      </c>
      <c r="O3355" t="s">
        <v>3097</v>
      </c>
      <c r="P3355" t="s">
        <v>117</v>
      </c>
      <c r="Q3355" t="str">
        <f t="shared" si="0"/>
        <v>14214</v>
      </c>
      <c r="AC3355" t="s">
        <v>119</v>
      </c>
      <c r="AD3355" t="s">
        <v>113</v>
      </c>
      <c r="AE3355" t="s">
        <v>3098</v>
      </c>
      <c r="AG3355" t="s">
        <v>121</v>
      </c>
    </row>
    <row r="3356" spans="3:33" x14ac:dyDescent="0.25">
      <c r="C3356" t="s">
        <v>18773</v>
      </c>
      <c r="G3356" t="s">
        <v>18746</v>
      </c>
      <c r="H3356" t="s">
        <v>18747</v>
      </c>
      <c r="J3356" t="s">
        <v>18748</v>
      </c>
      <c r="K3356" t="s">
        <v>303</v>
      </c>
      <c r="L3356" t="s">
        <v>3095</v>
      </c>
      <c r="M3356" t="s">
        <v>113</v>
      </c>
      <c r="N3356" t="s">
        <v>18749</v>
      </c>
      <c r="O3356" t="s">
        <v>3097</v>
      </c>
      <c r="P3356" t="s">
        <v>117</v>
      </c>
      <c r="Q3356" t="str">
        <f t="shared" si="0"/>
        <v>14214</v>
      </c>
      <c r="AC3356" t="s">
        <v>119</v>
      </c>
      <c r="AD3356" t="s">
        <v>113</v>
      </c>
      <c r="AE3356" t="s">
        <v>3098</v>
      </c>
      <c r="AG3356" t="s">
        <v>121</v>
      </c>
    </row>
    <row r="3357" spans="3:33" x14ac:dyDescent="0.25">
      <c r="C3357" t="s">
        <v>18774</v>
      </c>
      <c r="G3357" t="s">
        <v>18746</v>
      </c>
      <c r="H3357" t="s">
        <v>18747</v>
      </c>
      <c r="J3357" t="s">
        <v>18748</v>
      </c>
      <c r="K3357" t="s">
        <v>18775</v>
      </c>
      <c r="L3357" t="s">
        <v>3095</v>
      </c>
      <c r="M3357" t="s">
        <v>113</v>
      </c>
      <c r="N3357" t="s">
        <v>18749</v>
      </c>
      <c r="O3357" t="s">
        <v>3097</v>
      </c>
      <c r="P3357" t="s">
        <v>117</v>
      </c>
      <c r="Q3357" t="str">
        <f t="shared" si="0"/>
        <v>14214</v>
      </c>
      <c r="AC3357" t="s">
        <v>119</v>
      </c>
      <c r="AD3357" t="s">
        <v>113</v>
      </c>
      <c r="AE3357" t="s">
        <v>3098</v>
      </c>
      <c r="AG3357" t="s">
        <v>121</v>
      </c>
    </row>
    <row r="3358" spans="3:33" x14ac:dyDescent="0.25">
      <c r="C3358" t="s">
        <v>18776</v>
      </c>
      <c r="G3358" t="s">
        <v>18746</v>
      </c>
      <c r="H3358" t="s">
        <v>18747</v>
      </c>
      <c r="J3358" t="s">
        <v>18748</v>
      </c>
      <c r="K3358" t="s">
        <v>303</v>
      </c>
      <c r="L3358" t="s">
        <v>3095</v>
      </c>
      <c r="M3358" t="s">
        <v>113</v>
      </c>
      <c r="N3358" t="s">
        <v>18749</v>
      </c>
      <c r="O3358" t="s">
        <v>3097</v>
      </c>
      <c r="P3358" t="s">
        <v>117</v>
      </c>
      <c r="Q3358" t="str">
        <f t="shared" si="0"/>
        <v>14214</v>
      </c>
      <c r="AC3358" t="s">
        <v>119</v>
      </c>
      <c r="AD3358" t="s">
        <v>113</v>
      </c>
      <c r="AE3358" t="s">
        <v>3098</v>
      </c>
      <c r="AG3358" t="s">
        <v>121</v>
      </c>
    </row>
    <row r="3359" spans="3:33" x14ac:dyDescent="0.25">
      <c r="C3359" t="s">
        <v>18777</v>
      </c>
      <c r="G3359" t="s">
        <v>18746</v>
      </c>
      <c r="H3359" t="s">
        <v>18747</v>
      </c>
      <c r="J3359" t="s">
        <v>18748</v>
      </c>
      <c r="K3359" t="s">
        <v>303</v>
      </c>
      <c r="L3359" t="s">
        <v>3095</v>
      </c>
      <c r="M3359" t="s">
        <v>113</v>
      </c>
      <c r="N3359" t="s">
        <v>18749</v>
      </c>
      <c r="O3359" t="s">
        <v>3097</v>
      </c>
      <c r="P3359" t="s">
        <v>117</v>
      </c>
      <c r="Q3359" t="str">
        <f t="shared" si="0"/>
        <v>14214</v>
      </c>
      <c r="AC3359" t="s">
        <v>119</v>
      </c>
      <c r="AD3359" t="s">
        <v>113</v>
      </c>
      <c r="AE3359" t="s">
        <v>3098</v>
      </c>
      <c r="AG3359" t="s">
        <v>121</v>
      </c>
    </row>
    <row r="3360" spans="3:33" x14ac:dyDescent="0.25">
      <c r="C3360" t="s">
        <v>18778</v>
      </c>
      <c r="G3360" t="s">
        <v>18746</v>
      </c>
      <c r="H3360" t="s">
        <v>18747</v>
      </c>
      <c r="J3360" t="s">
        <v>18748</v>
      </c>
      <c r="K3360" t="s">
        <v>303</v>
      </c>
      <c r="L3360" t="s">
        <v>3095</v>
      </c>
      <c r="M3360" t="s">
        <v>113</v>
      </c>
      <c r="N3360" t="s">
        <v>18749</v>
      </c>
      <c r="O3360" t="s">
        <v>3097</v>
      </c>
      <c r="P3360" t="s">
        <v>117</v>
      </c>
      <c r="Q3360" t="str">
        <f t="shared" si="0"/>
        <v>14214</v>
      </c>
      <c r="AC3360" t="s">
        <v>119</v>
      </c>
      <c r="AD3360" t="s">
        <v>113</v>
      </c>
      <c r="AE3360" t="s">
        <v>3098</v>
      </c>
      <c r="AG3360" t="s">
        <v>121</v>
      </c>
    </row>
    <row r="3361" spans="1:33" x14ac:dyDescent="0.25">
      <c r="C3361" t="s">
        <v>18779</v>
      </c>
      <c r="G3361" t="s">
        <v>18780</v>
      </c>
      <c r="H3361" t="s">
        <v>18781</v>
      </c>
      <c r="J3361" t="s">
        <v>18782</v>
      </c>
      <c r="K3361" t="s">
        <v>303</v>
      </c>
      <c r="L3361" t="s">
        <v>3095</v>
      </c>
      <c r="M3361" t="s">
        <v>113</v>
      </c>
      <c r="N3361" t="s">
        <v>18783</v>
      </c>
      <c r="O3361" t="s">
        <v>3097</v>
      </c>
      <c r="P3361" t="s">
        <v>117</v>
      </c>
      <c r="Q3361" t="str">
        <f>"14209"</f>
        <v>14209</v>
      </c>
      <c r="AC3361" t="s">
        <v>119</v>
      </c>
      <c r="AD3361" t="s">
        <v>113</v>
      </c>
      <c r="AE3361" t="s">
        <v>3098</v>
      </c>
      <c r="AG3361" t="s">
        <v>121</v>
      </c>
    </row>
    <row r="3362" spans="1:33" x14ac:dyDescent="0.25">
      <c r="C3362" t="s">
        <v>18784</v>
      </c>
      <c r="G3362" t="s">
        <v>18785</v>
      </c>
      <c r="H3362" t="s">
        <v>18786</v>
      </c>
      <c r="J3362" t="s">
        <v>18787</v>
      </c>
      <c r="K3362" t="s">
        <v>303</v>
      </c>
      <c r="L3362" t="s">
        <v>3095</v>
      </c>
      <c r="M3362" t="s">
        <v>113</v>
      </c>
      <c r="N3362" t="s">
        <v>18788</v>
      </c>
      <c r="O3362" t="s">
        <v>3097</v>
      </c>
      <c r="P3362" t="s">
        <v>117</v>
      </c>
      <c r="Q3362" t="str">
        <f>"14213"</f>
        <v>14213</v>
      </c>
      <c r="AC3362" t="s">
        <v>119</v>
      </c>
      <c r="AD3362" t="s">
        <v>113</v>
      </c>
      <c r="AE3362" t="s">
        <v>3098</v>
      </c>
      <c r="AG3362" t="s">
        <v>121</v>
      </c>
    </row>
    <row r="3363" spans="1:33" x14ac:dyDescent="0.25">
      <c r="C3363" t="s">
        <v>18789</v>
      </c>
      <c r="G3363" t="s">
        <v>18790</v>
      </c>
      <c r="H3363" t="s">
        <v>18791</v>
      </c>
      <c r="J3363" t="s">
        <v>18792</v>
      </c>
      <c r="K3363" t="s">
        <v>303</v>
      </c>
      <c r="L3363" t="s">
        <v>3095</v>
      </c>
      <c r="M3363" t="s">
        <v>113</v>
      </c>
      <c r="N3363" t="s">
        <v>18793</v>
      </c>
      <c r="O3363" t="s">
        <v>18794</v>
      </c>
      <c r="P3363" t="s">
        <v>117</v>
      </c>
      <c r="Q3363" t="str">
        <f>"14224"</f>
        <v>14224</v>
      </c>
      <c r="AC3363" t="s">
        <v>119</v>
      </c>
      <c r="AD3363" t="s">
        <v>113</v>
      </c>
      <c r="AE3363" t="s">
        <v>3098</v>
      </c>
      <c r="AG3363" t="s">
        <v>121</v>
      </c>
    </row>
    <row r="3364" spans="1:33" x14ac:dyDescent="0.25">
      <c r="A3364" t="str">
        <f>"1790043172"</f>
        <v>1790043172</v>
      </c>
      <c r="C3364" t="s">
        <v>18795</v>
      </c>
      <c r="G3364" t="s">
        <v>18796</v>
      </c>
      <c r="H3364" t="s">
        <v>18797</v>
      </c>
      <c r="J3364" t="s">
        <v>18798</v>
      </c>
      <c r="K3364" t="s">
        <v>303</v>
      </c>
      <c r="L3364" t="s">
        <v>229</v>
      </c>
      <c r="M3364" t="s">
        <v>113</v>
      </c>
      <c r="R3364" t="s">
        <v>18799</v>
      </c>
      <c r="S3364" t="s">
        <v>18800</v>
      </c>
      <c r="T3364" t="s">
        <v>116</v>
      </c>
      <c r="U3364" t="s">
        <v>117</v>
      </c>
      <c r="V3364" t="str">
        <f>"142062368"</f>
        <v>142062368</v>
      </c>
      <c r="AC3364" t="s">
        <v>119</v>
      </c>
      <c r="AD3364" t="s">
        <v>113</v>
      </c>
      <c r="AE3364" t="s">
        <v>306</v>
      </c>
      <c r="AG3364" t="s">
        <v>121</v>
      </c>
    </row>
    <row r="3365" spans="1:33" x14ac:dyDescent="0.25">
      <c r="C3365" t="s">
        <v>18801</v>
      </c>
      <c r="G3365" t="s">
        <v>18802</v>
      </c>
      <c r="H3365" t="s">
        <v>18803</v>
      </c>
      <c r="I3365">
        <v>166</v>
      </c>
      <c r="J3365" t="s">
        <v>18804</v>
      </c>
      <c r="K3365" t="s">
        <v>303</v>
      </c>
      <c r="L3365" t="s">
        <v>3095</v>
      </c>
      <c r="M3365" t="s">
        <v>113</v>
      </c>
      <c r="N3365" t="s">
        <v>18805</v>
      </c>
      <c r="O3365" t="s">
        <v>18806</v>
      </c>
      <c r="P3365" t="s">
        <v>117</v>
      </c>
      <c r="Q3365" t="str">
        <f>"14052"</f>
        <v>14052</v>
      </c>
      <c r="AC3365" t="s">
        <v>119</v>
      </c>
      <c r="AD3365" t="s">
        <v>113</v>
      </c>
      <c r="AE3365" t="s">
        <v>3098</v>
      </c>
      <c r="AG3365" t="s">
        <v>121</v>
      </c>
    </row>
    <row r="3366" spans="1:33" x14ac:dyDescent="0.25">
      <c r="C3366" t="s">
        <v>18807</v>
      </c>
      <c r="G3366" t="s">
        <v>18808</v>
      </c>
      <c r="H3366" t="s">
        <v>18809</v>
      </c>
      <c r="J3366" t="s">
        <v>18810</v>
      </c>
      <c r="K3366" t="s">
        <v>303</v>
      </c>
      <c r="L3366" t="s">
        <v>3095</v>
      </c>
      <c r="M3366" t="s">
        <v>113</v>
      </c>
      <c r="N3366" t="s">
        <v>18811</v>
      </c>
      <c r="O3366" t="s">
        <v>18812</v>
      </c>
      <c r="P3366" t="s">
        <v>117</v>
      </c>
      <c r="Q3366" t="str">
        <f>"14221"</f>
        <v>14221</v>
      </c>
      <c r="AC3366" t="s">
        <v>119</v>
      </c>
      <c r="AD3366" t="s">
        <v>113</v>
      </c>
      <c r="AE3366" t="s">
        <v>3098</v>
      </c>
      <c r="AG3366" t="s">
        <v>121</v>
      </c>
    </row>
    <row r="3367" spans="1:33" x14ac:dyDescent="0.25">
      <c r="C3367" t="s">
        <v>18813</v>
      </c>
      <c r="G3367" t="s">
        <v>18814</v>
      </c>
      <c r="H3367" t="s">
        <v>18815</v>
      </c>
      <c r="J3367" t="s">
        <v>18816</v>
      </c>
      <c r="K3367" t="s">
        <v>303</v>
      </c>
      <c r="L3367" t="s">
        <v>3095</v>
      </c>
      <c r="M3367" t="s">
        <v>113</v>
      </c>
      <c r="N3367" t="s">
        <v>18817</v>
      </c>
      <c r="O3367" t="s">
        <v>3097</v>
      </c>
      <c r="P3367" t="s">
        <v>117</v>
      </c>
      <c r="Q3367" t="str">
        <f>"14209"</f>
        <v>14209</v>
      </c>
      <c r="AC3367" t="s">
        <v>119</v>
      </c>
      <c r="AD3367" t="s">
        <v>113</v>
      </c>
      <c r="AE3367" t="s">
        <v>3098</v>
      </c>
      <c r="AG3367" t="s">
        <v>121</v>
      </c>
    </row>
    <row r="3368" spans="1:33" x14ac:dyDescent="0.25">
      <c r="C3368" t="s">
        <v>18818</v>
      </c>
      <c r="G3368" t="s">
        <v>18819</v>
      </c>
      <c r="H3368" t="s">
        <v>18820</v>
      </c>
      <c r="J3368" t="s">
        <v>18821</v>
      </c>
      <c r="K3368" t="s">
        <v>303</v>
      </c>
      <c r="L3368" t="s">
        <v>3095</v>
      </c>
      <c r="M3368" t="s">
        <v>113</v>
      </c>
      <c r="N3368" t="s">
        <v>18822</v>
      </c>
      <c r="O3368" t="s">
        <v>3097</v>
      </c>
      <c r="P3368" t="s">
        <v>117</v>
      </c>
      <c r="Q3368" t="str">
        <f>"14209"</f>
        <v>14209</v>
      </c>
      <c r="AC3368" t="s">
        <v>119</v>
      </c>
      <c r="AD3368" t="s">
        <v>113</v>
      </c>
      <c r="AE3368" t="s">
        <v>3098</v>
      </c>
      <c r="AG3368" t="s">
        <v>121</v>
      </c>
    </row>
    <row r="3369" spans="1:33" x14ac:dyDescent="0.25">
      <c r="C3369" t="s">
        <v>18823</v>
      </c>
      <c r="G3369" t="s">
        <v>18824</v>
      </c>
      <c r="H3369" t="s">
        <v>18825</v>
      </c>
      <c r="J3369" t="s">
        <v>18826</v>
      </c>
      <c r="K3369" t="s">
        <v>303</v>
      </c>
      <c r="L3369" t="s">
        <v>3095</v>
      </c>
      <c r="M3369" t="s">
        <v>113</v>
      </c>
      <c r="N3369" t="s">
        <v>18827</v>
      </c>
      <c r="O3369" t="s">
        <v>3097</v>
      </c>
      <c r="P3369" t="s">
        <v>117</v>
      </c>
      <c r="Q3369" t="str">
        <f>"14206"</f>
        <v>14206</v>
      </c>
      <c r="AC3369" t="s">
        <v>119</v>
      </c>
      <c r="AD3369" t="s">
        <v>113</v>
      </c>
      <c r="AE3369" t="s">
        <v>3098</v>
      </c>
      <c r="AG3369" t="s">
        <v>121</v>
      </c>
    </row>
    <row r="3370" spans="1:33" x14ac:dyDescent="0.25">
      <c r="A3370" t="str">
        <f>"1932111762"</f>
        <v>1932111762</v>
      </c>
      <c r="B3370" t="str">
        <f>"00699087"</f>
        <v>00699087</v>
      </c>
      <c r="C3370" t="s">
        <v>18828</v>
      </c>
      <c r="D3370" t="s">
        <v>18829</v>
      </c>
      <c r="E3370" t="s">
        <v>18830</v>
      </c>
      <c r="G3370" t="s">
        <v>18831</v>
      </c>
      <c r="H3370" t="s">
        <v>18832</v>
      </c>
      <c r="L3370" t="s">
        <v>142</v>
      </c>
      <c r="M3370" t="s">
        <v>113</v>
      </c>
      <c r="R3370" t="s">
        <v>18831</v>
      </c>
      <c r="W3370" t="s">
        <v>18830</v>
      </c>
      <c r="X3370" t="s">
        <v>18833</v>
      </c>
      <c r="Y3370" t="s">
        <v>326</v>
      </c>
      <c r="Z3370" t="s">
        <v>117</v>
      </c>
      <c r="AA3370" t="str">
        <f>"14127-1236"</f>
        <v>14127-1236</v>
      </c>
      <c r="AB3370" t="s">
        <v>118</v>
      </c>
      <c r="AC3370" t="s">
        <v>119</v>
      </c>
      <c r="AD3370" t="s">
        <v>113</v>
      </c>
      <c r="AE3370" t="s">
        <v>120</v>
      </c>
      <c r="AG3370" t="s">
        <v>121</v>
      </c>
    </row>
    <row r="3371" spans="1:33" x14ac:dyDescent="0.25">
      <c r="A3371" t="str">
        <f>"1932114642"</f>
        <v>1932114642</v>
      </c>
      <c r="B3371" t="str">
        <f>"02074899"</f>
        <v>02074899</v>
      </c>
      <c r="C3371" t="s">
        <v>18834</v>
      </c>
      <c r="D3371" t="s">
        <v>18835</v>
      </c>
      <c r="E3371" t="s">
        <v>18836</v>
      </c>
      <c r="G3371" t="s">
        <v>18837</v>
      </c>
      <c r="H3371" t="s">
        <v>205</v>
      </c>
      <c r="J3371" t="s">
        <v>18838</v>
      </c>
      <c r="L3371" t="s">
        <v>142</v>
      </c>
      <c r="M3371" t="s">
        <v>113</v>
      </c>
      <c r="R3371" t="s">
        <v>18839</v>
      </c>
      <c r="W3371" t="s">
        <v>18836</v>
      </c>
      <c r="X3371" t="s">
        <v>18840</v>
      </c>
      <c r="Y3371" t="s">
        <v>116</v>
      </c>
      <c r="Z3371" t="s">
        <v>117</v>
      </c>
      <c r="AA3371" t="str">
        <f>"14221-5329"</f>
        <v>14221-5329</v>
      </c>
      <c r="AB3371" t="s">
        <v>118</v>
      </c>
      <c r="AC3371" t="s">
        <v>119</v>
      </c>
      <c r="AD3371" t="s">
        <v>113</v>
      </c>
      <c r="AE3371" t="s">
        <v>120</v>
      </c>
      <c r="AG3371" t="s">
        <v>121</v>
      </c>
    </row>
    <row r="3372" spans="1:33" x14ac:dyDescent="0.25">
      <c r="A3372" t="str">
        <f>"1932134988"</f>
        <v>1932134988</v>
      </c>
      <c r="B3372" t="str">
        <f>"00609825"</f>
        <v>00609825</v>
      </c>
      <c r="C3372" t="s">
        <v>18841</v>
      </c>
      <c r="D3372" t="s">
        <v>18842</v>
      </c>
      <c r="E3372" t="s">
        <v>18843</v>
      </c>
      <c r="G3372" t="s">
        <v>18841</v>
      </c>
      <c r="H3372" t="s">
        <v>718</v>
      </c>
      <c r="J3372" t="s">
        <v>18844</v>
      </c>
      <c r="L3372" t="s">
        <v>150</v>
      </c>
      <c r="M3372" t="s">
        <v>113</v>
      </c>
      <c r="R3372" t="s">
        <v>18845</v>
      </c>
      <c r="W3372" t="s">
        <v>18846</v>
      </c>
      <c r="X3372" t="s">
        <v>721</v>
      </c>
      <c r="Y3372" t="s">
        <v>129</v>
      </c>
      <c r="Z3372" t="s">
        <v>117</v>
      </c>
      <c r="AA3372" t="str">
        <f>"14224-3452"</f>
        <v>14224-3452</v>
      </c>
      <c r="AB3372" t="s">
        <v>118</v>
      </c>
      <c r="AC3372" t="s">
        <v>119</v>
      </c>
      <c r="AD3372" t="s">
        <v>113</v>
      </c>
      <c r="AE3372" t="s">
        <v>120</v>
      </c>
      <c r="AG3372" t="s">
        <v>121</v>
      </c>
    </row>
    <row r="3373" spans="1:33" x14ac:dyDescent="0.25">
      <c r="A3373" t="str">
        <f>"1669670717"</f>
        <v>1669670717</v>
      </c>
      <c r="C3373" t="s">
        <v>18847</v>
      </c>
      <c r="G3373" t="s">
        <v>18848</v>
      </c>
      <c r="H3373" t="s">
        <v>6042</v>
      </c>
      <c r="J3373" t="s">
        <v>18849</v>
      </c>
      <c r="K3373" t="s">
        <v>303</v>
      </c>
      <c r="L3373" t="s">
        <v>229</v>
      </c>
      <c r="M3373" t="s">
        <v>113</v>
      </c>
      <c r="R3373" t="s">
        <v>18850</v>
      </c>
      <c r="S3373" t="s">
        <v>18851</v>
      </c>
      <c r="T3373" t="s">
        <v>2946</v>
      </c>
      <c r="U3373" t="s">
        <v>117</v>
      </c>
      <c r="V3373" t="str">
        <f>"140751502"</f>
        <v>140751502</v>
      </c>
      <c r="AC3373" t="s">
        <v>119</v>
      </c>
      <c r="AD3373" t="s">
        <v>113</v>
      </c>
      <c r="AE3373" t="s">
        <v>306</v>
      </c>
      <c r="AG3373" t="s">
        <v>121</v>
      </c>
    </row>
    <row r="3374" spans="1:33" x14ac:dyDescent="0.25">
      <c r="A3374" t="str">
        <f>"1194147892"</f>
        <v>1194147892</v>
      </c>
      <c r="C3374" t="s">
        <v>18852</v>
      </c>
      <c r="G3374" t="s">
        <v>18848</v>
      </c>
      <c r="H3374" t="s">
        <v>6042</v>
      </c>
      <c r="J3374" t="s">
        <v>18849</v>
      </c>
      <c r="K3374" t="s">
        <v>303</v>
      </c>
      <c r="L3374" t="s">
        <v>112</v>
      </c>
      <c r="M3374" t="s">
        <v>113</v>
      </c>
      <c r="R3374" t="s">
        <v>18853</v>
      </c>
      <c r="S3374" t="s">
        <v>18854</v>
      </c>
      <c r="T3374" t="s">
        <v>18855</v>
      </c>
      <c r="U3374" t="s">
        <v>117</v>
      </c>
      <c r="V3374" t="str">
        <f>"141260456"</f>
        <v>141260456</v>
      </c>
      <c r="AC3374" t="s">
        <v>119</v>
      </c>
      <c r="AD3374" t="s">
        <v>113</v>
      </c>
      <c r="AE3374" t="s">
        <v>306</v>
      </c>
      <c r="AG3374" t="s">
        <v>121</v>
      </c>
    </row>
    <row r="3375" spans="1:33" x14ac:dyDescent="0.25">
      <c r="A3375" t="str">
        <f>"1912269325"</f>
        <v>1912269325</v>
      </c>
      <c r="C3375" t="s">
        <v>18856</v>
      </c>
      <c r="G3375" t="s">
        <v>18848</v>
      </c>
      <c r="H3375" t="s">
        <v>6042</v>
      </c>
      <c r="J3375" t="s">
        <v>18849</v>
      </c>
      <c r="K3375" t="s">
        <v>303</v>
      </c>
      <c r="L3375" t="s">
        <v>229</v>
      </c>
      <c r="M3375" t="s">
        <v>113</v>
      </c>
      <c r="R3375" t="s">
        <v>18857</v>
      </c>
      <c r="S3375" t="s">
        <v>18858</v>
      </c>
      <c r="T3375" t="s">
        <v>512</v>
      </c>
      <c r="U3375" t="s">
        <v>117</v>
      </c>
      <c r="V3375" t="str">
        <f>"140921544"</f>
        <v>140921544</v>
      </c>
      <c r="AC3375" t="s">
        <v>119</v>
      </c>
      <c r="AD3375" t="s">
        <v>113</v>
      </c>
      <c r="AE3375" t="s">
        <v>306</v>
      </c>
      <c r="AG3375" t="s">
        <v>121</v>
      </c>
    </row>
    <row r="3376" spans="1:33" x14ac:dyDescent="0.25">
      <c r="A3376" t="str">
        <f>"1235453135"</f>
        <v>1235453135</v>
      </c>
      <c r="B3376" t="str">
        <f>"03583502"</f>
        <v>03583502</v>
      </c>
      <c r="C3376" t="s">
        <v>18859</v>
      </c>
      <c r="D3376" t="s">
        <v>18860</v>
      </c>
      <c r="E3376" t="s">
        <v>18861</v>
      </c>
      <c r="G3376" t="s">
        <v>18848</v>
      </c>
      <c r="H3376" t="s">
        <v>6042</v>
      </c>
      <c r="J3376" t="s">
        <v>18849</v>
      </c>
      <c r="L3376" t="s">
        <v>112</v>
      </c>
      <c r="M3376" t="s">
        <v>113</v>
      </c>
      <c r="R3376" t="s">
        <v>18862</v>
      </c>
      <c r="W3376" t="s">
        <v>18861</v>
      </c>
      <c r="X3376" t="s">
        <v>1588</v>
      </c>
      <c r="Y3376" t="s">
        <v>153</v>
      </c>
      <c r="Z3376" t="s">
        <v>117</v>
      </c>
      <c r="AA3376" t="str">
        <f>"14304-1114"</f>
        <v>14304-1114</v>
      </c>
      <c r="AB3376" t="s">
        <v>223</v>
      </c>
      <c r="AC3376" t="s">
        <v>119</v>
      </c>
      <c r="AD3376" t="s">
        <v>113</v>
      </c>
      <c r="AE3376" t="s">
        <v>120</v>
      </c>
      <c r="AG3376" t="s">
        <v>121</v>
      </c>
    </row>
    <row r="3377" spans="1:33" x14ac:dyDescent="0.25">
      <c r="A3377" t="str">
        <f>"1275896870"</f>
        <v>1275896870</v>
      </c>
      <c r="C3377" t="s">
        <v>18863</v>
      </c>
      <c r="G3377" t="s">
        <v>18848</v>
      </c>
      <c r="H3377" t="s">
        <v>6042</v>
      </c>
      <c r="J3377" t="s">
        <v>18849</v>
      </c>
      <c r="K3377" t="s">
        <v>303</v>
      </c>
      <c r="L3377" t="s">
        <v>229</v>
      </c>
      <c r="M3377" t="s">
        <v>113</v>
      </c>
      <c r="R3377" t="s">
        <v>18864</v>
      </c>
      <c r="S3377" t="s">
        <v>18865</v>
      </c>
      <c r="T3377" t="s">
        <v>153</v>
      </c>
      <c r="U3377" t="s">
        <v>117</v>
      </c>
      <c r="V3377" t="str">
        <f>"143012635"</f>
        <v>143012635</v>
      </c>
      <c r="AC3377" t="s">
        <v>119</v>
      </c>
      <c r="AD3377" t="s">
        <v>113</v>
      </c>
      <c r="AE3377" t="s">
        <v>306</v>
      </c>
      <c r="AG3377" t="s">
        <v>121</v>
      </c>
    </row>
    <row r="3378" spans="1:33" x14ac:dyDescent="0.25">
      <c r="A3378" t="str">
        <f>"1811282189"</f>
        <v>1811282189</v>
      </c>
      <c r="C3378" t="s">
        <v>18866</v>
      </c>
      <c r="G3378" t="s">
        <v>18848</v>
      </c>
      <c r="H3378" t="s">
        <v>6042</v>
      </c>
      <c r="J3378" t="s">
        <v>18849</v>
      </c>
      <c r="K3378" t="s">
        <v>303</v>
      </c>
      <c r="L3378" t="s">
        <v>229</v>
      </c>
      <c r="M3378" t="s">
        <v>113</v>
      </c>
      <c r="R3378" t="s">
        <v>18867</v>
      </c>
      <c r="S3378" t="s">
        <v>18868</v>
      </c>
      <c r="T3378" t="s">
        <v>816</v>
      </c>
      <c r="U3378" t="s">
        <v>117</v>
      </c>
      <c r="V3378" t="str">
        <f>"141201640"</f>
        <v>141201640</v>
      </c>
      <c r="AC3378" t="s">
        <v>119</v>
      </c>
      <c r="AD3378" t="s">
        <v>113</v>
      </c>
      <c r="AE3378" t="s">
        <v>306</v>
      </c>
      <c r="AG3378" t="s">
        <v>121</v>
      </c>
    </row>
    <row r="3379" spans="1:33" x14ac:dyDescent="0.25">
      <c r="A3379" t="str">
        <f>"1902082407"</f>
        <v>1902082407</v>
      </c>
      <c r="B3379" t="str">
        <f>"03600653"</f>
        <v>03600653</v>
      </c>
      <c r="C3379" t="s">
        <v>18869</v>
      </c>
      <c r="D3379" t="s">
        <v>18870</v>
      </c>
      <c r="E3379" t="s">
        <v>18871</v>
      </c>
      <c r="G3379" t="s">
        <v>18848</v>
      </c>
      <c r="H3379" t="s">
        <v>6042</v>
      </c>
      <c r="J3379" t="s">
        <v>18849</v>
      </c>
      <c r="L3379" t="s">
        <v>112</v>
      </c>
      <c r="M3379" t="s">
        <v>113</v>
      </c>
      <c r="R3379" t="s">
        <v>18872</v>
      </c>
      <c r="W3379" t="s">
        <v>18871</v>
      </c>
      <c r="X3379" t="s">
        <v>18873</v>
      </c>
      <c r="Y3379" t="s">
        <v>326</v>
      </c>
      <c r="Z3379" t="s">
        <v>117</v>
      </c>
      <c r="AA3379" t="str">
        <f>"14127-2640"</f>
        <v>14127-2640</v>
      </c>
      <c r="AB3379" t="s">
        <v>223</v>
      </c>
      <c r="AC3379" t="s">
        <v>119</v>
      </c>
      <c r="AD3379" t="s">
        <v>113</v>
      </c>
      <c r="AE3379" t="s">
        <v>120</v>
      </c>
      <c r="AG3379" t="s">
        <v>121</v>
      </c>
    </row>
    <row r="3380" spans="1:33" x14ac:dyDescent="0.25">
      <c r="A3380" t="str">
        <f>"1225286263"</f>
        <v>1225286263</v>
      </c>
      <c r="C3380" t="s">
        <v>18874</v>
      </c>
      <c r="G3380" t="s">
        <v>18848</v>
      </c>
      <c r="H3380" t="s">
        <v>6042</v>
      </c>
      <c r="J3380" t="s">
        <v>18849</v>
      </c>
      <c r="K3380" t="s">
        <v>303</v>
      </c>
      <c r="L3380" t="s">
        <v>229</v>
      </c>
      <c r="M3380" t="s">
        <v>113</v>
      </c>
      <c r="R3380" t="s">
        <v>18875</v>
      </c>
      <c r="S3380" t="s">
        <v>18876</v>
      </c>
      <c r="T3380" t="s">
        <v>153</v>
      </c>
      <c r="U3380" t="s">
        <v>117</v>
      </c>
      <c r="V3380" t="str">
        <f>"143031407"</f>
        <v>143031407</v>
      </c>
      <c r="AC3380" t="s">
        <v>119</v>
      </c>
      <c r="AD3380" t="s">
        <v>113</v>
      </c>
      <c r="AE3380" t="s">
        <v>306</v>
      </c>
      <c r="AG3380" t="s">
        <v>121</v>
      </c>
    </row>
    <row r="3381" spans="1:33" x14ac:dyDescent="0.25">
      <c r="A3381" t="str">
        <f>"1134545809"</f>
        <v>1134545809</v>
      </c>
      <c r="C3381" t="s">
        <v>18877</v>
      </c>
      <c r="G3381" t="s">
        <v>18848</v>
      </c>
      <c r="H3381" t="s">
        <v>6042</v>
      </c>
      <c r="J3381" t="s">
        <v>18849</v>
      </c>
      <c r="K3381" t="s">
        <v>303</v>
      </c>
      <c r="L3381" t="s">
        <v>229</v>
      </c>
      <c r="M3381" t="s">
        <v>113</v>
      </c>
      <c r="R3381" t="s">
        <v>18878</v>
      </c>
      <c r="S3381" t="s">
        <v>18879</v>
      </c>
      <c r="T3381" t="s">
        <v>153</v>
      </c>
      <c r="U3381" t="s">
        <v>117</v>
      </c>
      <c r="V3381" t="str">
        <f>"143046201"</f>
        <v>143046201</v>
      </c>
      <c r="AC3381" t="s">
        <v>119</v>
      </c>
      <c r="AD3381" t="s">
        <v>113</v>
      </c>
      <c r="AE3381" t="s">
        <v>306</v>
      </c>
      <c r="AG3381" t="s">
        <v>121</v>
      </c>
    </row>
    <row r="3382" spans="1:33" x14ac:dyDescent="0.25">
      <c r="A3382" t="str">
        <f>"1255694873"</f>
        <v>1255694873</v>
      </c>
      <c r="C3382" t="s">
        <v>18880</v>
      </c>
      <c r="G3382" t="s">
        <v>18848</v>
      </c>
      <c r="H3382" t="s">
        <v>6042</v>
      </c>
      <c r="J3382" t="s">
        <v>18849</v>
      </c>
      <c r="K3382" t="s">
        <v>303</v>
      </c>
      <c r="L3382" t="s">
        <v>229</v>
      </c>
      <c r="M3382" t="s">
        <v>113</v>
      </c>
      <c r="R3382" t="s">
        <v>18881</v>
      </c>
      <c r="S3382" t="s">
        <v>18882</v>
      </c>
      <c r="T3382" t="s">
        <v>153</v>
      </c>
      <c r="U3382" t="s">
        <v>117</v>
      </c>
      <c r="V3382" t="str">
        <f>"143053108"</f>
        <v>143053108</v>
      </c>
      <c r="AC3382" t="s">
        <v>119</v>
      </c>
      <c r="AD3382" t="s">
        <v>113</v>
      </c>
      <c r="AE3382" t="s">
        <v>306</v>
      </c>
      <c r="AG3382" t="s">
        <v>121</v>
      </c>
    </row>
    <row r="3383" spans="1:33" x14ac:dyDescent="0.25">
      <c r="A3383" t="str">
        <f>"1750643342"</f>
        <v>1750643342</v>
      </c>
      <c r="C3383" t="s">
        <v>18883</v>
      </c>
      <c r="G3383" t="s">
        <v>18848</v>
      </c>
      <c r="H3383" t="s">
        <v>6042</v>
      </c>
      <c r="J3383" t="s">
        <v>18849</v>
      </c>
      <c r="K3383" t="s">
        <v>303</v>
      </c>
      <c r="L3383" t="s">
        <v>229</v>
      </c>
      <c r="M3383" t="s">
        <v>113</v>
      </c>
      <c r="R3383" t="s">
        <v>18884</v>
      </c>
      <c r="S3383" t="s">
        <v>18885</v>
      </c>
      <c r="T3383" t="s">
        <v>153</v>
      </c>
      <c r="U3383" t="s">
        <v>117</v>
      </c>
      <c r="V3383" t="str">
        <f>"143053046"</f>
        <v>143053046</v>
      </c>
      <c r="AC3383" t="s">
        <v>119</v>
      </c>
      <c r="AD3383" t="s">
        <v>113</v>
      </c>
      <c r="AE3383" t="s">
        <v>306</v>
      </c>
      <c r="AG3383" t="s">
        <v>121</v>
      </c>
    </row>
    <row r="3384" spans="1:33" x14ac:dyDescent="0.25">
      <c r="A3384" t="str">
        <f>"1043572779"</f>
        <v>1043572779</v>
      </c>
      <c r="C3384" t="s">
        <v>18886</v>
      </c>
      <c r="G3384" t="s">
        <v>18848</v>
      </c>
      <c r="H3384" t="s">
        <v>6042</v>
      </c>
      <c r="J3384" t="s">
        <v>18849</v>
      </c>
      <c r="K3384" t="s">
        <v>303</v>
      </c>
      <c r="L3384" t="s">
        <v>229</v>
      </c>
      <c r="M3384" t="s">
        <v>113</v>
      </c>
      <c r="R3384" t="s">
        <v>18887</v>
      </c>
      <c r="S3384" t="s">
        <v>18888</v>
      </c>
      <c r="T3384" t="s">
        <v>268</v>
      </c>
      <c r="U3384" t="s">
        <v>117</v>
      </c>
      <c r="V3384" t="str">
        <f>"141506223"</f>
        <v>141506223</v>
      </c>
      <c r="AC3384" t="s">
        <v>119</v>
      </c>
      <c r="AD3384" t="s">
        <v>113</v>
      </c>
      <c r="AE3384" t="s">
        <v>306</v>
      </c>
      <c r="AG3384" t="s">
        <v>121</v>
      </c>
    </row>
    <row r="3385" spans="1:33" x14ac:dyDescent="0.25">
      <c r="A3385" t="str">
        <f>"1427311026"</f>
        <v>1427311026</v>
      </c>
      <c r="C3385" t="s">
        <v>18889</v>
      </c>
      <c r="G3385" t="s">
        <v>18848</v>
      </c>
      <c r="H3385" t="s">
        <v>6042</v>
      </c>
      <c r="J3385" t="s">
        <v>18849</v>
      </c>
      <c r="K3385" t="s">
        <v>303</v>
      </c>
      <c r="L3385" t="s">
        <v>229</v>
      </c>
      <c r="M3385" t="s">
        <v>113</v>
      </c>
      <c r="R3385" t="s">
        <v>18890</v>
      </c>
      <c r="S3385" t="s">
        <v>18891</v>
      </c>
      <c r="T3385" t="s">
        <v>153</v>
      </c>
      <c r="U3385" t="s">
        <v>117</v>
      </c>
      <c r="V3385" t="str">
        <f>"143044418"</f>
        <v>143044418</v>
      </c>
      <c r="AC3385" t="s">
        <v>119</v>
      </c>
      <c r="AD3385" t="s">
        <v>113</v>
      </c>
      <c r="AE3385" t="s">
        <v>306</v>
      </c>
      <c r="AG3385" t="s">
        <v>121</v>
      </c>
    </row>
    <row r="3386" spans="1:33" x14ac:dyDescent="0.25">
      <c r="A3386" t="str">
        <f>"1831440031"</f>
        <v>1831440031</v>
      </c>
      <c r="C3386" t="s">
        <v>18892</v>
      </c>
      <c r="G3386" t="s">
        <v>18848</v>
      </c>
      <c r="H3386" t="s">
        <v>6042</v>
      </c>
      <c r="J3386" t="s">
        <v>18849</v>
      </c>
      <c r="K3386" t="s">
        <v>303</v>
      </c>
      <c r="L3386" t="s">
        <v>229</v>
      </c>
      <c r="M3386" t="s">
        <v>113</v>
      </c>
      <c r="R3386" t="s">
        <v>18893</v>
      </c>
      <c r="S3386" t="s">
        <v>18894</v>
      </c>
      <c r="T3386" t="s">
        <v>663</v>
      </c>
      <c r="U3386" t="s">
        <v>117</v>
      </c>
      <c r="V3386" t="str">
        <f>"140946521"</f>
        <v>140946521</v>
      </c>
      <c r="AC3386" t="s">
        <v>119</v>
      </c>
      <c r="AD3386" t="s">
        <v>113</v>
      </c>
      <c r="AE3386" t="s">
        <v>306</v>
      </c>
      <c r="AG3386" t="s">
        <v>121</v>
      </c>
    </row>
    <row r="3387" spans="1:33" x14ac:dyDescent="0.25">
      <c r="A3387" t="str">
        <f>"1831413335"</f>
        <v>1831413335</v>
      </c>
      <c r="C3387" t="s">
        <v>18895</v>
      </c>
      <c r="G3387" t="s">
        <v>18848</v>
      </c>
      <c r="H3387" t="s">
        <v>6042</v>
      </c>
      <c r="J3387" t="s">
        <v>18849</v>
      </c>
      <c r="K3387" t="s">
        <v>303</v>
      </c>
      <c r="L3387" t="s">
        <v>229</v>
      </c>
      <c r="M3387" t="s">
        <v>113</v>
      </c>
      <c r="R3387" t="s">
        <v>18896</v>
      </c>
      <c r="S3387" t="s">
        <v>18897</v>
      </c>
      <c r="T3387" t="s">
        <v>268</v>
      </c>
      <c r="U3387" t="s">
        <v>117</v>
      </c>
      <c r="V3387" t="str">
        <f>"141505115"</f>
        <v>141505115</v>
      </c>
      <c r="AC3387" t="s">
        <v>119</v>
      </c>
      <c r="AD3387" t="s">
        <v>113</v>
      </c>
      <c r="AE3387" t="s">
        <v>306</v>
      </c>
      <c r="AG3387" t="s">
        <v>121</v>
      </c>
    </row>
    <row r="3388" spans="1:33" x14ac:dyDescent="0.25">
      <c r="A3388" t="str">
        <f>"1356604102"</f>
        <v>1356604102</v>
      </c>
      <c r="C3388" t="s">
        <v>18898</v>
      </c>
      <c r="G3388" t="s">
        <v>18848</v>
      </c>
      <c r="H3388" t="s">
        <v>6042</v>
      </c>
      <c r="J3388" t="s">
        <v>18849</v>
      </c>
      <c r="K3388" t="s">
        <v>303</v>
      </c>
      <c r="L3388" t="s">
        <v>229</v>
      </c>
      <c r="M3388" t="s">
        <v>113</v>
      </c>
      <c r="R3388" t="s">
        <v>18899</v>
      </c>
      <c r="S3388" t="s">
        <v>18900</v>
      </c>
      <c r="T3388" t="s">
        <v>3649</v>
      </c>
      <c r="U3388" t="s">
        <v>117</v>
      </c>
      <c r="V3388" t="str">
        <f>"140721747"</f>
        <v>140721747</v>
      </c>
      <c r="AC3388" t="s">
        <v>119</v>
      </c>
      <c r="AD3388" t="s">
        <v>113</v>
      </c>
      <c r="AE3388" t="s">
        <v>306</v>
      </c>
      <c r="AG3388" t="s">
        <v>121</v>
      </c>
    </row>
    <row r="3389" spans="1:33" x14ac:dyDescent="0.25">
      <c r="A3389" t="str">
        <f>"1710306931"</f>
        <v>1710306931</v>
      </c>
      <c r="C3389" t="s">
        <v>18901</v>
      </c>
      <c r="G3389" t="s">
        <v>18848</v>
      </c>
      <c r="H3389" t="s">
        <v>6042</v>
      </c>
      <c r="J3389" t="s">
        <v>18849</v>
      </c>
      <c r="K3389" t="s">
        <v>303</v>
      </c>
      <c r="L3389" t="s">
        <v>229</v>
      </c>
      <c r="M3389" t="s">
        <v>113</v>
      </c>
      <c r="R3389" t="s">
        <v>18902</v>
      </c>
      <c r="S3389" t="s">
        <v>18903</v>
      </c>
      <c r="T3389" t="s">
        <v>153</v>
      </c>
      <c r="U3389" t="s">
        <v>117</v>
      </c>
      <c r="V3389" t="str">
        <f>"143052744"</f>
        <v>143052744</v>
      </c>
      <c r="AC3389" t="s">
        <v>119</v>
      </c>
      <c r="AD3389" t="s">
        <v>113</v>
      </c>
      <c r="AE3389" t="s">
        <v>306</v>
      </c>
      <c r="AG3389" t="s">
        <v>121</v>
      </c>
    </row>
    <row r="3390" spans="1:33" x14ac:dyDescent="0.25">
      <c r="A3390" t="str">
        <f>"1255693669"</f>
        <v>1255693669</v>
      </c>
      <c r="C3390" t="s">
        <v>18904</v>
      </c>
      <c r="G3390" t="s">
        <v>18848</v>
      </c>
      <c r="H3390" t="s">
        <v>6042</v>
      </c>
      <c r="J3390" t="s">
        <v>18849</v>
      </c>
      <c r="K3390" t="s">
        <v>303</v>
      </c>
      <c r="L3390" t="s">
        <v>229</v>
      </c>
      <c r="M3390" t="s">
        <v>113</v>
      </c>
      <c r="R3390" t="s">
        <v>18905</v>
      </c>
      <c r="S3390" t="s">
        <v>18906</v>
      </c>
      <c r="T3390" t="s">
        <v>129</v>
      </c>
      <c r="U3390" t="s">
        <v>117</v>
      </c>
      <c r="V3390" t="str">
        <f>"142241330"</f>
        <v>142241330</v>
      </c>
      <c r="AC3390" t="s">
        <v>119</v>
      </c>
      <c r="AD3390" t="s">
        <v>113</v>
      </c>
      <c r="AE3390" t="s">
        <v>306</v>
      </c>
      <c r="AG3390" t="s">
        <v>121</v>
      </c>
    </row>
    <row r="3391" spans="1:33" x14ac:dyDescent="0.25">
      <c r="A3391" t="str">
        <f>"1326309378"</f>
        <v>1326309378</v>
      </c>
      <c r="C3391" t="s">
        <v>18907</v>
      </c>
      <c r="G3391" t="s">
        <v>18848</v>
      </c>
      <c r="H3391" t="s">
        <v>6042</v>
      </c>
      <c r="J3391" t="s">
        <v>18849</v>
      </c>
      <c r="K3391" t="s">
        <v>303</v>
      </c>
      <c r="L3391" t="s">
        <v>229</v>
      </c>
      <c r="M3391" t="s">
        <v>113</v>
      </c>
      <c r="R3391" t="s">
        <v>18908</v>
      </c>
      <c r="S3391" t="s">
        <v>18909</v>
      </c>
      <c r="T3391" t="s">
        <v>527</v>
      </c>
      <c r="U3391" t="s">
        <v>117</v>
      </c>
      <c r="V3391" t="str">
        <f>"141031734"</f>
        <v>141031734</v>
      </c>
      <c r="AC3391" t="s">
        <v>119</v>
      </c>
      <c r="AD3391" t="s">
        <v>113</v>
      </c>
      <c r="AE3391" t="s">
        <v>306</v>
      </c>
      <c r="AG3391" t="s">
        <v>121</v>
      </c>
    </row>
    <row r="3392" spans="1:33" x14ac:dyDescent="0.25">
      <c r="A3392" t="str">
        <f>"1194868836"</f>
        <v>1194868836</v>
      </c>
      <c r="B3392" t="str">
        <f>"03172878"</f>
        <v>03172878</v>
      </c>
      <c r="C3392" t="s">
        <v>18910</v>
      </c>
      <c r="D3392" t="s">
        <v>18911</v>
      </c>
      <c r="E3392" t="s">
        <v>18912</v>
      </c>
      <c r="G3392" t="s">
        <v>18848</v>
      </c>
      <c r="H3392" t="s">
        <v>6042</v>
      </c>
      <c r="J3392" t="s">
        <v>18849</v>
      </c>
      <c r="L3392" t="s">
        <v>112</v>
      </c>
      <c r="M3392" t="s">
        <v>113</v>
      </c>
      <c r="R3392" t="s">
        <v>18913</v>
      </c>
      <c r="W3392" t="s">
        <v>18914</v>
      </c>
      <c r="X3392" t="s">
        <v>18915</v>
      </c>
      <c r="Y3392" t="s">
        <v>153</v>
      </c>
      <c r="Z3392" t="s">
        <v>117</v>
      </c>
      <c r="AA3392" t="str">
        <f>"14305-1275"</f>
        <v>14305-1275</v>
      </c>
      <c r="AB3392" t="s">
        <v>634</v>
      </c>
      <c r="AC3392" t="s">
        <v>119</v>
      </c>
      <c r="AD3392" t="s">
        <v>113</v>
      </c>
      <c r="AE3392" t="s">
        <v>120</v>
      </c>
      <c r="AG3392" t="s">
        <v>121</v>
      </c>
    </row>
    <row r="3393" spans="1:33" x14ac:dyDescent="0.25">
      <c r="A3393" t="str">
        <f>"1093944068"</f>
        <v>1093944068</v>
      </c>
      <c r="B3393" t="str">
        <f>"03590838"</f>
        <v>03590838</v>
      </c>
      <c r="C3393" t="s">
        <v>18916</v>
      </c>
      <c r="D3393" t="s">
        <v>18917</v>
      </c>
      <c r="E3393" t="s">
        <v>18918</v>
      </c>
      <c r="G3393" t="s">
        <v>18848</v>
      </c>
      <c r="H3393" t="s">
        <v>6042</v>
      </c>
      <c r="J3393" t="s">
        <v>18849</v>
      </c>
      <c r="L3393" t="s">
        <v>112</v>
      </c>
      <c r="M3393" t="s">
        <v>113</v>
      </c>
      <c r="R3393" t="s">
        <v>18919</v>
      </c>
      <c r="W3393" t="s">
        <v>18918</v>
      </c>
      <c r="X3393" t="s">
        <v>1588</v>
      </c>
      <c r="Y3393" t="s">
        <v>153</v>
      </c>
      <c r="Z3393" t="s">
        <v>117</v>
      </c>
      <c r="AA3393" t="str">
        <f>"14304-1114"</f>
        <v>14304-1114</v>
      </c>
      <c r="AB3393" t="s">
        <v>223</v>
      </c>
      <c r="AC3393" t="s">
        <v>119</v>
      </c>
      <c r="AD3393" t="s">
        <v>113</v>
      </c>
      <c r="AE3393" t="s">
        <v>120</v>
      </c>
      <c r="AG3393" t="s">
        <v>121</v>
      </c>
    </row>
    <row r="3394" spans="1:33" x14ac:dyDescent="0.25">
      <c r="A3394" t="str">
        <f>"1811145725"</f>
        <v>1811145725</v>
      </c>
      <c r="C3394" t="s">
        <v>18920</v>
      </c>
      <c r="G3394" t="s">
        <v>18848</v>
      </c>
      <c r="H3394" t="s">
        <v>6042</v>
      </c>
      <c r="J3394" t="s">
        <v>18849</v>
      </c>
      <c r="K3394" t="s">
        <v>303</v>
      </c>
      <c r="L3394" t="s">
        <v>229</v>
      </c>
      <c r="M3394" t="s">
        <v>113</v>
      </c>
      <c r="R3394" t="s">
        <v>18921</v>
      </c>
      <c r="S3394" t="s">
        <v>1588</v>
      </c>
      <c r="T3394" t="s">
        <v>153</v>
      </c>
      <c r="U3394" t="s">
        <v>117</v>
      </c>
      <c r="V3394" t="str">
        <f>"143041114"</f>
        <v>143041114</v>
      </c>
      <c r="AC3394" t="s">
        <v>119</v>
      </c>
      <c r="AD3394" t="s">
        <v>113</v>
      </c>
      <c r="AE3394" t="s">
        <v>306</v>
      </c>
      <c r="AG3394" t="s">
        <v>121</v>
      </c>
    </row>
    <row r="3395" spans="1:33" x14ac:dyDescent="0.25">
      <c r="A3395" t="str">
        <f>"1821351453"</f>
        <v>1821351453</v>
      </c>
      <c r="C3395" t="s">
        <v>18922</v>
      </c>
      <c r="G3395" t="s">
        <v>18848</v>
      </c>
      <c r="H3395" t="s">
        <v>6042</v>
      </c>
      <c r="J3395" t="s">
        <v>18849</v>
      </c>
      <c r="K3395" t="s">
        <v>303</v>
      </c>
      <c r="L3395" t="s">
        <v>229</v>
      </c>
      <c r="M3395" t="s">
        <v>113</v>
      </c>
      <c r="R3395" t="s">
        <v>18923</v>
      </c>
      <c r="S3395" t="s">
        <v>18924</v>
      </c>
      <c r="T3395" t="s">
        <v>663</v>
      </c>
      <c r="U3395" t="s">
        <v>117</v>
      </c>
      <c r="V3395" t="str">
        <f>"140949780"</f>
        <v>140949780</v>
      </c>
      <c r="AC3395" t="s">
        <v>119</v>
      </c>
      <c r="AD3395" t="s">
        <v>113</v>
      </c>
      <c r="AE3395" t="s">
        <v>306</v>
      </c>
      <c r="AG3395" t="s">
        <v>121</v>
      </c>
    </row>
    <row r="3396" spans="1:33" x14ac:dyDescent="0.25">
      <c r="A3396" t="str">
        <f>"1396953816"</f>
        <v>1396953816</v>
      </c>
      <c r="C3396" t="s">
        <v>18925</v>
      </c>
      <c r="G3396" t="s">
        <v>18926</v>
      </c>
      <c r="H3396" t="s">
        <v>10422</v>
      </c>
      <c r="J3396" t="s">
        <v>18927</v>
      </c>
      <c r="K3396" t="s">
        <v>303</v>
      </c>
      <c r="L3396" t="s">
        <v>112</v>
      </c>
      <c r="M3396" t="s">
        <v>113</v>
      </c>
      <c r="R3396" t="s">
        <v>18928</v>
      </c>
      <c r="S3396" t="s">
        <v>18929</v>
      </c>
      <c r="T3396" t="s">
        <v>663</v>
      </c>
      <c r="U3396" t="s">
        <v>117</v>
      </c>
      <c r="V3396" t="str">
        <f>"140941895"</f>
        <v>140941895</v>
      </c>
      <c r="AC3396" t="s">
        <v>119</v>
      </c>
      <c r="AD3396" t="s">
        <v>113</v>
      </c>
      <c r="AE3396" t="s">
        <v>306</v>
      </c>
      <c r="AG3396" t="s">
        <v>121</v>
      </c>
    </row>
    <row r="3397" spans="1:33" x14ac:dyDescent="0.25">
      <c r="A3397" t="str">
        <f>"1871999052"</f>
        <v>1871999052</v>
      </c>
      <c r="C3397" t="s">
        <v>18930</v>
      </c>
      <c r="G3397" t="s">
        <v>18926</v>
      </c>
      <c r="H3397" t="s">
        <v>10422</v>
      </c>
      <c r="J3397" t="s">
        <v>18927</v>
      </c>
      <c r="K3397" t="s">
        <v>303</v>
      </c>
      <c r="L3397" t="s">
        <v>112</v>
      </c>
      <c r="M3397" t="s">
        <v>113</v>
      </c>
      <c r="R3397" t="s">
        <v>18931</v>
      </c>
      <c r="S3397" t="s">
        <v>6742</v>
      </c>
      <c r="T3397" t="s">
        <v>153</v>
      </c>
      <c r="U3397" t="s">
        <v>117</v>
      </c>
      <c r="V3397" t="str">
        <f>"143011201"</f>
        <v>143011201</v>
      </c>
      <c r="AC3397" t="s">
        <v>119</v>
      </c>
      <c r="AD3397" t="s">
        <v>113</v>
      </c>
      <c r="AE3397" t="s">
        <v>306</v>
      </c>
      <c r="AG3397" t="s">
        <v>121</v>
      </c>
    </row>
    <row r="3398" spans="1:33" x14ac:dyDescent="0.25">
      <c r="A3398" t="str">
        <f>"1427225937"</f>
        <v>1427225937</v>
      </c>
      <c r="C3398" t="s">
        <v>18932</v>
      </c>
      <c r="G3398" t="s">
        <v>18926</v>
      </c>
      <c r="H3398" t="s">
        <v>10422</v>
      </c>
      <c r="J3398" t="s">
        <v>18927</v>
      </c>
      <c r="K3398" t="s">
        <v>303</v>
      </c>
      <c r="L3398" t="s">
        <v>112</v>
      </c>
      <c r="M3398" t="s">
        <v>113</v>
      </c>
      <c r="R3398" t="s">
        <v>18933</v>
      </c>
      <c r="S3398" t="s">
        <v>10404</v>
      </c>
      <c r="T3398" t="s">
        <v>153</v>
      </c>
      <c r="U3398" t="s">
        <v>117</v>
      </c>
      <c r="V3398" t="str">
        <f>"143011910"</f>
        <v>143011910</v>
      </c>
      <c r="AC3398" t="s">
        <v>119</v>
      </c>
      <c r="AD3398" t="s">
        <v>113</v>
      </c>
      <c r="AE3398" t="s">
        <v>306</v>
      </c>
      <c r="AG3398" t="s">
        <v>121</v>
      </c>
    </row>
    <row r="3399" spans="1:33" x14ac:dyDescent="0.25">
      <c r="A3399" t="str">
        <f>"1144632100"</f>
        <v>1144632100</v>
      </c>
      <c r="C3399" t="s">
        <v>18934</v>
      </c>
      <c r="G3399" t="s">
        <v>18926</v>
      </c>
      <c r="H3399" t="s">
        <v>10422</v>
      </c>
      <c r="J3399" t="s">
        <v>18927</v>
      </c>
      <c r="K3399" t="s">
        <v>303</v>
      </c>
      <c r="L3399" t="s">
        <v>112</v>
      </c>
      <c r="M3399" t="s">
        <v>113</v>
      </c>
      <c r="R3399" t="s">
        <v>18935</v>
      </c>
      <c r="S3399" t="s">
        <v>18441</v>
      </c>
      <c r="T3399" t="s">
        <v>663</v>
      </c>
      <c r="U3399" t="s">
        <v>117</v>
      </c>
      <c r="V3399" t="str">
        <f>"140941854"</f>
        <v>140941854</v>
      </c>
      <c r="AC3399" t="s">
        <v>119</v>
      </c>
      <c r="AD3399" t="s">
        <v>113</v>
      </c>
      <c r="AE3399" t="s">
        <v>306</v>
      </c>
      <c r="AG3399" t="s">
        <v>121</v>
      </c>
    </row>
    <row r="3400" spans="1:33" x14ac:dyDescent="0.25">
      <c r="A3400" t="str">
        <f>"1568670081"</f>
        <v>1568670081</v>
      </c>
      <c r="C3400" t="s">
        <v>18936</v>
      </c>
      <c r="G3400" t="s">
        <v>18926</v>
      </c>
      <c r="H3400" t="s">
        <v>10422</v>
      </c>
      <c r="J3400" t="s">
        <v>18927</v>
      </c>
      <c r="K3400" t="s">
        <v>303</v>
      </c>
      <c r="L3400" t="s">
        <v>112</v>
      </c>
      <c r="M3400" t="s">
        <v>113</v>
      </c>
      <c r="R3400" t="s">
        <v>18937</v>
      </c>
      <c r="S3400" t="s">
        <v>18929</v>
      </c>
      <c r="T3400" t="s">
        <v>663</v>
      </c>
      <c r="U3400" t="s">
        <v>117</v>
      </c>
      <c r="V3400" t="str">
        <f>"140941895"</f>
        <v>140941895</v>
      </c>
      <c r="AC3400" t="s">
        <v>119</v>
      </c>
      <c r="AD3400" t="s">
        <v>113</v>
      </c>
      <c r="AE3400" t="s">
        <v>306</v>
      </c>
      <c r="AG3400" t="s">
        <v>121</v>
      </c>
    </row>
    <row r="3401" spans="1:33" x14ac:dyDescent="0.25">
      <c r="C3401" t="s">
        <v>18938</v>
      </c>
      <c r="G3401" t="s">
        <v>18939</v>
      </c>
      <c r="H3401" t="s">
        <v>17930</v>
      </c>
      <c r="J3401" t="s">
        <v>18940</v>
      </c>
      <c r="K3401" t="s">
        <v>303</v>
      </c>
      <c r="L3401" t="s">
        <v>3095</v>
      </c>
      <c r="M3401" t="s">
        <v>113</v>
      </c>
      <c r="N3401" t="s">
        <v>18941</v>
      </c>
      <c r="O3401" t="s">
        <v>18942</v>
      </c>
      <c r="P3401" t="s">
        <v>117</v>
      </c>
      <c r="Q3401" t="str">
        <f>"14301"</f>
        <v>14301</v>
      </c>
      <c r="AC3401" t="s">
        <v>119</v>
      </c>
      <c r="AD3401" t="s">
        <v>113</v>
      </c>
      <c r="AE3401" t="s">
        <v>3098</v>
      </c>
      <c r="AG3401" t="s">
        <v>121</v>
      </c>
    </row>
    <row r="3402" spans="1:33" x14ac:dyDescent="0.25">
      <c r="A3402" t="str">
        <f>"1770523342"</f>
        <v>1770523342</v>
      </c>
      <c r="B3402" t="str">
        <f>"00889592"</f>
        <v>00889592</v>
      </c>
      <c r="C3402" t="s">
        <v>18943</v>
      </c>
      <c r="D3402" t="s">
        <v>18944</v>
      </c>
      <c r="E3402" t="s">
        <v>18945</v>
      </c>
      <c r="G3402" t="s">
        <v>18939</v>
      </c>
      <c r="H3402" t="s">
        <v>17930</v>
      </c>
      <c r="J3402" t="s">
        <v>18940</v>
      </c>
      <c r="L3402" t="s">
        <v>728</v>
      </c>
      <c r="M3402" t="s">
        <v>113</v>
      </c>
      <c r="R3402" t="s">
        <v>18946</v>
      </c>
      <c r="W3402" t="s">
        <v>18945</v>
      </c>
      <c r="X3402" t="s">
        <v>8017</v>
      </c>
      <c r="Y3402" t="s">
        <v>116</v>
      </c>
      <c r="Z3402" t="s">
        <v>117</v>
      </c>
      <c r="AA3402" t="str">
        <f>"14225-1080"</f>
        <v>14225-1080</v>
      </c>
      <c r="AB3402" t="s">
        <v>118</v>
      </c>
      <c r="AC3402" t="s">
        <v>119</v>
      </c>
      <c r="AD3402" t="s">
        <v>113</v>
      </c>
      <c r="AE3402" t="s">
        <v>120</v>
      </c>
      <c r="AG3402" t="s">
        <v>121</v>
      </c>
    </row>
    <row r="3403" spans="1:33" x14ac:dyDescent="0.25">
      <c r="C3403" t="s">
        <v>18947</v>
      </c>
      <c r="G3403" t="s">
        <v>18939</v>
      </c>
      <c r="H3403" t="s">
        <v>17930</v>
      </c>
      <c r="J3403" t="s">
        <v>18940</v>
      </c>
      <c r="K3403" t="s">
        <v>303</v>
      </c>
      <c r="L3403" t="s">
        <v>3095</v>
      </c>
      <c r="M3403" t="s">
        <v>113</v>
      </c>
      <c r="N3403" t="s">
        <v>18941</v>
      </c>
      <c r="O3403" t="s">
        <v>18942</v>
      </c>
      <c r="P3403" t="s">
        <v>117</v>
      </c>
      <c r="Q3403" t="str">
        <f>"14301"</f>
        <v>14301</v>
      </c>
      <c r="AC3403" t="s">
        <v>119</v>
      </c>
      <c r="AD3403" t="s">
        <v>113</v>
      </c>
      <c r="AE3403" t="s">
        <v>3098</v>
      </c>
      <c r="AG3403" t="s">
        <v>121</v>
      </c>
    </row>
    <row r="3404" spans="1:33" x14ac:dyDescent="0.25">
      <c r="A3404" t="str">
        <f>"1831591379"</f>
        <v>1831591379</v>
      </c>
      <c r="C3404" t="s">
        <v>18948</v>
      </c>
      <c r="G3404" t="s">
        <v>18939</v>
      </c>
      <c r="H3404" t="s">
        <v>17930</v>
      </c>
      <c r="J3404" t="s">
        <v>18940</v>
      </c>
      <c r="K3404" t="s">
        <v>303</v>
      </c>
      <c r="L3404" t="s">
        <v>112</v>
      </c>
      <c r="M3404" t="s">
        <v>113</v>
      </c>
      <c r="R3404" t="s">
        <v>18949</v>
      </c>
      <c r="S3404" t="s">
        <v>18950</v>
      </c>
      <c r="T3404" t="s">
        <v>1545</v>
      </c>
      <c r="U3404" t="s">
        <v>117</v>
      </c>
      <c r="V3404" t="str">
        <f>"142181629"</f>
        <v>142181629</v>
      </c>
      <c r="AC3404" t="s">
        <v>119</v>
      </c>
      <c r="AD3404" t="s">
        <v>113</v>
      </c>
      <c r="AE3404" t="s">
        <v>306</v>
      </c>
      <c r="AG3404" t="s">
        <v>121</v>
      </c>
    </row>
    <row r="3405" spans="1:33" x14ac:dyDescent="0.25">
      <c r="C3405" t="s">
        <v>18951</v>
      </c>
      <c r="G3405" t="s">
        <v>18939</v>
      </c>
      <c r="H3405" t="s">
        <v>17930</v>
      </c>
      <c r="J3405" t="s">
        <v>18940</v>
      </c>
      <c r="K3405" t="s">
        <v>303</v>
      </c>
      <c r="L3405" t="s">
        <v>3095</v>
      </c>
      <c r="M3405" t="s">
        <v>113</v>
      </c>
      <c r="N3405" t="s">
        <v>18941</v>
      </c>
      <c r="O3405" t="s">
        <v>18942</v>
      </c>
      <c r="P3405" t="s">
        <v>117</v>
      </c>
      <c r="Q3405" t="str">
        <f>"14301"</f>
        <v>14301</v>
      </c>
      <c r="AC3405" t="s">
        <v>119</v>
      </c>
      <c r="AD3405" t="s">
        <v>113</v>
      </c>
      <c r="AE3405" t="s">
        <v>3098</v>
      </c>
      <c r="AG3405" t="s">
        <v>121</v>
      </c>
    </row>
    <row r="3406" spans="1:33" x14ac:dyDescent="0.25">
      <c r="A3406" t="str">
        <f>"1093045239"</f>
        <v>1093045239</v>
      </c>
      <c r="C3406" t="s">
        <v>18952</v>
      </c>
      <c r="G3406" t="s">
        <v>18939</v>
      </c>
      <c r="H3406" t="s">
        <v>17930</v>
      </c>
      <c r="J3406" t="s">
        <v>18940</v>
      </c>
      <c r="K3406" t="s">
        <v>303</v>
      </c>
      <c r="L3406" t="s">
        <v>112</v>
      </c>
      <c r="M3406" t="s">
        <v>113</v>
      </c>
      <c r="R3406" t="s">
        <v>18953</v>
      </c>
      <c r="S3406" t="s">
        <v>18954</v>
      </c>
      <c r="T3406" t="s">
        <v>663</v>
      </c>
      <c r="U3406" t="s">
        <v>117</v>
      </c>
      <c r="V3406" t="str">
        <f>"140943662"</f>
        <v>140943662</v>
      </c>
      <c r="AC3406" t="s">
        <v>119</v>
      </c>
      <c r="AD3406" t="s">
        <v>113</v>
      </c>
      <c r="AE3406" t="s">
        <v>306</v>
      </c>
      <c r="AG3406" t="s">
        <v>121</v>
      </c>
    </row>
    <row r="3407" spans="1:33" x14ac:dyDescent="0.25">
      <c r="A3407" t="str">
        <f>"1962622118"</f>
        <v>1962622118</v>
      </c>
      <c r="B3407" t="str">
        <f>"01432879"</f>
        <v>01432879</v>
      </c>
      <c r="C3407" t="s">
        <v>18955</v>
      </c>
      <c r="D3407" t="s">
        <v>18956</v>
      </c>
      <c r="E3407" t="s">
        <v>18957</v>
      </c>
      <c r="G3407" t="s">
        <v>18958</v>
      </c>
      <c r="H3407" t="s">
        <v>8514</v>
      </c>
      <c r="I3407">
        <v>2238</v>
      </c>
      <c r="J3407" t="s">
        <v>8515</v>
      </c>
      <c r="L3407" t="s">
        <v>1714</v>
      </c>
      <c r="M3407" t="s">
        <v>199</v>
      </c>
      <c r="R3407" t="s">
        <v>18955</v>
      </c>
      <c r="W3407" t="s">
        <v>18957</v>
      </c>
      <c r="X3407" t="s">
        <v>18959</v>
      </c>
      <c r="Y3407" t="s">
        <v>153</v>
      </c>
      <c r="Z3407" t="s">
        <v>117</v>
      </c>
      <c r="AA3407" t="str">
        <f>"14303-1427"</f>
        <v>14303-1427</v>
      </c>
      <c r="AB3407" t="s">
        <v>1460</v>
      </c>
      <c r="AC3407" t="s">
        <v>119</v>
      </c>
      <c r="AD3407" t="s">
        <v>113</v>
      </c>
      <c r="AE3407" t="s">
        <v>120</v>
      </c>
      <c r="AG3407" t="s">
        <v>121</v>
      </c>
    </row>
    <row r="3408" spans="1:33" x14ac:dyDescent="0.25">
      <c r="A3408" t="str">
        <f>"1962623991"</f>
        <v>1962623991</v>
      </c>
      <c r="B3408" t="str">
        <f>"02430091"</f>
        <v>02430091</v>
      </c>
      <c r="C3408" t="s">
        <v>18960</v>
      </c>
      <c r="D3408" t="s">
        <v>18961</v>
      </c>
      <c r="E3408" t="s">
        <v>18962</v>
      </c>
      <c r="G3408" t="s">
        <v>18960</v>
      </c>
      <c r="H3408" t="s">
        <v>18963</v>
      </c>
      <c r="J3408" t="s">
        <v>18964</v>
      </c>
      <c r="L3408" t="s">
        <v>142</v>
      </c>
      <c r="M3408" t="s">
        <v>113</v>
      </c>
      <c r="R3408" t="s">
        <v>18965</v>
      </c>
      <c r="W3408" t="s">
        <v>18962</v>
      </c>
      <c r="X3408" t="s">
        <v>18966</v>
      </c>
      <c r="Y3408" t="s">
        <v>958</v>
      </c>
      <c r="Z3408" t="s">
        <v>117</v>
      </c>
      <c r="AA3408" t="str">
        <f>"14226-1645"</f>
        <v>14226-1645</v>
      </c>
      <c r="AB3408" t="s">
        <v>118</v>
      </c>
      <c r="AC3408" t="s">
        <v>119</v>
      </c>
      <c r="AD3408" t="s">
        <v>113</v>
      </c>
      <c r="AE3408" t="s">
        <v>120</v>
      </c>
      <c r="AG3408" t="s">
        <v>121</v>
      </c>
    </row>
    <row r="3409" spans="1:33" x14ac:dyDescent="0.25">
      <c r="A3409" t="str">
        <f>"1962695445"</f>
        <v>1962695445</v>
      </c>
      <c r="B3409" t="str">
        <f>"03429018"</f>
        <v>03429018</v>
      </c>
      <c r="C3409" t="s">
        <v>18967</v>
      </c>
      <c r="D3409" t="s">
        <v>18968</v>
      </c>
      <c r="E3409" t="s">
        <v>18969</v>
      </c>
      <c r="G3409" t="s">
        <v>18970</v>
      </c>
      <c r="H3409" t="s">
        <v>18971</v>
      </c>
      <c r="J3409" t="s">
        <v>18972</v>
      </c>
      <c r="L3409" t="s">
        <v>112</v>
      </c>
      <c r="M3409" t="s">
        <v>113</v>
      </c>
      <c r="R3409" t="s">
        <v>18973</v>
      </c>
      <c r="W3409" t="s">
        <v>18969</v>
      </c>
      <c r="X3409" t="s">
        <v>838</v>
      </c>
      <c r="Y3409" t="s">
        <v>240</v>
      </c>
      <c r="Z3409" t="s">
        <v>117</v>
      </c>
      <c r="AA3409" t="str">
        <f>"14221-3647"</f>
        <v>14221-3647</v>
      </c>
      <c r="AB3409" t="s">
        <v>118</v>
      </c>
      <c r="AC3409" t="s">
        <v>119</v>
      </c>
      <c r="AD3409" t="s">
        <v>113</v>
      </c>
      <c r="AE3409" t="s">
        <v>120</v>
      </c>
      <c r="AG3409" t="s">
        <v>121</v>
      </c>
    </row>
    <row r="3410" spans="1:33" x14ac:dyDescent="0.25">
      <c r="A3410" t="str">
        <f>"1962732792"</f>
        <v>1962732792</v>
      </c>
      <c r="B3410" t="str">
        <f>"03184741"</f>
        <v>03184741</v>
      </c>
      <c r="C3410" t="s">
        <v>18974</v>
      </c>
      <c r="D3410" t="s">
        <v>18975</v>
      </c>
      <c r="E3410" t="s">
        <v>18976</v>
      </c>
      <c r="G3410" t="s">
        <v>18977</v>
      </c>
      <c r="H3410" t="s">
        <v>8070</v>
      </c>
      <c r="J3410" t="s">
        <v>18978</v>
      </c>
      <c r="L3410" t="s">
        <v>112</v>
      </c>
      <c r="M3410" t="s">
        <v>113</v>
      </c>
      <c r="R3410" t="s">
        <v>18979</v>
      </c>
      <c r="W3410" t="s">
        <v>18976</v>
      </c>
      <c r="X3410" t="s">
        <v>10576</v>
      </c>
      <c r="Y3410" t="s">
        <v>958</v>
      </c>
      <c r="Z3410" t="s">
        <v>117</v>
      </c>
      <c r="AA3410" t="str">
        <f>"14226-2547"</f>
        <v>14226-2547</v>
      </c>
      <c r="AB3410" t="s">
        <v>118</v>
      </c>
      <c r="AC3410" t="s">
        <v>119</v>
      </c>
      <c r="AD3410" t="s">
        <v>113</v>
      </c>
      <c r="AE3410" t="s">
        <v>120</v>
      </c>
      <c r="AG3410" t="s">
        <v>121</v>
      </c>
    </row>
    <row r="3411" spans="1:33" x14ac:dyDescent="0.25">
      <c r="A3411" t="str">
        <f>"1962760785"</f>
        <v>1962760785</v>
      </c>
      <c r="C3411" t="s">
        <v>18980</v>
      </c>
      <c r="G3411" t="s">
        <v>18981</v>
      </c>
      <c r="H3411" t="s">
        <v>351</v>
      </c>
      <c r="J3411" t="s">
        <v>18982</v>
      </c>
      <c r="K3411" t="s">
        <v>303</v>
      </c>
      <c r="L3411" t="s">
        <v>112</v>
      </c>
      <c r="M3411" t="s">
        <v>113</v>
      </c>
      <c r="R3411" t="s">
        <v>18983</v>
      </c>
      <c r="S3411" t="s">
        <v>354</v>
      </c>
      <c r="T3411" t="s">
        <v>116</v>
      </c>
      <c r="U3411" t="s">
        <v>117</v>
      </c>
      <c r="V3411" t="str">
        <f>"142152814"</f>
        <v>142152814</v>
      </c>
      <c r="AC3411" t="s">
        <v>119</v>
      </c>
      <c r="AD3411" t="s">
        <v>113</v>
      </c>
      <c r="AE3411" t="s">
        <v>306</v>
      </c>
      <c r="AG3411" t="s">
        <v>121</v>
      </c>
    </row>
    <row r="3412" spans="1:33" x14ac:dyDescent="0.25">
      <c r="A3412" t="str">
        <f>"1962794271"</f>
        <v>1962794271</v>
      </c>
      <c r="C3412" t="s">
        <v>18984</v>
      </c>
      <c r="G3412" t="s">
        <v>18985</v>
      </c>
      <c r="J3412" t="s">
        <v>352</v>
      </c>
      <c r="K3412" t="s">
        <v>303</v>
      </c>
      <c r="L3412" t="s">
        <v>229</v>
      </c>
      <c r="M3412" t="s">
        <v>113</v>
      </c>
      <c r="R3412" t="s">
        <v>18986</v>
      </c>
      <c r="S3412" t="s">
        <v>18987</v>
      </c>
      <c r="T3412" t="s">
        <v>116</v>
      </c>
      <c r="U3412" t="s">
        <v>117</v>
      </c>
      <c r="V3412" t="str">
        <f>"142023803"</f>
        <v>142023803</v>
      </c>
      <c r="AC3412" t="s">
        <v>119</v>
      </c>
      <c r="AD3412" t="s">
        <v>113</v>
      </c>
      <c r="AE3412" t="s">
        <v>306</v>
      </c>
      <c r="AG3412" t="s">
        <v>121</v>
      </c>
    </row>
    <row r="3413" spans="1:33" x14ac:dyDescent="0.25">
      <c r="A3413" t="str">
        <f>"1962823187"</f>
        <v>1962823187</v>
      </c>
      <c r="B3413" t="str">
        <f>"03729408"</f>
        <v>03729408</v>
      </c>
      <c r="C3413" t="s">
        <v>18988</v>
      </c>
      <c r="D3413" t="s">
        <v>18989</v>
      </c>
      <c r="E3413" t="s">
        <v>18990</v>
      </c>
      <c r="G3413" t="s">
        <v>18988</v>
      </c>
      <c r="H3413" t="s">
        <v>590</v>
      </c>
      <c r="J3413" t="s">
        <v>18991</v>
      </c>
      <c r="L3413" t="s">
        <v>1033</v>
      </c>
      <c r="M3413" t="s">
        <v>113</v>
      </c>
      <c r="R3413" t="s">
        <v>18992</v>
      </c>
      <c r="W3413" t="s">
        <v>18990</v>
      </c>
      <c r="X3413" t="s">
        <v>846</v>
      </c>
      <c r="Y3413" t="s">
        <v>847</v>
      </c>
      <c r="Z3413" t="s">
        <v>117</v>
      </c>
      <c r="AA3413" t="str">
        <f>"14569-1326"</f>
        <v>14569-1326</v>
      </c>
      <c r="AB3413" t="s">
        <v>528</v>
      </c>
      <c r="AC3413" t="s">
        <v>119</v>
      </c>
      <c r="AD3413" t="s">
        <v>113</v>
      </c>
      <c r="AE3413" t="s">
        <v>120</v>
      </c>
      <c r="AG3413" t="s">
        <v>121</v>
      </c>
    </row>
    <row r="3414" spans="1:33" x14ac:dyDescent="0.25">
      <c r="A3414" t="str">
        <f>"1972515740"</f>
        <v>1972515740</v>
      </c>
      <c r="B3414" t="str">
        <f>"02209649"</f>
        <v>02209649</v>
      </c>
      <c r="C3414" t="s">
        <v>18993</v>
      </c>
      <c r="D3414" t="s">
        <v>18994</v>
      </c>
      <c r="E3414" t="s">
        <v>18995</v>
      </c>
      <c r="G3414" t="s">
        <v>18996</v>
      </c>
      <c r="H3414" t="s">
        <v>236</v>
      </c>
      <c r="J3414" t="s">
        <v>18997</v>
      </c>
      <c r="L3414" t="s">
        <v>142</v>
      </c>
      <c r="M3414" t="s">
        <v>113</v>
      </c>
      <c r="R3414" t="s">
        <v>18998</v>
      </c>
      <c r="W3414" t="s">
        <v>18995</v>
      </c>
      <c r="X3414" t="s">
        <v>6765</v>
      </c>
      <c r="Y3414" t="s">
        <v>240</v>
      </c>
      <c r="Z3414" t="s">
        <v>117</v>
      </c>
      <c r="AA3414" t="str">
        <f>"14221-1729"</f>
        <v>14221-1729</v>
      </c>
      <c r="AB3414" t="s">
        <v>118</v>
      </c>
      <c r="AC3414" t="s">
        <v>119</v>
      </c>
      <c r="AD3414" t="s">
        <v>113</v>
      </c>
      <c r="AE3414" t="s">
        <v>120</v>
      </c>
      <c r="AG3414" t="s">
        <v>121</v>
      </c>
    </row>
    <row r="3415" spans="1:33" x14ac:dyDescent="0.25">
      <c r="A3415" t="str">
        <f>"1972525103"</f>
        <v>1972525103</v>
      </c>
      <c r="B3415" t="str">
        <f>"01608171"</f>
        <v>01608171</v>
      </c>
      <c r="C3415" t="s">
        <v>18999</v>
      </c>
      <c r="D3415" t="s">
        <v>19000</v>
      </c>
      <c r="E3415" t="s">
        <v>19001</v>
      </c>
      <c r="G3415" t="s">
        <v>19002</v>
      </c>
      <c r="H3415" t="s">
        <v>937</v>
      </c>
      <c r="J3415" t="s">
        <v>19003</v>
      </c>
      <c r="L3415" t="s">
        <v>142</v>
      </c>
      <c r="M3415" t="s">
        <v>113</v>
      </c>
      <c r="R3415" t="s">
        <v>19004</v>
      </c>
      <c r="W3415" t="s">
        <v>19001</v>
      </c>
      <c r="X3415" t="s">
        <v>19005</v>
      </c>
      <c r="Y3415" t="s">
        <v>116</v>
      </c>
      <c r="Z3415" t="s">
        <v>117</v>
      </c>
      <c r="AA3415" t="str">
        <f>"14209"</f>
        <v>14209</v>
      </c>
      <c r="AB3415" t="s">
        <v>118</v>
      </c>
      <c r="AC3415" t="s">
        <v>119</v>
      </c>
      <c r="AD3415" t="s">
        <v>113</v>
      </c>
      <c r="AE3415" t="s">
        <v>120</v>
      </c>
      <c r="AG3415" t="s">
        <v>121</v>
      </c>
    </row>
    <row r="3416" spans="1:33" x14ac:dyDescent="0.25">
      <c r="A3416" t="str">
        <f>"1972540482"</f>
        <v>1972540482</v>
      </c>
      <c r="B3416" t="str">
        <f>"01730336"</f>
        <v>01730336</v>
      </c>
      <c r="C3416" t="s">
        <v>19006</v>
      </c>
      <c r="D3416" t="s">
        <v>19007</v>
      </c>
      <c r="E3416" t="s">
        <v>19008</v>
      </c>
      <c r="H3416" t="s">
        <v>630</v>
      </c>
      <c r="L3416" t="s">
        <v>69</v>
      </c>
      <c r="M3416" t="s">
        <v>113</v>
      </c>
      <c r="R3416" t="s">
        <v>19006</v>
      </c>
      <c r="W3416" t="s">
        <v>19008</v>
      </c>
      <c r="X3416" t="s">
        <v>253</v>
      </c>
      <c r="Y3416" t="s">
        <v>116</v>
      </c>
      <c r="Z3416" t="s">
        <v>117</v>
      </c>
      <c r="AA3416" t="str">
        <f>"14215-3021"</f>
        <v>14215-3021</v>
      </c>
      <c r="AB3416" t="s">
        <v>872</v>
      </c>
      <c r="AC3416" t="s">
        <v>119</v>
      </c>
      <c r="AD3416" t="s">
        <v>113</v>
      </c>
      <c r="AE3416" t="s">
        <v>120</v>
      </c>
      <c r="AG3416" t="s">
        <v>121</v>
      </c>
    </row>
    <row r="3417" spans="1:33" x14ac:dyDescent="0.25">
      <c r="A3417" t="str">
        <f>"1972551430"</f>
        <v>1972551430</v>
      </c>
      <c r="B3417" t="str">
        <f>"00644546"</f>
        <v>00644546</v>
      </c>
      <c r="C3417" t="s">
        <v>19009</v>
      </c>
      <c r="D3417" t="s">
        <v>19010</v>
      </c>
      <c r="E3417" t="s">
        <v>19011</v>
      </c>
      <c r="G3417" t="s">
        <v>19012</v>
      </c>
      <c r="H3417" t="s">
        <v>205</v>
      </c>
      <c r="J3417" t="s">
        <v>19013</v>
      </c>
      <c r="L3417" t="s">
        <v>150</v>
      </c>
      <c r="M3417" t="s">
        <v>113</v>
      </c>
      <c r="R3417" t="s">
        <v>19014</v>
      </c>
      <c r="W3417" t="s">
        <v>19015</v>
      </c>
      <c r="X3417" t="s">
        <v>2607</v>
      </c>
      <c r="Y3417" t="s">
        <v>116</v>
      </c>
      <c r="Z3417" t="s">
        <v>117</v>
      </c>
      <c r="AA3417" t="str">
        <f>"14203-1194"</f>
        <v>14203-1194</v>
      </c>
      <c r="AB3417" t="s">
        <v>118</v>
      </c>
      <c r="AC3417" t="s">
        <v>119</v>
      </c>
      <c r="AD3417" t="s">
        <v>113</v>
      </c>
      <c r="AE3417" t="s">
        <v>120</v>
      </c>
      <c r="AG3417" t="s">
        <v>121</v>
      </c>
    </row>
    <row r="3418" spans="1:33" x14ac:dyDescent="0.25">
      <c r="A3418" t="str">
        <f>"1972560910"</f>
        <v>1972560910</v>
      </c>
      <c r="B3418" t="str">
        <f>"02564381"</f>
        <v>02564381</v>
      </c>
      <c r="C3418" t="s">
        <v>19016</v>
      </c>
      <c r="D3418" t="s">
        <v>19017</v>
      </c>
      <c r="E3418" t="s">
        <v>19018</v>
      </c>
      <c r="G3418" t="s">
        <v>19019</v>
      </c>
      <c r="H3418" t="s">
        <v>6770</v>
      </c>
      <c r="J3418" t="s">
        <v>19020</v>
      </c>
      <c r="L3418" t="s">
        <v>112</v>
      </c>
      <c r="M3418" t="s">
        <v>113</v>
      </c>
      <c r="R3418" t="s">
        <v>19021</v>
      </c>
      <c r="W3418" t="s">
        <v>19022</v>
      </c>
      <c r="X3418" t="s">
        <v>9070</v>
      </c>
      <c r="Y3418" t="s">
        <v>663</v>
      </c>
      <c r="Z3418" t="s">
        <v>117</v>
      </c>
      <c r="AA3418" t="str">
        <f>"14094-5376"</f>
        <v>14094-5376</v>
      </c>
      <c r="AB3418" t="s">
        <v>634</v>
      </c>
      <c r="AC3418" t="s">
        <v>119</v>
      </c>
      <c r="AD3418" t="s">
        <v>113</v>
      </c>
      <c r="AE3418" t="s">
        <v>120</v>
      </c>
      <c r="AG3418" t="s">
        <v>121</v>
      </c>
    </row>
    <row r="3419" spans="1:33" x14ac:dyDescent="0.25">
      <c r="A3419" t="str">
        <f>"1972567741"</f>
        <v>1972567741</v>
      </c>
      <c r="B3419" t="str">
        <f>"00892851"</f>
        <v>00892851</v>
      </c>
      <c r="C3419" t="s">
        <v>19023</v>
      </c>
      <c r="D3419" t="s">
        <v>19024</v>
      </c>
      <c r="E3419" t="s">
        <v>19025</v>
      </c>
      <c r="G3419" t="s">
        <v>19023</v>
      </c>
      <c r="H3419" t="s">
        <v>19026</v>
      </c>
      <c r="J3419" t="s">
        <v>19027</v>
      </c>
      <c r="L3419" t="s">
        <v>142</v>
      </c>
      <c r="M3419" t="s">
        <v>113</v>
      </c>
      <c r="R3419" t="s">
        <v>19028</v>
      </c>
      <c r="W3419" t="s">
        <v>19025</v>
      </c>
      <c r="X3419" t="s">
        <v>494</v>
      </c>
      <c r="Y3419" t="s">
        <v>240</v>
      </c>
      <c r="Z3419" t="s">
        <v>117</v>
      </c>
      <c r="AA3419" t="str">
        <f>"14221-5934"</f>
        <v>14221-5934</v>
      </c>
      <c r="AB3419" t="s">
        <v>118</v>
      </c>
      <c r="AC3419" t="s">
        <v>119</v>
      </c>
      <c r="AD3419" t="s">
        <v>113</v>
      </c>
      <c r="AE3419" t="s">
        <v>120</v>
      </c>
      <c r="AG3419" t="s">
        <v>121</v>
      </c>
    </row>
    <row r="3420" spans="1:33" x14ac:dyDescent="0.25">
      <c r="A3420" t="str">
        <f>"1982661823"</f>
        <v>1982661823</v>
      </c>
      <c r="B3420" t="str">
        <f>"01756523"</f>
        <v>01756523</v>
      </c>
      <c r="C3420" t="s">
        <v>19029</v>
      </c>
      <c r="D3420" t="s">
        <v>19030</v>
      </c>
      <c r="E3420" t="s">
        <v>19031</v>
      </c>
      <c r="G3420" t="s">
        <v>19029</v>
      </c>
      <c r="H3420" t="s">
        <v>908</v>
      </c>
      <c r="J3420" t="s">
        <v>19032</v>
      </c>
      <c r="L3420" t="s">
        <v>142</v>
      </c>
      <c r="M3420" t="s">
        <v>113</v>
      </c>
      <c r="R3420" t="s">
        <v>19033</v>
      </c>
      <c r="W3420" t="s">
        <v>19031</v>
      </c>
      <c r="X3420" t="s">
        <v>176</v>
      </c>
      <c r="Y3420" t="s">
        <v>116</v>
      </c>
      <c r="Z3420" t="s">
        <v>117</v>
      </c>
      <c r="AA3420" t="str">
        <f>"14203-1126"</f>
        <v>14203-1126</v>
      </c>
      <c r="AB3420" t="s">
        <v>118</v>
      </c>
      <c r="AC3420" t="s">
        <v>119</v>
      </c>
      <c r="AD3420" t="s">
        <v>113</v>
      </c>
      <c r="AE3420" t="s">
        <v>120</v>
      </c>
      <c r="AG3420" t="s">
        <v>121</v>
      </c>
    </row>
    <row r="3421" spans="1:33" x14ac:dyDescent="0.25">
      <c r="A3421" t="str">
        <f>"1982679312"</f>
        <v>1982679312</v>
      </c>
      <c r="B3421" t="str">
        <f>"01388641"</f>
        <v>01388641</v>
      </c>
      <c r="C3421" t="s">
        <v>19034</v>
      </c>
      <c r="D3421" t="s">
        <v>19035</v>
      </c>
      <c r="E3421" t="s">
        <v>19036</v>
      </c>
      <c r="G3421" t="s">
        <v>19034</v>
      </c>
      <c r="H3421" t="s">
        <v>19037</v>
      </c>
      <c r="J3421" t="s">
        <v>19038</v>
      </c>
      <c r="L3421" t="s">
        <v>142</v>
      </c>
      <c r="M3421" t="s">
        <v>113</v>
      </c>
      <c r="R3421" t="s">
        <v>19039</v>
      </c>
      <c r="W3421" t="s">
        <v>19036</v>
      </c>
      <c r="X3421" t="s">
        <v>19040</v>
      </c>
      <c r="Y3421" t="s">
        <v>116</v>
      </c>
      <c r="Z3421" t="s">
        <v>117</v>
      </c>
      <c r="AA3421" t="str">
        <f>"14203-1126"</f>
        <v>14203-1126</v>
      </c>
      <c r="AB3421" t="s">
        <v>118</v>
      </c>
      <c r="AC3421" t="s">
        <v>119</v>
      </c>
      <c r="AD3421" t="s">
        <v>113</v>
      </c>
      <c r="AE3421" t="s">
        <v>120</v>
      </c>
      <c r="AG3421" t="s">
        <v>121</v>
      </c>
    </row>
    <row r="3422" spans="1:33" x14ac:dyDescent="0.25">
      <c r="A3422" t="str">
        <f>"1982682639"</f>
        <v>1982682639</v>
      </c>
      <c r="B3422" t="str">
        <f>"03004955"</f>
        <v>03004955</v>
      </c>
      <c r="C3422" t="s">
        <v>5775</v>
      </c>
      <c r="D3422" t="s">
        <v>4752</v>
      </c>
      <c r="E3422" t="s">
        <v>4753</v>
      </c>
      <c r="F3422">
        <v>160968914</v>
      </c>
      <c r="G3422" t="s">
        <v>4754</v>
      </c>
      <c r="H3422" t="s">
        <v>983</v>
      </c>
      <c r="J3422" t="s">
        <v>4755</v>
      </c>
      <c r="L3422" t="s">
        <v>4756</v>
      </c>
      <c r="M3422" t="s">
        <v>199</v>
      </c>
      <c r="R3422" t="s">
        <v>5775</v>
      </c>
      <c r="W3422" t="s">
        <v>4753</v>
      </c>
      <c r="X3422" t="s">
        <v>4758</v>
      </c>
      <c r="Y3422" t="s">
        <v>986</v>
      </c>
      <c r="Z3422" t="s">
        <v>117</v>
      </c>
      <c r="AA3422" t="str">
        <f>"14701-2828"</f>
        <v>14701-2828</v>
      </c>
      <c r="AB3422" t="s">
        <v>1146</v>
      </c>
      <c r="AC3422" t="s">
        <v>119</v>
      </c>
      <c r="AD3422" t="s">
        <v>113</v>
      </c>
      <c r="AE3422" t="s">
        <v>120</v>
      </c>
      <c r="AG3422" t="s">
        <v>121</v>
      </c>
    </row>
    <row r="3423" spans="1:33" x14ac:dyDescent="0.25">
      <c r="A3423" t="str">
        <f>"1982695649"</f>
        <v>1982695649</v>
      </c>
      <c r="B3423" t="str">
        <f>"01927971"</f>
        <v>01927971</v>
      </c>
      <c r="C3423" t="s">
        <v>19041</v>
      </c>
      <c r="D3423" t="s">
        <v>19042</v>
      </c>
      <c r="E3423" t="s">
        <v>19043</v>
      </c>
      <c r="G3423" t="s">
        <v>19044</v>
      </c>
      <c r="H3423" t="s">
        <v>19045</v>
      </c>
      <c r="J3423" t="s">
        <v>19046</v>
      </c>
      <c r="L3423" t="s">
        <v>150</v>
      </c>
      <c r="M3423" t="s">
        <v>113</v>
      </c>
      <c r="R3423" t="s">
        <v>19047</v>
      </c>
      <c r="W3423" t="s">
        <v>19043</v>
      </c>
      <c r="X3423" t="s">
        <v>376</v>
      </c>
      <c r="Y3423" t="s">
        <v>377</v>
      </c>
      <c r="Z3423" t="s">
        <v>117</v>
      </c>
      <c r="AA3423" t="str">
        <f>"14217-1390"</f>
        <v>14217-1390</v>
      </c>
      <c r="AB3423" t="s">
        <v>118</v>
      </c>
      <c r="AC3423" t="s">
        <v>119</v>
      </c>
      <c r="AD3423" t="s">
        <v>113</v>
      </c>
      <c r="AE3423" t="s">
        <v>120</v>
      </c>
      <c r="AG3423" t="s">
        <v>121</v>
      </c>
    </row>
    <row r="3424" spans="1:33" x14ac:dyDescent="0.25">
      <c r="A3424" t="str">
        <f>"1851535918"</f>
        <v>1851535918</v>
      </c>
      <c r="B3424" t="str">
        <f>"03625376"</f>
        <v>03625376</v>
      </c>
      <c r="C3424" t="s">
        <v>19048</v>
      </c>
      <c r="D3424" t="s">
        <v>19049</v>
      </c>
      <c r="E3424" t="s">
        <v>19050</v>
      </c>
      <c r="G3424" t="s">
        <v>330</v>
      </c>
      <c r="J3424" t="s">
        <v>332</v>
      </c>
      <c r="L3424" t="s">
        <v>150</v>
      </c>
      <c r="M3424" t="s">
        <v>199</v>
      </c>
      <c r="R3424" t="s">
        <v>19051</v>
      </c>
      <c r="W3424" t="s">
        <v>19050</v>
      </c>
      <c r="X3424" t="s">
        <v>18507</v>
      </c>
      <c r="Y3424" t="s">
        <v>116</v>
      </c>
      <c r="Z3424" t="s">
        <v>117</v>
      </c>
      <c r="AA3424" t="str">
        <f>"14207-1910"</f>
        <v>14207-1910</v>
      </c>
      <c r="AB3424" t="s">
        <v>118</v>
      </c>
      <c r="AC3424" t="s">
        <v>119</v>
      </c>
      <c r="AD3424" t="s">
        <v>113</v>
      </c>
      <c r="AE3424" t="s">
        <v>120</v>
      </c>
      <c r="AG3424" t="s">
        <v>121</v>
      </c>
    </row>
    <row r="3425" spans="1:33" x14ac:dyDescent="0.25">
      <c r="A3425" t="str">
        <f>"1851558282"</f>
        <v>1851558282</v>
      </c>
      <c r="C3425" t="s">
        <v>19052</v>
      </c>
      <c r="G3425" t="s">
        <v>19053</v>
      </c>
      <c r="H3425" t="s">
        <v>19054</v>
      </c>
      <c r="J3425" t="s">
        <v>352</v>
      </c>
      <c r="K3425" t="s">
        <v>303</v>
      </c>
      <c r="L3425" t="s">
        <v>229</v>
      </c>
      <c r="M3425" t="s">
        <v>113</v>
      </c>
      <c r="R3425" t="s">
        <v>19055</v>
      </c>
      <c r="S3425" t="s">
        <v>409</v>
      </c>
      <c r="T3425" t="s">
        <v>116</v>
      </c>
      <c r="U3425" t="s">
        <v>117</v>
      </c>
      <c r="V3425" t="str">
        <f>"142152814"</f>
        <v>142152814</v>
      </c>
      <c r="AC3425" t="s">
        <v>119</v>
      </c>
      <c r="AD3425" t="s">
        <v>113</v>
      </c>
      <c r="AE3425" t="s">
        <v>306</v>
      </c>
      <c r="AG3425" t="s">
        <v>121</v>
      </c>
    </row>
    <row r="3426" spans="1:33" x14ac:dyDescent="0.25">
      <c r="A3426" t="str">
        <f>"1851568307"</f>
        <v>1851568307</v>
      </c>
      <c r="B3426" t="str">
        <f>"03617618"</f>
        <v>03617618</v>
      </c>
      <c r="C3426" t="s">
        <v>19056</v>
      </c>
      <c r="D3426" t="s">
        <v>19057</v>
      </c>
      <c r="E3426" t="s">
        <v>19058</v>
      </c>
      <c r="G3426" t="s">
        <v>19059</v>
      </c>
      <c r="H3426" t="s">
        <v>539</v>
      </c>
      <c r="L3426" t="s">
        <v>142</v>
      </c>
      <c r="M3426" t="s">
        <v>113</v>
      </c>
      <c r="R3426" t="s">
        <v>19059</v>
      </c>
      <c r="W3426" t="s">
        <v>19058</v>
      </c>
      <c r="X3426" t="s">
        <v>6222</v>
      </c>
      <c r="Y3426" t="s">
        <v>541</v>
      </c>
      <c r="Z3426" t="s">
        <v>117</v>
      </c>
      <c r="AA3426" t="str">
        <f>"14048-2237"</f>
        <v>14048-2237</v>
      </c>
      <c r="AB3426" t="s">
        <v>118</v>
      </c>
      <c r="AC3426" t="s">
        <v>119</v>
      </c>
      <c r="AD3426" t="s">
        <v>113</v>
      </c>
      <c r="AE3426" t="s">
        <v>120</v>
      </c>
      <c r="AG3426" t="s">
        <v>121</v>
      </c>
    </row>
    <row r="3427" spans="1:33" x14ac:dyDescent="0.25">
      <c r="A3427" t="str">
        <f>"1851575088"</f>
        <v>1851575088</v>
      </c>
      <c r="B3427" t="str">
        <f>"03496531"</f>
        <v>03496531</v>
      </c>
      <c r="C3427" t="s">
        <v>19060</v>
      </c>
      <c r="D3427" t="s">
        <v>19061</v>
      </c>
      <c r="E3427" t="s">
        <v>19062</v>
      </c>
      <c r="G3427" t="s">
        <v>19060</v>
      </c>
      <c r="H3427" t="s">
        <v>707</v>
      </c>
      <c r="J3427" t="s">
        <v>19063</v>
      </c>
      <c r="L3427" t="s">
        <v>112</v>
      </c>
      <c r="M3427" t="s">
        <v>113</v>
      </c>
      <c r="R3427" t="s">
        <v>19062</v>
      </c>
      <c r="W3427" t="s">
        <v>19062</v>
      </c>
      <c r="X3427" t="s">
        <v>709</v>
      </c>
      <c r="Y3427" t="s">
        <v>116</v>
      </c>
      <c r="Z3427" t="s">
        <v>117</v>
      </c>
      <c r="AA3427" t="str">
        <f>"14263-0001"</f>
        <v>14263-0001</v>
      </c>
      <c r="AB3427" t="s">
        <v>118</v>
      </c>
      <c r="AC3427" t="s">
        <v>119</v>
      </c>
      <c r="AD3427" t="s">
        <v>113</v>
      </c>
      <c r="AE3427" t="s">
        <v>120</v>
      </c>
      <c r="AG3427" t="s">
        <v>121</v>
      </c>
    </row>
    <row r="3428" spans="1:33" x14ac:dyDescent="0.25">
      <c r="A3428" t="str">
        <f>"1851626626"</f>
        <v>1851626626</v>
      </c>
      <c r="B3428" t="str">
        <f>"03317219"</f>
        <v>03317219</v>
      </c>
      <c r="C3428" t="s">
        <v>19064</v>
      </c>
      <c r="D3428" t="s">
        <v>19065</v>
      </c>
      <c r="E3428" t="s">
        <v>19066</v>
      </c>
      <c r="G3428" t="s">
        <v>19067</v>
      </c>
      <c r="H3428" t="s">
        <v>19068</v>
      </c>
      <c r="J3428" t="s">
        <v>19069</v>
      </c>
      <c r="L3428" t="s">
        <v>142</v>
      </c>
      <c r="M3428" t="s">
        <v>113</v>
      </c>
      <c r="R3428" t="s">
        <v>19070</v>
      </c>
      <c r="W3428" t="s">
        <v>19066</v>
      </c>
      <c r="X3428" t="s">
        <v>13555</v>
      </c>
      <c r="Y3428" t="s">
        <v>129</v>
      </c>
      <c r="Z3428" t="s">
        <v>117</v>
      </c>
      <c r="AA3428" t="str">
        <f>"14224-1324"</f>
        <v>14224-1324</v>
      </c>
      <c r="AB3428" t="s">
        <v>118</v>
      </c>
      <c r="AC3428" t="s">
        <v>119</v>
      </c>
      <c r="AD3428" t="s">
        <v>113</v>
      </c>
      <c r="AE3428" t="s">
        <v>120</v>
      </c>
      <c r="AG3428" t="s">
        <v>121</v>
      </c>
    </row>
    <row r="3429" spans="1:33" x14ac:dyDescent="0.25">
      <c r="A3429" t="str">
        <f>"1851660658"</f>
        <v>1851660658</v>
      </c>
      <c r="C3429" t="s">
        <v>19071</v>
      </c>
      <c r="G3429" t="s">
        <v>19071</v>
      </c>
      <c r="H3429" t="s">
        <v>19072</v>
      </c>
      <c r="J3429" t="s">
        <v>19073</v>
      </c>
      <c r="K3429" t="s">
        <v>303</v>
      </c>
      <c r="L3429" t="s">
        <v>112</v>
      </c>
      <c r="M3429" t="s">
        <v>113</v>
      </c>
      <c r="R3429" t="s">
        <v>19074</v>
      </c>
      <c r="S3429" t="s">
        <v>6742</v>
      </c>
      <c r="T3429" t="s">
        <v>153</v>
      </c>
      <c r="U3429" t="s">
        <v>117</v>
      </c>
      <c r="V3429" t="str">
        <f>"143011201"</f>
        <v>143011201</v>
      </c>
      <c r="AC3429" t="s">
        <v>119</v>
      </c>
      <c r="AD3429" t="s">
        <v>113</v>
      </c>
      <c r="AE3429" t="s">
        <v>306</v>
      </c>
      <c r="AG3429" t="s">
        <v>121</v>
      </c>
    </row>
    <row r="3430" spans="1:33" x14ac:dyDescent="0.25">
      <c r="A3430" t="str">
        <f>"1154315554"</f>
        <v>1154315554</v>
      </c>
      <c r="B3430" t="str">
        <f>"01331722"</f>
        <v>01331722</v>
      </c>
      <c r="C3430" t="s">
        <v>19075</v>
      </c>
      <c r="D3430" t="s">
        <v>19076</v>
      </c>
      <c r="E3430" t="s">
        <v>19077</v>
      </c>
      <c r="G3430" t="s">
        <v>19078</v>
      </c>
      <c r="H3430" t="s">
        <v>19079</v>
      </c>
      <c r="J3430" t="s">
        <v>19080</v>
      </c>
      <c r="L3430" t="s">
        <v>150</v>
      </c>
      <c r="M3430" t="s">
        <v>113</v>
      </c>
      <c r="R3430" t="s">
        <v>19081</v>
      </c>
      <c r="W3430" t="s">
        <v>19077</v>
      </c>
      <c r="X3430" t="s">
        <v>19082</v>
      </c>
      <c r="Y3430" t="s">
        <v>129</v>
      </c>
      <c r="Z3430" t="s">
        <v>117</v>
      </c>
      <c r="AA3430" t="str">
        <f>"14224-2643"</f>
        <v>14224-2643</v>
      </c>
      <c r="AB3430" t="s">
        <v>118</v>
      </c>
      <c r="AC3430" t="s">
        <v>119</v>
      </c>
      <c r="AD3430" t="s">
        <v>113</v>
      </c>
      <c r="AE3430" t="s">
        <v>120</v>
      </c>
      <c r="AG3430" t="s">
        <v>121</v>
      </c>
    </row>
    <row r="3431" spans="1:33" x14ac:dyDescent="0.25">
      <c r="A3431" t="str">
        <f>"1720041536"</f>
        <v>1720041536</v>
      </c>
      <c r="B3431" t="str">
        <f>"02183273"</f>
        <v>02183273</v>
      </c>
      <c r="C3431" t="s">
        <v>19083</v>
      </c>
      <c r="D3431" t="s">
        <v>19084</v>
      </c>
      <c r="E3431" t="s">
        <v>19085</v>
      </c>
      <c r="G3431" t="s">
        <v>19078</v>
      </c>
      <c r="H3431" t="s">
        <v>19086</v>
      </c>
      <c r="J3431" t="s">
        <v>19080</v>
      </c>
      <c r="L3431" t="s">
        <v>1143</v>
      </c>
      <c r="M3431" t="s">
        <v>113</v>
      </c>
      <c r="R3431" t="s">
        <v>19087</v>
      </c>
      <c r="W3431" t="s">
        <v>19085</v>
      </c>
      <c r="X3431" t="s">
        <v>3803</v>
      </c>
      <c r="Y3431" t="s">
        <v>129</v>
      </c>
      <c r="Z3431" t="s">
        <v>117</v>
      </c>
      <c r="AA3431" t="str">
        <f>"14224-2646"</f>
        <v>14224-2646</v>
      </c>
      <c r="AB3431" t="s">
        <v>1146</v>
      </c>
      <c r="AC3431" t="s">
        <v>119</v>
      </c>
      <c r="AD3431" t="s">
        <v>113</v>
      </c>
      <c r="AE3431" t="s">
        <v>120</v>
      </c>
      <c r="AG3431" t="s">
        <v>121</v>
      </c>
    </row>
    <row r="3432" spans="1:33" x14ac:dyDescent="0.25">
      <c r="A3432" t="str">
        <f>"1316913213"</f>
        <v>1316913213</v>
      </c>
      <c r="B3432" t="str">
        <f>"00634919"</f>
        <v>00634919</v>
      </c>
      <c r="C3432" t="s">
        <v>19088</v>
      </c>
      <c r="D3432" t="s">
        <v>19089</v>
      </c>
      <c r="E3432" t="s">
        <v>19090</v>
      </c>
      <c r="G3432" t="s">
        <v>19078</v>
      </c>
      <c r="H3432" t="s">
        <v>19091</v>
      </c>
      <c r="J3432" t="s">
        <v>19080</v>
      </c>
      <c r="L3432" t="s">
        <v>112</v>
      </c>
      <c r="M3432" t="s">
        <v>113</v>
      </c>
      <c r="R3432" t="s">
        <v>19092</v>
      </c>
      <c r="W3432" t="s">
        <v>19090</v>
      </c>
      <c r="X3432" t="s">
        <v>19093</v>
      </c>
      <c r="Y3432" t="s">
        <v>2946</v>
      </c>
      <c r="Z3432" t="s">
        <v>117</v>
      </c>
      <c r="AA3432" t="str">
        <f>"14075-3738"</f>
        <v>14075-3738</v>
      </c>
      <c r="AB3432" t="s">
        <v>118</v>
      </c>
      <c r="AC3432" t="s">
        <v>119</v>
      </c>
      <c r="AD3432" t="s">
        <v>113</v>
      </c>
      <c r="AE3432" t="s">
        <v>120</v>
      </c>
      <c r="AG3432" t="s">
        <v>121</v>
      </c>
    </row>
    <row r="3433" spans="1:33" x14ac:dyDescent="0.25">
      <c r="A3433" t="str">
        <f>"1073627907"</f>
        <v>1073627907</v>
      </c>
      <c r="B3433" t="str">
        <f>"01222311"</f>
        <v>01222311</v>
      </c>
      <c r="C3433" t="s">
        <v>19094</v>
      </c>
      <c r="D3433" t="s">
        <v>19095</v>
      </c>
      <c r="E3433" t="s">
        <v>19096</v>
      </c>
      <c r="G3433" t="s">
        <v>19078</v>
      </c>
      <c r="H3433" t="s">
        <v>19097</v>
      </c>
      <c r="J3433" t="s">
        <v>19080</v>
      </c>
      <c r="L3433" t="s">
        <v>142</v>
      </c>
      <c r="M3433" t="s">
        <v>113</v>
      </c>
      <c r="R3433" t="s">
        <v>19098</v>
      </c>
      <c r="W3433" t="s">
        <v>19096</v>
      </c>
      <c r="X3433" t="s">
        <v>4004</v>
      </c>
      <c r="Y3433" t="s">
        <v>116</v>
      </c>
      <c r="Z3433" t="s">
        <v>117</v>
      </c>
      <c r="AA3433" t="str">
        <f>"14263-0001"</f>
        <v>14263-0001</v>
      </c>
      <c r="AB3433" t="s">
        <v>118</v>
      </c>
      <c r="AC3433" t="s">
        <v>119</v>
      </c>
      <c r="AD3433" t="s">
        <v>113</v>
      </c>
      <c r="AE3433" t="s">
        <v>120</v>
      </c>
      <c r="AG3433" t="s">
        <v>121</v>
      </c>
    </row>
    <row r="3434" spans="1:33" x14ac:dyDescent="0.25">
      <c r="C3434" t="s">
        <v>19099</v>
      </c>
      <c r="G3434" t="s">
        <v>19078</v>
      </c>
      <c r="H3434" t="s">
        <v>19100</v>
      </c>
      <c r="J3434" t="s">
        <v>19080</v>
      </c>
      <c r="K3434" t="s">
        <v>303</v>
      </c>
      <c r="L3434" t="s">
        <v>3095</v>
      </c>
      <c r="M3434" t="s">
        <v>113</v>
      </c>
      <c r="N3434" t="s">
        <v>19101</v>
      </c>
      <c r="O3434" t="s">
        <v>18794</v>
      </c>
      <c r="P3434" t="s">
        <v>117</v>
      </c>
      <c r="Q3434" t="str">
        <f>"14249"</f>
        <v>14249</v>
      </c>
      <c r="AC3434" t="s">
        <v>119</v>
      </c>
      <c r="AD3434" t="s">
        <v>113</v>
      </c>
      <c r="AE3434" t="s">
        <v>3098</v>
      </c>
      <c r="AG3434" t="s">
        <v>121</v>
      </c>
    </row>
    <row r="3435" spans="1:33" x14ac:dyDescent="0.25">
      <c r="A3435" t="str">
        <f>"1366424848"</f>
        <v>1366424848</v>
      </c>
      <c r="B3435" t="str">
        <f>"01353180"</f>
        <v>01353180</v>
      </c>
      <c r="C3435" t="s">
        <v>19102</v>
      </c>
      <c r="D3435" t="s">
        <v>19103</v>
      </c>
      <c r="E3435" t="s">
        <v>19104</v>
      </c>
      <c r="G3435" t="s">
        <v>19078</v>
      </c>
      <c r="H3435" t="s">
        <v>19105</v>
      </c>
      <c r="J3435" t="s">
        <v>19080</v>
      </c>
      <c r="L3435" t="s">
        <v>142</v>
      </c>
      <c r="M3435" t="s">
        <v>113</v>
      </c>
      <c r="R3435" t="s">
        <v>19106</v>
      </c>
      <c r="W3435" t="s">
        <v>19107</v>
      </c>
      <c r="X3435" t="s">
        <v>19108</v>
      </c>
      <c r="Y3435" t="s">
        <v>1545</v>
      </c>
      <c r="Z3435" t="s">
        <v>117</v>
      </c>
      <c r="AA3435" t="str">
        <f>"14218-1820"</f>
        <v>14218-1820</v>
      </c>
      <c r="AB3435" t="s">
        <v>1755</v>
      </c>
      <c r="AC3435" t="s">
        <v>119</v>
      </c>
      <c r="AD3435" t="s">
        <v>113</v>
      </c>
      <c r="AE3435" t="s">
        <v>120</v>
      </c>
      <c r="AG3435" t="s">
        <v>121</v>
      </c>
    </row>
    <row r="3436" spans="1:33" x14ac:dyDescent="0.25">
      <c r="A3436" t="str">
        <f>"1861814683"</f>
        <v>1861814683</v>
      </c>
      <c r="C3436" t="s">
        <v>19109</v>
      </c>
      <c r="G3436" t="s">
        <v>19110</v>
      </c>
      <c r="H3436" t="s">
        <v>351</v>
      </c>
      <c r="J3436" t="s">
        <v>352</v>
      </c>
      <c r="K3436" t="s">
        <v>303</v>
      </c>
      <c r="L3436" t="s">
        <v>112</v>
      </c>
      <c r="M3436" t="s">
        <v>113</v>
      </c>
      <c r="R3436" t="s">
        <v>19111</v>
      </c>
      <c r="S3436" t="s">
        <v>354</v>
      </c>
      <c r="T3436" t="s">
        <v>116</v>
      </c>
      <c r="U3436" t="s">
        <v>117</v>
      </c>
      <c r="V3436" t="str">
        <f>"142152814"</f>
        <v>142152814</v>
      </c>
      <c r="AC3436" t="s">
        <v>119</v>
      </c>
      <c r="AD3436" t="s">
        <v>113</v>
      </c>
      <c r="AE3436" t="s">
        <v>306</v>
      </c>
      <c r="AG3436" t="s">
        <v>121</v>
      </c>
    </row>
    <row r="3437" spans="1:33" x14ac:dyDescent="0.25">
      <c r="A3437" t="str">
        <f>"1861823700"</f>
        <v>1861823700</v>
      </c>
      <c r="B3437" t="str">
        <f>"03784205"</f>
        <v>03784205</v>
      </c>
      <c r="C3437" t="s">
        <v>19112</v>
      </c>
      <c r="D3437" t="s">
        <v>19113</v>
      </c>
      <c r="E3437" t="s">
        <v>19114</v>
      </c>
      <c r="G3437" t="s">
        <v>2847</v>
      </c>
      <c r="H3437" t="s">
        <v>744</v>
      </c>
      <c r="J3437" t="s">
        <v>2849</v>
      </c>
      <c r="L3437" t="s">
        <v>142</v>
      </c>
      <c r="M3437" t="s">
        <v>113</v>
      </c>
      <c r="R3437" t="s">
        <v>19115</v>
      </c>
      <c r="W3437" t="s">
        <v>19116</v>
      </c>
      <c r="X3437" t="s">
        <v>19117</v>
      </c>
      <c r="Y3437" t="s">
        <v>5228</v>
      </c>
      <c r="Z3437" t="s">
        <v>117</v>
      </c>
      <c r="AA3437" t="str">
        <f>"14228-0000"</f>
        <v>14228-0000</v>
      </c>
      <c r="AB3437" t="s">
        <v>118</v>
      </c>
      <c r="AC3437" t="s">
        <v>119</v>
      </c>
      <c r="AD3437" t="s">
        <v>113</v>
      </c>
      <c r="AE3437" t="s">
        <v>120</v>
      </c>
      <c r="AG3437" t="s">
        <v>121</v>
      </c>
    </row>
    <row r="3438" spans="1:33" x14ac:dyDescent="0.25">
      <c r="A3438" t="str">
        <f>"1861833824"</f>
        <v>1861833824</v>
      </c>
      <c r="B3438" t="str">
        <f>"03618637"</f>
        <v>03618637</v>
      </c>
      <c r="C3438" t="s">
        <v>19118</v>
      </c>
      <c r="D3438" t="s">
        <v>19119</v>
      </c>
      <c r="E3438" t="s">
        <v>19120</v>
      </c>
      <c r="G3438" t="s">
        <v>1252</v>
      </c>
      <c r="H3438" t="s">
        <v>1253</v>
      </c>
      <c r="J3438" t="s">
        <v>1254</v>
      </c>
      <c r="L3438" t="s">
        <v>150</v>
      </c>
      <c r="M3438" t="s">
        <v>113</v>
      </c>
      <c r="R3438" t="s">
        <v>19121</v>
      </c>
      <c r="W3438" t="s">
        <v>19120</v>
      </c>
      <c r="X3438" t="s">
        <v>838</v>
      </c>
      <c r="Y3438" t="s">
        <v>240</v>
      </c>
      <c r="Z3438" t="s">
        <v>117</v>
      </c>
      <c r="AA3438" t="str">
        <f>"14221-3647"</f>
        <v>14221-3647</v>
      </c>
      <c r="AB3438" t="s">
        <v>118</v>
      </c>
      <c r="AC3438" t="s">
        <v>119</v>
      </c>
      <c r="AD3438" t="s">
        <v>113</v>
      </c>
      <c r="AE3438" t="s">
        <v>120</v>
      </c>
      <c r="AG3438" t="s">
        <v>121</v>
      </c>
    </row>
    <row r="3439" spans="1:33" x14ac:dyDescent="0.25">
      <c r="A3439" t="str">
        <f>"1871516468"</f>
        <v>1871516468</v>
      </c>
      <c r="B3439" t="str">
        <f>"01107359"</f>
        <v>01107359</v>
      </c>
      <c r="C3439" t="s">
        <v>19122</v>
      </c>
      <c r="D3439" t="s">
        <v>19123</v>
      </c>
      <c r="E3439" t="s">
        <v>19124</v>
      </c>
      <c r="G3439" t="s">
        <v>19122</v>
      </c>
      <c r="H3439" t="s">
        <v>3544</v>
      </c>
      <c r="J3439" t="s">
        <v>19125</v>
      </c>
      <c r="L3439" t="s">
        <v>112</v>
      </c>
      <c r="M3439" t="s">
        <v>113</v>
      </c>
      <c r="R3439" t="s">
        <v>19126</v>
      </c>
      <c r="W3439" t="s">
        <v>19124</v>
      </c>
      <c r="X3439" t="s">
        <v>6234</v>
      </c>
      <c r="Y3439" t="s">
        <v>116</v>
      </c>
      <c r="Z3439" t="s">
        <v>117</v>
      </c>
      <c r="AA3439" t="str">
        <f>"14221-5329"</f>
        <v>14221-5329</v>
      </c>
      <c r="AB3439" t="s">
        <v>118</v>
      </c>
      <c r="AC3439" t="s">
        <v>119</v>
      </c>
      <c r="AD3439" t="s">
        <v>113</v>
      </c>
      <c r="AE3439" t="s">
        <v>120</v>
      </c>
      <c r="AG3439" t="s">
        <v>121</v>
      </c>
    </row>
    <row r="3440" spans="1:33" x14ac:dyDescent="0.25">
      <c r="A3440" t="str">
        <f>"1871541730"</f>
        <v>1871541730</v>
      </c>
      <c r="B3440" t="str">
        <f>"01087810"</f>
        <v>01087810</v>
      </c>
      <c r="C3440" t="s">
        <v>19127</v>
      </c>
      <c r="D3440" t="s">
        <v>19128</v>
      </c>
      <c r="E3440" t="s">
        <v>19129</v>
      </c>
      <c r="G3440" t="s">
        <v>19127</v>
      </c>
      <c r="H3440" t="s">
        <v>19130</v>
      </c>
      <c r="J3440" t="s">
        <v>19131</v>
      </c>
      <c r="L3440" t="s">
        <v>142</v>
      </c>
      <c r="M3440" t="s">
        <v>113</v>
      </c>
      <c r="R3440" t="s">
        <v>19132</v>
      </c>
      <c r="W3440" t="s">
        <v>19129</v>
      </c>
      <c r="X3440" t="s">
        <v>13555</v>
      </c>
      <c r="Y3440" t="s">
        <v>129</v>
      </c>
      <c r="Z3440" t="s">
        <v>117</v>
      </c>
      <c r="AA3440" t="str">
        <f>"14224-1324"</f>
        <v>14224-1324</v>
      </c>
      <c r="AB3440" t="s">
        <v>118</v>
      </c>
      <c r="AC3440" t="s">
        <v>119</v>
      </c>
      <c r="AD3440" t="s">
        <v>113</v>
      </c>
      <c r="AE3440" t="s">
        <v>120</v>
      </c>
      <c r="AG3440" t="s">
        <v>121</v>
      </c>
    </row>
    <row r="3441" spans="1:33" x14ac:dyDescent="0.25">
      <c r="A3441" t="str">
        <f>"1871544346"</f>
        <v>1871544346</v>
      </c>
      <c r="B3441" t="str">
        <f>"01715388"</f>
        <v>01715388</v>
      </c>
      <c r="C3441" t="s">
        <v>19133</v>
      </c>
      <c r="D3441" t="s">
        <v>19134</v>
      </c>
      <c r="E3441" t="s">
        <v>19135</v>
      </c>
      <c r="G3441" t="s">
        <v>19136</v>
      </c>
      <c r="H3441" t="s">
        <v>205</v>
      </c>
      <c r="J3441" t="s">
        <v>352</v>
      </c>
      <c r="L3441" t="s">
        <v>112</v>
      </c>
      <c r="M3441" t="s">
        <v>113</v>
      </c>
      <c r="R3441" t="s">
        <v>19137</v>
      </c>
      <c r="W3441" t="s">
        <v>19135</v>
      </c>
      <c r="X3441" t="s">
        <v>1922</v>
      </c>
      <c r="Y3441" t="s">
        <v>268</v>
      </c>
      <c r="Z3441" t="s">
        <v>117</v>
      </c>
      <c r="AA3441" t="str">
        <f>"14150-8441"</f>
        <v>14150-8441</v>
      </c>
      <c r="AB3441" t="s">
        <v>118</v>
      </c>
      <c r="AC3441" t="s">
        <v>119</v>
      </c>
      <c r="AD3441" t="s">
        <v>113</v>
      </c>
      <c r="AE3441" t="s">
        <v>120</v>
      </c>
      <c r="AG3441" t="s">
        <v>121</v>
      </c>
    </row>
    <row r="3442" spans="1:33" x14ac:dyDescent="0.25">
      <c r="A3442" t="str">
        <f>"1871550012"</f>
        <v>1871550012</v>
      </c>
      <c r="B3442" t="str">
        <f>"01044453"</f>
        <v>01044453</v>
      </c>
      <c r="C3442" t="s">
        <v>19138</v>
      </c>
      <c r="D3442" t="s">
        <v>19139</v>
      </c>
      <c r="E3442" t="s">
        <v>19140</v>
      </c>
      <c r="G3442" t="s">
        <v>19138</v>
      </c>
      <c r="H3442" t="s">
        <v>908</v>
      </c>
      <c r="J3442" t="s">
        <v>19141</v>
      </c>
      <c r="L3442" t="s">
        <v>142</v>
      </c>
      <c r="M3442" t="s">
        <v>113</v>
      </c>
      <c r="R3442" t="s">
        <v>19142</v>
      </c>
      <c r="W3442" t="s">
        <v>19143</v>
      </c>
      <c r="X3442" t="s">
        <v>778</v>
      </c>
      <c r="Y3442" t="s">
        <v>240</v>
      </c>
      <c r="Z3442" t="s">
        <v>117</v>
      </c>
      <c r="AA3442" t="str">
        <f>"14221-8214"</f>
        <v>14221-8214</v>
      </c>
      <c r="AB3442" t="s">
        <v>118</v>
      </c>
      <c r="AC3442" t="s">
        <v>119</v>
      </c>
      <c r="AD3442" t="s">
        <v>113</v>
      </c>
      <c r="AE3442" t="s">
        <v>120</v>
      </c>
      <c r="AG3442" t="s">
        <v>121</v>
      </c>
    </row>
    <row r="3443" spans="1:33" x14ac:dyDescent="0.25">
      <c r="A3443" t="str">
        <f>"1871551200"</f>
        <v>1871551200</v>
      </c>
      <c r="B3443" t="str">
        <f>"02430862"</f>
        <v>02430862</v>
      </c>
      <c r="C3443" t="s">
        <v>19144</v>
      </c>
      <c r="D3443" t="s">
        <v>19145</v>
      </c>
      <c r="E3443" t="s">
        <v>19146</v>
      </c>
      <c r="G3443" t="s">
        <v>19144</v>
      </c>
      <c r="H3443" t="s">
        <v>19147</v>
      </c>
      <c r="J3443" t="s">
        <v>19148</v>
      </c>
      <c r="L3443" t="s">
        <v>142</v>
      </c>
      <c r="M3443" t="s">
        <v>113</v>
      </c>
      <c r="R3443" t="s">
        <v>19149</v>
      </c>
      <c r="W3443" t="s">
        <v>19146</v>
      </c>
      <c r="X3443" t="s">
        <v>838</v>
      </c>
      <c r="Y3443" t="s">
        <v>240</v>
      </c>
      <c r="Z3443" t="s">
        <v>117</v>
      </c>
      <c r="AA3443" t="str">
        <f>"14221-3647"</f>
        <v>14221-3647</v>
      </c>
      <c r="AB3443" t="s">
        <v>528</v>
      </c>
      <c r="AC3443" t="s">
        <v>119</v>
      </c>
      <c r="AD3443" t="s">
        <v>113</v>
      </c>
      <c r="AE3443" t="s">
        <v>120</v>
      </c>
      <c r="AG3443" t="s">
        <v>121</v>
      </c>
    </row>
    <row r="3444" spans="1:33" x14ac:dyDescent="0.25">
      <c r="A3444" t="str">
        <f>"1871551234"</f>
        <v>1871551234</v>
      </c>
      <c r="B3444" t="str">
        <f>"01625034"</f>
        <v>01625034</v>
      </c>
      <c r="C3444" t="s">
        <v>19150</v>
      </c>
      <c r="D3444" t="s">
        <v>19151</v>
      </c>
      <c r="E3444" t="s">
        <v>19152</v>
      </c>
      <c r="L3444" t="s">
        <v>142</v>
      </c>
      <c r="M3444" t="s">
        <v>113</v>
      </c>
      <c r="R3444" t="s">
        <v>19150</v>
      </c>
      <c r="W3444" t="s">
        <v>19152</v>
      </c>
      <c r="X3444" t="s">
        <v>253</v>
      </c>
      <c r="Y3444" t="s">
        <v>116</v>
      </c>
      <c r="Z3444" t="s">
        <v>117</v>
      </c>
      <c r="AA3444" t="str">
        <f>"14215-3021"</f>
        <v>14215-3021</v>
      </c>
      <c r="AB3444" t="s">
        <v>118</v>
      </c>
      <c r="AC3444" t="s">
        <v>119</v>
      </c>
      <c r="AD3444" t="s">
        <v>113</v>
      </c>
      <c r="AE3444" t="s">
        <v>120</v>
      </c>
      <c r="AG3444" t="s">
        <v>121</v>
      </c>
    </row>
    <row r="3445" spans="1:33" x14ac:dyDescent="0.25">
      <c r="B3445" t="str">
        <f>"02594645"</f>
        <v>02594645</v>
      </c>
      <c r="C3445" t="s">
        <v>18017</v>
      </c>
      <c r="D3445" t="s">
        <v>18018</v>
      </c>
      <c r="E3445" t="s">
        <v>18017</v>
      </c>
      <c r="F3445">
        <v>160975538</v>
      </c>
      <c r="H3445" t="s">
        <v>1600</v>
      </c>
      <c r="L3445" t="s">
        <v>69</v>
      </c>
      <c r="M3445" t="s">
        <v>199</v>
      </c>
      <c r="W3445" t="s">
        <v>18017</v>
      </c>
      <c r="X3445" t="s">
        <v>18019</v>
      </c>
      <c r="Y3445" t="s">
        <v>240</v>
      </c>
      <c r="Z3445" t="s">
        <v>117</v>
      </c>
      <c r="AA3445" t="str">
        <f>"14221-6837"</f>
        <v>14221-6837</v>
      </c>
      <c r="AB3445" t="s">
        <v>291</v>
      </c>
      <c r="AC3445" t="s">
        <v>119</v>
      </c>
      <c r="AD3445" t="s">
        <v>113</v>
      </c>
      <c r="AE3445" t="s">
        <v>120</v>
      </c>
      <c r="AG3445" t="s">
        <v>121</v>
      </c>
    </row>
    <row r="3446" spans="1:33" x14ac:dyDescent="0.25">
      <c r="A3446" t="str">
        <f>"1871558478"</f>
        <v>1871558478</v>
      </c>
      <c r="B3446" t="str">
        <f>"02430362"</f>
        <v>02430362</v>
      </c>
      <c r="C3446" t="s">
        <v>19156</v>
      </c>
      <c r="D3446" t="s">
        <v>19157</v>
      </c>
      <c r="E3446" t="s">
        <v>19158</v>
      </c>
      <c r="G3446" t="s">
        <v>19156</v>
      </c>
      <c r="H3446" t="s">
        <v>19159</v>
      </c>
      <c r="J3446" t="s">
        <v>19160</v>
      </c>
      <c r="L3446" t="s">
        <v>112</v>
      </c>
      <c r="M3446" t="s">
        <v>113</v>
      </c>
      <c r="R3446" t="s">
        <v>19161</v>
      </c>
      <c r="W3446" t="s">
        <v>19158</v>
      </c>
      <c r="X3446" t="s">
        <v>216</v>
      </c>
      <c r="Y3446" t="s">
        <v>116</v>
      </c>
      <c r="Z3446" t="s">
        <v>117</v>
      </c>
      <c r="AA3446" t="str">
        <f>"14222-2006"</f>
        <v>14222-2006</v>
      </c>
      <c r="AB3446" t="s">
        <v>118</v>
      </c>
      <c r="AC3446" t="s">
        <v>119</v>
      </c>
      <c r="AD3446" t="s">
        <v>113</v>
      </c>
      <c r="AE3446" t="s">
        <v>120</v>
      </c>
      <c r="AG3446" t="s">
        <v>121</v>
      </c>
    </row>
    <row r="3447" spans="1:33" x14ac:dyDescent="0.25">
      <c r="A3447" t="str">
        <f>"1871559625"</f>
        <v>1871559625</v>
      </c>
      <c r="B3447" t="str">
        <f>"01150834"</f>
        <v>01150834</v>
      </c>
      <c r="C3447" t="s">
        <v>19162</v>
      </c>
      <c r="D3447" t="s">
        <v>19163</v>
      </c>
      <c r="E3447" t="s">
        <v>19164</v>
      </c>
      <c r="G3447" t="s">
        <v>19162</v>
      </c>
      <c r="H3447" t="s">
        <v>630</v>
      </c>
      <c r="J3447" t="s">
        <v>19165</v>
      </c>
      <c r="L3447" t="s">
        <v>142</v>
      </c>
      <c r="M3447" t="s">
        <v>113</v>
      </c>
      <c r="R3447" t="s">
        <v>19166</v>
      </c>
      <c r="W3447" t="s">
        <v>19164</v>
      </c>
      <c r="Y3447" t="s">
        <v>116</v>
      </c>
      <c r="Z3447" t="s">
        <v>117</v>
      </c>
      <c r="AA3447" t="str">
        <f>"14220-2095"</f>
        <v>14220-2095</v>
      </c>
      <c r="AB3447" t="s">
        <v>118</v>
      </c>
      <c r="AC3447" t="s">
        <v>119</v>
      </c>
      <c r="AD3447" t="s">
        <v>113</v>
      </c>
      <c r="AE3447" t="s">
        <v>120</v>
      </c>
      <c r="AG3447" t="s">
        <v>121</v>
      </c>
    </row>
    <row r="3448" spans="1:33" x14ac:dyDescent="0.25">
      <c r="A3448" t="str">
        <f>"1922036227"</f>
        <v>1922036227</v>
      </c>
      <c r="B3448" t="str">
        <f>"00951822"</f>
        <v>00951822</v>
      </c>
      <c r="C3448" t="s">
        <v>19167</v>
      </c>
      <c r="D3448" t="s">
        <v>19168</v>
      </c>
      <c r="E3448" t="s">
        <v>19169</v>
      </c>
      <c r="G3448" t="s">
        <v>19167</v>
      </c>
      <c r="H3448" t="s">
        <v>19170</v>
      </c>
      <c r="J3448" t="s">
        <v>19171</v>
      </c>
      <c r="L3448" t="s">
        <v>150</v>
      </c>
      <c r="M3448" t="s">
        <v>113</v>
      </c>
      <c r="R3448" t="s">
        <v>19172</v>
      </c>
      <c r="W3448" t="s">
        <v>19173</v>
      </c>
      <c r="X3448" t="s">
        <v>19174</v>
      </c>
      <c r="Y3448" t="s">
        <v>116</v>
      </c>
      <c r="Z3448" t="s">
        <v>117</v>
      </c>
      <c r="AA3448" t="str">
        <f>"14226-3031"</f>
        <v>14226-3031</v>
      </c>
      <c r="AB3448" t="s">
        <v>118</v>
      </c>
      <c r="AC3448" t="s">
        <v>119</v>
      </c>
      <c r="AD3448" t="s">
        <v>113</v>
      </c>
      <c r="AE3448" t="s">
        <v>120</v>
      </c>
      <c r="AG3448" t="s">
        <v>121</v>
      </c>
    </row>
    <row r="3449" spans="1:33" x14ac:dyDescent="0.25">
      <c r="A3449" t="str">
        <f>"1922039213"</f>
        <v>1922039213</v>
      </c>
      <c r="B3449" t="str">
        <f>"01886057"</f>
        <v>01886057</v>
      </c>
      <c r="C3449" t="s">
        <v>19175</v>
      </c>
      <c r="D3449" t="s">
        <v>19176</v>
      </c>
      <c r="E3449" t="s">
        <v>19177</v>
      </c>
      <c r="G3449" t="s">
        <v>19178</v>
      </c>
      <c r="H3449" t="s">
        <v>19179</v>
      </c>
      <c r="J3449" t="s">
        <v>19180</v>
      </c>
      <c r="L3449" t="s">
        <v>150</v>
      </c>
      <c r="M3449" t="s">
        <v>113</v>
      </c>
      <c r="R3449" t="s">
        <v>19181</v>
      </c>
      <c r="W3449" t="s">
        <v>19177</v>
      </c>
      <c r="X3449" t="s">
        <v>19182</v>
      </c>
      <c r="Y3449" t="s">
        <v>116</v>
      </c>
      <c r="Z3449" t="s">
        <v>117</v>
      </c>
      <c r="AA3449" t="str">
        <f>"14209-1606"</f>
        <v>14209-1606</v>
      </c>
      <c r="AB3449" t="s">
        <v>118</v>
      </c>
      <c r="AC3449" t="s">
        <v>119</v>
      </c>
      <c r="AD3449" t="s">
        <v>113</v>
      </c>
      <c r="AE3449" t="s">
        <v>120</v>
      </c>
      <c r="AG3449" t="s">
        <v>121</v>
      </c>
    </row>
    <row r="3450" spans="1:33" x14ac:dyDescent="0.25">
      <c r="A3450" t="str">
        <f>"1922045889"</f>
        <v>1922045889</v>
      </c>
      <c r="B3450" t="str">
        <f>"02796078"</f>
        <v>02796078</v>
      </c>
      <c r="C3450" t="s">
        <v>19183</v>
      </c>
      <c r="D3450" t="s">
        <v>19184</v>
      </c>
      <c r="E3450" t="s">
        <v>19185</v>
      </c>
      <c r="G3450" t="s">
        <v>19186</v>
      </c>
      <c r="H3450" t="s">
        <v>19187</v>
      </c>
      <c r="J3450" t="s">
        <v>19188</v>
      </c>
      <c r="L3450" t="s">
        <v>142</v>
      </c>
      <c r="M3450" t="s">
        <v>113</v>
      </c>
      <c r="R3450" t="s">
        <v>19189</v>
      </c>
      <c r="W3450" t="s">
        <v>19190</v>
      </c>
      <c r="X3450" t="s">
        <v>19191</v>
      </c>
      <c r="Y3450" t="s">
        <v>9399</v>
      </c>
      <c r="Z3450" t="s">
        <v>1535</v>
      </c>
      <c r="AA3450" t="str">
        <f>"19134-1043"</f>
        <v>19134-1043</v>
      </c>
      <c r="AB3450" t="s">
        <v>118</v>
      </c>
      <c r="AC3450" t="s">
        <v>119</v>
      </c>
      <c r="AD3450" t="s">
        <v>113</v>
      </c>
      <c r="AE3450" t="s">
        <v>120</v>
      </c>
      <c r="AG3450" t="s">
        <v>121</v>
      </c>
    </row>
    <row r="3451" spans="1:33" x14ac:dyDescent="0.25">
      <c r="A3451" t="str">
        <f>"1922050012"</f>
        <v>1922050012</v>
      </c>
      <c r="B3451" t="str">
        <f>"01843232"</f>
        <v>01843232</v>
      </c>
      <c r="C3451" t="s">
        <v>19192</v>
      </c>
      <c r="D3451" t="s">
        <v>19193</v>
      </c>
      <c r="E3451" t="s">
        <v>19194</v>
      </c>
      <c r="G3451" t="s">
        <v>19192</v>
      </c>
      <c r="H3451" t="s">
        <v>19195</v>
      </c>
      <c r="J3451" t="s">
        <v>19196</v>
      </c>
      <c r="L3451" t="s">
        <v>1033</v>
      </c>
      <c r="M3451" t="s">
        <v>113</v>
      </c>
      <c r="R3451" t="s">
        <v>19197</v>
      </c>
      <c r="W3451" t="s">
        <v>19194</v>
      </c>
      <c r="X3451" t="s">
        <v>19198</v>
      </c>
      <c r="Y3451" t="s">
        <v>153</v>
      </c>
      <c r="Z3451" t="s">
        <v>117</v>
      </c>
      <c r="AA3451" t="str">
        <f>"14301-1136"</f>
        <v>14301-1136</v>
      </c>
      <c r="AB3451" t="s">
        <v>118</v>
      </c>
      <c r="AC3451" t="s">
        <v>119</v>
      </c>
      <c r="AD3451" t="s">
        <v>113</v>
      </c>
      <c r="AE3451" t="s">
        <v>120</v>
      </c>
      <c r="AG3451" t="s">
        <v>121</v>
      </c>
    </row>
    <row r="3452" spans="1:33" x14ac:dyDescent="0.25">
      <c r="A3452" t="str">
        <f>"1922061845"</f>
        <v>1922061845</v>
      </c>
      <c r="B3452" t="str">
        <f>"01435785"</f>
        <v>01435785</v>
      </c>
      <c r="C3452" t="s">
        <v>19199</v>
      </c>
      <c r="D3452" t="s">
        <v>19200</v>
      </c>
      <c r="E3452" t="s">
        <v>19201</v>
      </c>
      <c r="G3452" t="s">
        <v>19199</v>
      </c>
      <c r="H3452" t="s">
        <v>19202</v>
      </c>
      <c r="J3452" t="s">
        <v>19203</v>
      </c>
      <c r="L3452" t="s">
        <v>150</v>
      </c>
      <c r="M3452" t="s">
        <v>113</v>
      </c>
      <c r="R3452" t="s">
        <v>19204</v>
      </c>
      <c r="W3452" t="s">
        <v>19201</v>
      </c>
      <c r="X3452" t="s">
        <v>14379</v>
      </c>
      <c r="Y3452" t="s">
        <v>116</v>
      </c>
      <c r="Z3452" t="s">
        <v>117</v>
      </c>
      <c r="AA3452" t="str">
        <f>"14214-2693"</f>
        <v>14214-2693</v>
      </c>
      <c r="AB3452" t="s">
        <v>118</v>
      </c>
      <c r="AC3452" t="s">
        <v>119</v>
      </c>
      <c r="AD3452" t="s">
        <v>113</v>
      </c>
      <c r="AE3452" t="s">
        <v>120</v>
      </c>
      <c r="AG3452" t="s">
        <v>121</v>
      </c>
    </row>
    <row r="3453" spans="1:33" x14ac:dyDescent="0.25">
      <c r="A3453" t="str">
        <f>"1922064393"</f>
        <v>1922064393</v>
      </c>
      <c r="B3453" t="str">
        <f>"02651518"</f>
        <v>02651518</v>
      </c>
      <c r="C3453" t="s">
        <v>19205</v>
      </c>
      <c r="D3453" t="s">
        <v>19206</v>
      </c>
      <c r="E3453" t="s">
        <v>19207</v>
      </c>
      <c r="G3453" t="s">
        <v>19205</v>
      </c>
      <c r="H3453" t="s">
        <v>6139</v>
      </c>
      <c r="J3453" t="s">
        <v>19208</v>
      </c>
      <c r="L3453" t="s">
        <v>112</v>
      </c>
      <c r="M3453" t="s">
        <v>113</v>
      </c>
      <c r="R3453" t="s">
        <v>19209</v>
      </c>
      <c r="W3453" t="s">
        <v>19207</v>
      </c>
      <c r="X3453" t="s">
        <v>19210</v>
      </c>
      <c r="Y3453" t="s">
        <v>326</v>
      </c>
      <c r="Z3453" t="s">
        <v>117</v>
      </c>
      <c r="AA3453" t="str">
        <f>"14127"</f>
        <v>14127</v>
      </c>
      <c r="AB3453" t="s">
        <v>118</v>
      </c>
      <c r="AC3453" t="s">
        <v>119</v>
      </c>
      <c r="AD3453" t="s">
        <v>113</v>
      </c>
      <c r="AE3453" t="s">
        <v>120</v>
      </c>
      <c r="AG3453" t="s">
        <v>121</v>
      </c>
    </row>
    <row r="3454" spans="1:33" x14ac:dyDescent="0.25">
      <c r="A3454" t="str">
        <f>"1922073774"</f>
        <v>1922073774</v>
      </c>
      <c r="B3454" t="str">
        <f>"01465154"</f>
        <v>01465154</v>
      </c>
      <c r="C3454" t="s">
        <v>1578</v>
      </c>
      <c r="D3454" t="s">
        <v>19211</v>
      </c>
      <c r="E3454" t="s">
        <v>19212</v>
      </c>
      <c r="F3454">
        <v>160975538</v>
      </c>
      <c r="G3454" t="s">
        <v>19213</v>
      </c>
      <c r="H3454" t="s">
        <v>2186</v>
      </c>
      <c r="J3454" t="s">
        <v>19214</v>
      </c>
      <c r="L3454" t="s">
        <v>1143</v>
      </c>
      <c r="M3454" t="s">
        <v>199</v>
      </c>
      <c r="R3454" t="s">
        <v>1578</v>
      </c>
      <c r="W3454" t="s">
        <v>19212</v>
      </c>
      <c r="X3454" t="s">
        <v>18507</v>
      </c>
      <c r="Y3454" t="s">
        <v>116</v>
      </c>
      <c r="Z3454" t="s">
        <v>117</v>
      </c>
      <c r="AA3454" t="str">
        <f>"14207-1910"</f>
        <v>14207-1910</v>
      </c>
      <c r="AB3454" t="s">
        <v>1146</v>
      </c>
      <c r="AC3454" t="s">
        <v>119</v>
      </c>
      <c r="AD3454" t="s">
        <v>113</v>
      </c>
      <c r="AE3454" t="s">
        <v>120</v>
      </c>
      <c r="AG3454" t="s">
        <v>121</v>
      </c>
    </row>
    <row r="3455" spans="1:33" x14ac:dyDescent="0.25">
      <c r="A3455" t="str">
        <f>"1922083989"</f>
        <v>1922083989</v>
      </c>
      <c r="B3455" t="str">
        <f>"01398705"</f>
        <v>01398705</v>
      </c>
      <c r="C3455" t="s">
        <v>19215</v>
      </c>
      <c r="D3455" t="s">
        <v>19216</v>
      </c>
      <c r="E3455" t="s">
        <v>19217</v>
      </c>
      <c r="G3455" t="s">
        <v>19215</v>
      </c>
      <c r="H3455" t="s">
        <v>398</v>
      </c>
      <c r="J3455" t="s">
        <v>19218</v>
      </c>
      <c r="L3455" t="s">
        <v>150</v>
      </c>
      <c r="M3455" t="s">
        <v>113</v>
      </c>
      <c r="R3455" t="s">
        <v>19219</v>
      </c>
      <c r="W3455" t="s">
        <v>19217</v>
      </c>
      <c r="X3455" t="s">
        <v>13067</v>
      </c>
      <c r="Y3455" t="s">
        <v>116</v>
      </c>
      <c r="Z3455" t="s">
        <v>117</v>
      </c>
      <c r="AA3455" t="str">
        <f>"14209-1603"</f>
        <v>14209-1603</v>
      </c>
      <c r="AB3455" t="s">
        <v>118</v>
      </c>
      <c r="AC3455" t="s">
        <v>119</v>
      </c>
      <c r="AD3455" t="s">
        <v>113</v>
      </c>
      <c r="AE3455" t="s">
        <v>120</v>
      </c>
      <c r="AG3455" t="s">
        <v>121</v>
      </c>
    </row>
    <row r="3456" spans="1:33" x14ac:dyDescent="0.25">
      <c r="A3456" t="str">
        <f>"1922095249"</f>
        <v>1922095249</v>
      </c>
      <c r="B3456" t="str">
        <f>"02180270"</f>
        <v>02180270</v>
      </c>
      <c r="C3456" t="s">
        <v>19220</v>
      </c>
      <c r="D3456" t="s">
        <v>19221</v>
      </c>
      <c r="E3456" t="s">
        <v>19222</v>
      </c>
      <c r="G3456" t="s">
        <v>19220</v>
      </c>
      <c r="H3456" t="s">
        <v>14574</v>
      </c>
      <c r="J3456" t="s">
        <v>19223</v>
      </c>
      <c r="L3456" t="s">
        <v>150</v>
      </c>
      <c r="M3456" t="s">
        <v>199</v>
      </c>
      <c r="R3456" t="s">
        <v>19224</v>
      </c>
      <c r="W3456" t="s">
        <v>19222</v>
      </c>
      <c r="X3456" t="s">
        <v>1845</v>
      </c>
      <c r="Y3456" t="s">
        <v>816</v>
      </c>
      <c r="Z3456" t="s">
        <v>117</v>
      </c>
      <c r="AA3456" t="str">
        <f>"14120-6150"</f>
        <v>14120-6150</v>
      </c>
      <c r="AB3456" t="s">
        <v>118</v>
      </c>
      <c r="AC3456" t="s">
        <v>119</v>
      </c>
      <c r="AD3456" t="s">
        <v>113</v>
      </c>
      <c r="AE3456" t="s">
        <v>120</v>
      </c>
      <c r="AG3456" t="s">
        <v>121</v>
      </c>
    </row>
    <row r="3457" spans="1:33" x14ac:dyDescent="0.25">
      <c r="A3457" t="str">
        <f>"1922111020"</f>
        <v>1922111020</v>
      </c>
      <c r="C3457" t="s">
        <v>19225</v>
      </c>
      <c r="G3457" t="s">
        <v>19225</v>
      </c>
      <c r="H3457" t="s">
        <v>17921</v>
      </c>
      <c r="J3457" t="s">
        <v>19226</v>
      </c>
      <c r="K3457" t="s">
        <v>303</v>
      </c>
      <c r="L3457" t="s">
        <v>229</v>
      </c>
      <c r="M3457" t="s">
        <v>113</v>
      </c>
      <c r="R3457" t="s">
        <v>19227</v>
      </c>
      <c r="S3457" t="s">
        <v>19228</v>
      </c>
      <c r="T3457" t="s">
        <v>19229</v>
      </c>
      <c r="U3457" t="s">
        <v>1445</v>
      </c>
      <c r="V3457" t="str">
        <f>"337014634"</f>
        <v>337014634</v>
      </c>
      <c r="AC3457" t="s">
        <v>119</v>
      </c>
      <c r="AD3457" t="s">
        <v>113</v>
      </c>
      <c r="AE3457" t="s">
        <v>306</v>
      </c>
      <c r="AG3457" t="s">
        <v>121</v>
      </c>
    </row>
    <row r="3458" spans="1:33" x14ac:dyDescent="0.25">
      <c r="B3458" t="str">
        <f>"03035912"</f>
        <v>03035912</v>
      </c>
      <c r="C3458" t="s">
        <v>23923</v>
      </c>
      <c r="D3458" t="s">
        <v>23924</v>
      </c>
      <c r="E3458" t="s">
        <v>23923</v>
      </c>
      <c r="F3458">
        <v>160975538</v>
      </c>
      <c r="H3458" t="s">
        <v>1600</v>
      </c>
      <c r="L3458" t="s">
        <v>69</v>
      </c>
      <c r="M3458" t="s">
        <v>199</v>
      </c>
      <c r="W3458" t="s">
        <v>23923</v>
      </c>
      <c r="X3458" t="s">
        <v>23925</v>
      </c>
      <c r="Y3458" t="s">
        <v>816</v>
      </c>
      <c r="Z3458" t="s">
        <v>117</v>
      </c>
      <c r="AA3458" t="str">
        <f>"14120-9571"</f>
        <v>14120-9571</v>
      </c>
      <c r="AB3458" t="s">
        <v>291</v>
      </c>
      <c r="AC3458" t="s">
        <v>119</v>
      </c>
      <c r="AD3458" t="s">
        <v>113</v>
      </c>
      <c r="AE3458" t="s">
        <v>120</v>
      </c>
      <c r="AG3458" t="s">
        <v>121</v>
      </c>
    </row>
    <row r="3459" spans="1:33" x14ac:dyDescent="0.25">
      <c r="A3459" t="str">
        <f>"1922144815"</f>
        <v>1922144815</v>
      </c>
      <c r="B3459" t="str">
        <f>"01804219"</f>
        <v>01804219</v>
      </c>
      <c r="C3459" t="s">
        <v>19234</v>
      </c>
      <c r="D3459" t="s">
        <v>19235</v>
      </c>
      <c r="E3459" t="s">
        <v>19236</v>
      </c>
      <c r="G3459" t="s">
        <v>19237</v>
      </c>
      <c r="H3459" t="s">
        <v>4132</v>
      </c>
      <c r="L3459" t="s">
        <v>150</v>
      </c>
      <c r="M3459" t="s">
        <v>199</v>
      </c>
      <c r="R3459" t="s">
        <v>19238</v>
      </c>
      <c r="W3459" t="s">
        <v>19236</v>
      </c>
      <c r="X3459" t="s">
        <v>19239</v>
      </c>
      <c r="Y3459" t="s">
        <v>512</v>
      </c>
      <c r="Z3459" t="s">
        <v>117</v>
      </c>
      <c r="AA3459" t="str">
        <f>"14092-1953"</f>
        <v>14092-1953</v>
      </c>
      <c r="AB3459" t="s">
        <v>118</v>
      </c>
      <c r="AC3459" t="s">
        <v>119</v>
      </c>
      <c r="AD3459" t="s">
        <v>113</v>
      </c>
      <c r="AE3459" t="s">
        <v>120</v>
      </c>
      <c r="AG3459" t="s">
        <v>121</v>
      </c>
    </row>
    <row r="3460" spans="1:33" x14ac:dyDescent="0.25">
      <c r="A3460" t="str">
        <f>"1922162197"</f>
        <v>1922162197</v>
      </c>
      <c r="B3460" t="str">
        <f>"00476628"</f>
        <v>00476628</v>
      </c>
      <c r="C3460" t="s">
        <v>3837</v>
      </c>
      <c r="D3460" t="s">
        <v>19240</v>
      </c>
      <c r="E3460" t="s">
        <v>19241</v>
      </c>
      <c r="G3460" t="s">
        <v>3840</v>
      </c>
      <c r="J3460" t="s">
        <v>3841</v>
      </c>
      <c r="L3460" t="s">
        <v>14</v>
      </c>
      <c r="M3460" t="s">
        <v>113</v>
      </c>
      <c r="R3460" t="s">
        <v>3837</v>
      </c>
      <c r="W3460" t="s">
        <v>19241</v>
      </c>
      <c r="X3460" t="s">
        <v>19242</v>
      </c>
      <c r="Y3460" t="s">
        <v>116</v>
      </c>
      <c r="Z3460" t="s">
        <v>117</v>
      </c>
      <c r="AA3460" t="str">
        <f>"14213-1207"</f>
        <v>14213-1207</v>
      </c>
      <c r="AB3460" t="s">
        <v>979</v>
      </c>
      <c r="AC3460" t="s">
        <v>119</v>
      </c>
      <c r="AD3460" t="s">
        <v>113</v>
      </c>
      <c r="AE3460" t="s">
        <v>120</v>
      </c>
      <c r="AG3460" t="s">
        <v>121</v>
      </c>
    </row>
    <row r="3461" spans="1:33" x14ac:dyDescent="0.25">
      <c r="A3461" t="str">
        <f>"1922181361"</f>
        <v>1922181361</v>
      </c>
      <c r="B3461" t="str">
        <f>"02323595"</f>
        <v>02323595</v>
      </c>
      <c r="C3461" t="s">
        <v>19243</v>
      </c>
      <c r="D3461" t="s">
        <v>19244</v>
      </c>
      <c r="E3461" t="s">
        <v>19245</v>
      </c>
      <c r="G3461" t="s">
        <v>19246</v>
      </c>
      <c r="H3461" t="s">
        <v>213</v>
      </c>
      <c r="J3461" t="s">
        <v>19247</v>
      </c>
      <c r="L3461" t="s">
        <v>142</v>
      </c>
      <c r="M3461" t="s">
        <v>113</v>
      </c>
      <c r="R3461" t="s">
        <v>19245</v>
      </c>
      <c r="W3461" t="s">
        <v>19245</v>
      </c>
      <c r="X3461" t="s">
        <v>216</v>
      </c>
      <c r="Y3461" t="s">
        <v>116</v>
      </c>
      <c r="Z3461" t="s">
        <v>117</v>
      </c>
      <c r="AA3461" t="str">
        <f>"14222-2006"</f>
        <v>14222-2006</v>
      </c>
      <c r="AB3461" t="s">
        <v>118</v>
      </c>
      <c r="AC3461" t="s">
        <v>119</v>
      </c>
      <c r="AD3461" t="s">
        <v>113</v>
      </c>
      <c r="AE3461" t="s">
        <v>120</v>
      </c>
      <c r="AG3461" t="s">
        <v>121</v>
      </c>
    </row>
    <row r="3462" spans="1:33" x14ac:dyDescent="0.25">
      <c r="A3462" t="str">
        <f>"1922187293"</f>
        <v>1922187293</v>
      </c>
      <c r="B3462" t="str">
        <f>"01252868"</f>
        <v>01252868</v>
      </c>
      <c r="C3462" t="s">
        <v>19248</v>
      </c>
      <c r="D3462" t="s">
        <v>19249</v>
      </c>
      <c r="E3462" t="s">
        <v>19250</v>
      </c>
      <c r="G3462" t="s">
        <v>19248</v>
      </c>
      <c r="H3462" t="s">
        <v>19251</v>
      </c>
      <c r="J3462" t="s">
        <v>19252</v>
      </c>
      <c r="L3462" t="s">
        <v>1033</v>
      </c>
      <c r="M3462" t="s">
        <v>113</v>
      </c>
      <c r="R3462" t="s">
        <v>19253</v>
      </c>
      <c r="W3462" t="s">
        <v>19250</v>
      </c>
      <c r="Y3462" t="s">
        <v>2762</v>
      </c>
      <c r="Z3462" t="s">
        <v>117</v>
      </c>
      <c r="AA3462" t="str">
        <f>"14642-0001"</f>
        <v>14642-0001</v>
      </c>
      <c r="AB3462" t="s">
        <v>118</v>
      </c>
      <c r="AC3462" t="s">
        <v>119</v>
      </c>
      <c r="AD3462" t="s">
        <v>113</v>
      </c>
      <c r="AE3462" t="s">
        <v>120</v>
      </c>
      <c r="AG3462" t="s">
        <v>121</v>
      </c>
    </row>
    <row r="3463" spans="1:33" x14ac:dyDescent="0.25">
      <c r="A3463" t="str">
        <f>"1922208453"</f>
        <v>1922208453</v>
      </c>
      <c r="B3463" t="str">
        <f>"03540443"</f>
        <v>03540443</v>
      </c>
      <c r="C3463" t="s">
        <v>19254</v>
      </c>
      <c r="D3463" t="s">
        <v>19255</v>
      </c>
      <c r="E3463" t="s">
        <v>19256</v>
      </c>
      <c r="G3463" t="s">
        <v>330</v>
      </c>
      <c r="H3463" t="s">
        <v>12499</v>
      </c>
      <c r="J3463" t="s">
        <v>332</v>
      </c>
      <c r="L3463" t="s">
        <v>112</v>
      </c>
      <c r="M3463" t="s">
        <v>113</v>
      </c>
      <c r="R3463" t="s">
        <v>19257</v>
      </c>
      <c r="W3463" t="s">
        <v>19256</v>
      </c>
      <c r="X3463" t="s">
        <v>18204</v>
      </c>
      <c r="Y3463" t="s">
        <v>240</v>
      </c>
      <c r="Z3463" t="s">
        <v>117</v>
      </c>
      <c r="AA3463" t="str">
        <f>"14221-3730"</f>
        <v>14221-3730</v>
      </c>
      <c r="AB3463" t="s">
        <v>118</v>
      </c>
      <c r="AC3463" t="s">
        <v>119</v>
      </c>
      <c r="AD3463" t="s">
        <v>113</v>
      </c>
      <c r="AE3463" t="s">
        <v>120</v>
      </c>
      <c r="AG3463" t="s">
        <v>121</v>
      </c>
    </row>
    <row r="3464" spans="1:33" x14ac:dyDescent="0.25">
      <c r="B3464" t="str">
        <f>"02769708"</f>
        <v>02769708</v>
      </c>
      <c r="C3464" t="s">
        <v>11702</v>
      </c>
      <c r="D3464" t="s">
        <v>11703</v>
      </c>
      <c r="E3464" t="s">
        <v>11702</v>
      </c>
      <c r="F3464">
        <v>160975538</v>
      </c>
      <c r="H3464" t="s">
        <v>1600</v>
      </c>
      <c r="L3464" t="s">
        <v>69</v>
      </c>
      <c r="M3464" t="s">
        <v>199</v>
      </c>
      <c r="W3464" t="s">
        <v>11702</v>
      </c>
      <c r="X3464" t="s">
        <v>11704</v>
      </c>
      <c r="Y3464" t="s">
        <v>240</v>
      </c>
      <c r="Z3464" t="s">
        <v>117</v>
      </c>
      <c r="AA3464" t="str">
        <f>"14221-3230"</f>
        <v>14221-3230</v>
      </c>
      <c r="AB3464" t="s">
        <v>291</v>
      </c>
      <c r="AC3464" t="s">
        <v>119</v>
      </c>
      <c r="AD3464" t="s">
        <v>113</v>
      </c>
      <c r="AE3464" t="s">
        <v>120</v>
      </c>
      <c r="AG3464" t="s">
        <v>121</v>
      </c>
    </row>
    <row r="3465" spans="1:33" x14ac:dyDescent="0.25">
      <c r="A3465" t="str">
        <f>"1437396991"</f>
        <v>1437396991</v>
      </c>
      <c r="C3465" t="s">
        <v>19258</v>
      </c>
      <c r="G3465" t="s">
        <v>19259</v>
      </c>
      <c r="H3465" t="s">
        <v>19260</v>
      </c>
      <c r="J3465" t="s">
        <v>19261</v>
      </c>
      <c r="K3465" t="s">
        <v>303</v>
      </c>
      <c r="L3465" t="s">
        <v>112</v>
      </c>
      <c r="M3465" t="s">
        <v>113</v>
      </c>
      <c r="R3465" t="s">
        <v>19262</v>
      </c>
      <c r="S3465" t="s">
        <v>19263</v>
      </c>
      <c r="T3465" t="s">
        <v>116</v>
      </c>
      <c r="U3465" t="s">
        <v>117</v>
      </c>
      <c r="V3465" t="str">
        <f>"142141932"</f>
        <v>142141932</v>
      </c>
      <c r="AC3465" t="s">
        <v>119</v>
      </c>
      <c r="AD3465" t="s">
        <v>113</v>
      </c>
      <c r="AE3465" t="s">
        <v>306</v>
      </c>
      <c r="AG3465" t="s">
        <v>121</v>
      </c>
    </row>
    <row r="3466" spans="1:33" x14ac:dyDescent="0.25">
      <c r="C3466" t="s">
        <v>19264</v>
      </c>
      <c r="G3466" t="s">
        <v>18939</v>
      </c>
      <c r="H3466" t="s">
        <v>17930</v>
      </c>
      <c r="J3466" t="s">
        <v>18940</v>
      </c>
      <c r="K3466" t="s">
        <v>303</v>
      </c>
      <c r="L3466" t="s">
        <v>3095</v>
      </c>
      <c r="M3466" t="s">
        <v>113</v>
      </c>
      <c r="N3466" t="s">
        <v>18941</v>
      </c>
      <c r="O3466" t="s">
        <v>18942</v>
      </c>
      <c r="P3466" t="s">
        <v>117</v>
      </c>
      <c r="Q3466" t="str">
        <f>"14301"</f>
        <v>14301</v>
      </c>
      <c r="AC3466" t="s">
        <v>119</v>
      </c>
      <c r="AD3466" t="s">
        <v>113</v>
      </c>
      <c r="AE3466" t="s">
        <v>3098</v>
      </c>
      <c r="AG3466" t="s">
        <v>121</v>
      </c>
    </row>
    <row r="3467" spans="1:33" x14ac:dyDescent="0.25">
      <c r="C3467" t="s">
        <v>19265</v>
      </c>
      <c r="G3467" t="s">
        <v>18939</v>
      </c>
      <c r="H3467" t="s">
        <v>17930</v>
      </c>
      <c r="J3467" t="s">
        <v>18940</v>
      </c>
      <c r="K3467" t="s">
        <v>303</v>
      </c>
      <c r="L3467" t="s">
        <v>3095</v>
      </c>
      <c r="M3467" t="s">
        <v>113</v>
      </c>
      <c r="N3467" t="s">
        <v>18941</v>
      </c>
      <c r="O3467" t="s">
        <v>18942</v>
      </c>
      <c r="P3467" t="s">
        <v>117</v>
      </c>
      <c r="Q3467" t="str">
        <f>"14301"</f>
        <v>14301</v>
      </c>
      <c r="AC3467" t="s">
        <v>119</v>
      </c>
      <c r="AD3467" t="s">
        <v>113</v>
      </c>
      <c r="AE3467" t="s">
        <v>3098</v>
      </c>
      <c r="AG3467" t="s">
        <v>121</v>
      </c>
    </row>
    <row r="3468" spans="1:33" x14ac:dyDescent="0.25">
      <c r="C3468" t="s">
        <v>19266</v>
      </c>
      <c r="G3468" t="s">
        <v>18939</v>
      </c>
      <c r="H3468" t="s">
        <v>17930</v>
      </c>
      <c r="J3468" t="s">
        <v>18940</v>
      </c>
      <c r="K3468" t="s">
        <v>303</v>
      </c>
      <c r="L3468" t="s">
        <v>3095</v>
      </c>
      <c r="M3468" t="s">
        <v>113</v>
      </c>
      <c r="N3468" t="s">
        <v>18941</v>
      </c>
      <c r="O3468" t="s">
        <v>18942</v>
      </c>
      <c r="P3468" t="s">
        <v>117</v>
      </c>
      <c r="Q3468" t="str">
        <f>"14301"</f>
        <v>14301</v>
      </c>
      <c r="AC3468" t="s">
        <v>119</v>
      </c>
      <c r="AD3468" t="s">
        <v>113</v>
      </c>
      <c r="AE3468" t="s">
        <v>3098</v>
      </c>
      <c r="AG3468" t="s">
        <v>121</v>
      </c>
    </row>
    <row r="3469" spans="1:33" x14ac:dyDescent="0.25">
      <c r="B3469" t="str">
        <f>"02839081"</f>
        <v>02839081</v>
      </c>
      <c r="C3469" t="s">
        <v>7680</v>
      </c>
      <c r="D3469" t="s">
        <v>7681</v>
      </c>
      <c r="E3469" t="s">
        <v>7680</v>
      </c>
      <c r="F3469">
        <v>160975538</v>
      </c>
      <c r="H3469" t="s">
        <v>1600</v>
      </c>
      <c r="L3469" t="s">
        <v>69</v>
      </c>
      <c r="M3469" t="s">
        <v>199</v>
      </c>
      <c r="W3469" t="s">
        <v>7680</v>
      </c>
      <c r="X3469" t="s">
        <v>1584</v>
      </c>
      <c r="Y3469" t="s">
        <v>240</v>
      </c>
      <c r="Z3469" t="s">
        <v>117</v>
      </c>
      <c r="AA3469" t="str">
        <f>"14221-3230"</f>
        <v>14221-3230</v>
      </c>
      <c r="AB3469" t="s">
        <v>291</v>
      </c>
      <c r="AC3469" t="s">
        <v>119</v>
      </c>
      <c r="AD3469" t="s">
        <v>113</v>
      </c>
      <c r="AE3469" t="s">
        <v>120</v>
      </c>
      <c r="AG3469" t="s">
        <v>121</v>
      </c>
    </row>
    <row r="3470" spans="1:33" x14ac:dyDescent="0.25">
      <c r="B3470" t="str">
        <f>"03424022"</f>
        <v>03424022</v>
      </c>
      <c r="C3470" t="s">
        <v>18467</v>
      </c>
      <c r="D3470" t="s">
        <v>18468</v>
      </c>
      <c r="E3470" t="s">
        <v>18469</v>
      </c>
      <c r="F3470">
        <v>160975538</v>
      </c>
      <c r="H3470" t="s">
        <v>1600</v>
      </c>
      <c r="L3470" t="s">
        <v>69</v>
      </c>
      <c r="M3470" t="s">
        <v>199</v>
      </c>
      <c r="W3470" t="s">
        <v>18467</v>
      </c>
      <c r="X3470" t="s">
        <v>1584</v>
      </c>
      <c r="Y3470" t="s">
        <v>240</v>
      </c>
      <c r="Z3470" t="s">
        <v>117</v>
      </c>
      <c r="AA3470" t="str">
        <f>"14221-3230"</f>
        <v>14221-3230</v>
      </c>
      <c r="AB3470" t="s">
        <v>291</v>
      </c>
      <c r="AC3470" t="s">
        <v>119</v>
      </c>
      <c r="AD3470" t="s">
        <v>113</v>
      </c>
      <c r="AE3470" t="s">
        <v>120</v>
      </c>
      <c r="AG3470" t="s">
        <v>121</v>
      </c>
    </row>
    <row r="3471" spans="1:33" x14ac:dyDescent="0.25">
      <c r="B3471" t="str">
        <f>"03142936"</f>
        <v>03142936</v>
      </c>
      <c r="C3471" t="s">
        <v>23934</v>
      </c>
      <c r="D3471" t="s">
        <v>23935</v>
      </c>
      <c r="E3471" t="s">
        <v>23934</v>
      </c>
      <c r="F3471">
        <v>160975538</v>
      </c>
      <c r="H3471" t="s">
        <v>1600</v>
      </c>
      <c r="L3471" t="s">
        <v>69</v>
      </c>
      <c r="M3471" t="s">
        <v>199</v>
      </c>
      <c r="W3471" t="s">
        <v>23934</v>
      </c>
      <c r="X3471" t="s">
        <v>1584</v>
      </c>
      <c r="Y3471" t="s">
        <v>240</v>
      </c>
      <c r="Z3471" t="s">
        <v>117</v>
      </c>
      <c r="AA3471" t="str">
        <f>"14221-3230"</f>
        <v>14221-3230</v>
      </c>
      <c r="AB3471" t="s">
        <v>291</v>
      </c>
      <c r="AC3471" t="s">
        <v>119</v>
      </c>
      <c r="AD3471" t="s">
        <v>113</v>
      </c>
      <c r="AE3471" t="s">
        <v>120</v>
      </c>
      <c r="AG3471" t="s">
        <v>121</v>
      </c>
    </row>
    <row r="3472" spans="1:33" x14ac:dyDescent="0.25">
      <c r="B3472" t="str">
        <f>"02592083"</f>
        <v>02592083</v>
      </c>
      <c r="C3472" t="s">
        <v>18007</v>
      </c>
      <c r="D3472" t="s">
        <v>18008</v>
      </c>
      <c r="E3472" t="s">
        <v>18007</v>
      </c>
      <c r="F3472">
        <v>160975538</v>
      </c>
      <c r="H3472" t="s">
        <v>1600</v>
      </c>
      <c r="L3472" t="s">
        <v>69</v>
      </c>
      <c r="M3472" t="s">
        <v>199</v>
      </c>
      <c r="W3472" t="s">
        <v>18007</v>
      </c>
      <c r="X3472" t="s">
        <v>1584</v>
      </c>
      <c r="Y3472" t="s">
        <v>240</v>
      </c>
      <c r="Z3472" t="s">
        <v>117</v>
      </c>
      <c r="AA3472" t="str">
        <f>"14221-3230"</f>
        <v>14221-3230</v>
      </c>
      <c r="AB3472" t="s">
        <v>291</v>
      </c>
      <c r="AC3472" t="s">
        <v>119</v>
      </c>
      <c r="AD3472" t="s">
        <v>113</v>
      </c>
      <c r="AE3472" t="s">
        <v>120</v>
      </c>
      <c r="AG3472" t="s">
        <v>121</v>
      </c>
    </row>
    <row r="3473" spans="1:33" x14ac:dyDescent="0.25">
      <c r="B3473" t="str">
        <f>"02502261"</f>
        <v>02502261</v>
      </c>
      <c r="C3473" t="s">
        <v>18000</v>
      </c>
      <c r="D3473" t="s">
        <v>18001</v>
      </c>
      <c r="E3473" t="s">
        <v>18002</v>
      </c>
      <c r="F3473">
        <v>160975538</v>
      </c>
      <c r="H3473" t="s">
        <v>1600</v>
      </c>
      <c r="L3473" t="s">
        <v>69</v>
      </c>
      <c r="M3473" t="s">
        <v>199</v>
      </c>
      <c r="W3473" t="s">
        <v>18000</v>
      </c>
      <c r="X3473" t="s">
        <v>11662</v>
      </c>
      <c r="Y3473" t="s">
        <v>240</v>
      </c>
      <c r="Z3473" t="s">
        <v>117</v>
      </c>
      <c r="AA3473" t="str">
        <f>"14221-9999"</f>
        <v>14221-9999</v>
      </c>
      <c r="AB3473" t="s">
        <v>291</v>
      </c>
      <c r="AC3473" t="s">
        <v>119</v>
      </c>
      <c r="AD3473" t="s">
        <v>113</v>
      </c>
      <c r="AE3473" t="s">
        <v>120</v>
      </c>
      <c r="AG3473" t="s">
        <v>121</v>
      </c>
    </row>
    <row r="3474" spans="1:33" x14ac:dyDescent="0.25">
      <c r="A3474" t="str">
        <f>"1790078632"</f>
        <v>1790078632</v>
      </c>
      <c r="C3474" t="s">
        <v>19281</v>
      </c>
      <c r="G3474" t="s">
        <v>19281</v>
      </c>
      <c r="H3474" t="s">
        <v>1115</v>
      </c>
      <c r="J3474" t="s">
        <v>438</v>
      </c>
      <c r="K3474" t="s">
        <v>303</v>
      </c>
      <c r="L3474" t="s">
        <v>112</v>
      </c>
      <c r="M3474" t="s">
        <v>113</v>
      </c>
      <c r="R3474" t="s">
        <v>19282</v>
      </c>
      <c r="S3474" t="s">
        <v>2800</v>
      </c>
      <c r="T3474" t="s">
        <v>318</v>
      </c>
      <c r="U3474" t="s">
        <v>117</v>
      </c>
      <c r="V3474" t="str">
        <f>"142254985"</f>
        <v>142254985</v>
      </c>
      <c r="AC3474" t="s">
        <v>119</v>
      </c>
      <c r="AD3474" t="s">
        <v>113</v>
      </c>
      <c r="AE3474" t="s">
        <v>306</v>
      </c>
      <c r="AG3474" t="s">
        <v>121</v>
      </c>
    </row>
    <row r="3475" spans="1:33" x14ac:dyDescent="0.25">
      <c r="A3475" t="str">
        <f>"1790096212"</f>
        <v>1790096212</v>
      </c>
      <c r="B3475" t="str">
        <f>"03253638"</f>
        <v>03253638</v>
      </c>
      <c r="C3475" t="s">
        <v>19283</v>
      </c>
      <c r="D3475" t="s">
        <v>19284</v>
      </c>
      <c r="E3475" t="s">
        <v>19285</v>
      </c>
      <c r="G3475" t="s">
        <v>19283</v>
      </c>
      <c r="H3475" t="s">
        <v>19286</v>
      </c>
      <c r="J3475" t="s">
        <v>19287</v>
      </c>
      <c r="L3475" t="s">
        <v>728</v>
      </c>
      <c r="M3475" t="s">
        <v>113</v>
      </c>
      <c r="R3475" t="s">
        <v>19288</v>
      </c>
      <c r="W3475" t="s">
        <v>19289</v>
      </c>
      <c r="X3475" t="s">
        <v>176</v>
      </c>
      <c r="Y3475" t="s">
        <v>116</v>
      </c>
      <c r="Z3475" t="s">
        <v>117</v>
      </c>
      <c r="AA3475" t="str">
        <f>"14203-1126"</f>
        <v>14203-1126</v>
      </c>
      <c r="AB3475" t="s">
        <v>118</v>
      </c>
      <c r="AC3475" t="s">
        <v>119</v>
      </c>
      <c r="AD3475" t="s">
        <v>113</v>
      </c>
      <c r="AE3475" t="s">
        <v>120</v>
      </c>
      <c r="AG3475" t="s">
        <v>121</v>
      </c>
    </row>
    <row r="3476" spans="1:33" x14ac:dyDescent="0.25">
      <c r="A3476" t="str">
        <f>"1790118826"</f>
        <v>1790118826</v>
      </c>
      <c r="B3476" t="str">
        <f>"03734998"</f>
        <v>03734998</v>
      </c>
      <c r="C3476" t="s">
        <v>19290</v>
      </c>
      <c r="D3476" t="s">
        <v>19291</v>
      </c>
      <c r="E3476" t="s">
        <v>19290</v>
      </c>
      <c r="L3476" t="s">
        <v>1033</v>
      </c>
      <c r="M3476" t="s">
        <v>113</v>
      </c>
      <c r="R3476" t="s">
        <v>19290</v>
      </c>
      <c r="W3476" t="s">
        <v>19292</v>
      </c>
      <c r="X3476" t="s">
        <v>18833</v>
      </c>
      <c r="Y3476" t="s">
        <v>326</v>
      </c>
      <c r="Z3476" t="s">
        <v>117</v>
      </c>
      <c r="AA3476" t="str">
        <f>"14127-1236"</f>
        <v>14127-1236</v>
      </c>
      <c r="AB3476" t="s">
        <v>621</v>
      </c>
      <c r="AC3476" t="s">
        <v>119</v>
      </c>
      <c r="AD3476" t="s">
        <v>113</v>
      </c>
      <c r="AE3476" t="s">
        <v>120</v>
      </c>
      <c r="AG3476" t="s">
        <v>121</v>
      </c>
    </row>
    <row r="3477" spans="1:33" x14ac:dyDescent="0.25">
      <c r="A3477" t="str">
        <f>"1790710457"</f>
        <v>1790710457</v>
      </c>
      <c r="B3477" t="str">
        <f>"03078851"</f>
        <v>03078851</v>
      </c>
      <c r="C3477" t="s">
        <v>19293</v>
      </c>
      <c r="D3477" t="s">
        <v>19294</v>
      </c>
      <c r="E3477" t="s">
        <v>19295</v>
      </c>
      <c r="G3477" t="s">
        <v>19293</v>
      </c>
      <c r="H3477" t="s">
        <v>227</v>
      </c>
      <c r="J3477" t="s">
        <v>19296</v>
      </c>
      <c r="L3477" t="s">
        <v>69</v>
      </c>
      <c r="M3477" t="s">
        <v>113</v>
      </c>
      <c r="R3477" t="s">
        <v>19295</v>
      </c>
      <c r="W3477" t="s">
        <v>19295</v>
      </c>
      <c r="X3477" t="s">
        <v>19297</v>
      </c>
      <c r="Y3477" t="s">
        <v>1319</v>
      </c>
      <c r="Z3477" t="s">
        <v>117</v>
      </c>
      <c r="AA3477" t="str">
        <f>"11373"</f>
        <v>11373</v>
      </c>
      <c r="AB3477" t="s">
        <v>118</v>
      </c>
      <c r="AC3477" t="s">
        <v>119</v>
      </c>
      <c r="AD3477" t="s">
        <v>113</v>
      </c>
      <c r="AE3477" t="s">
        <v>120</v>
      </c>
      <c r="AG3477" t="s">
        <v>121</v>
      </c>
    </row>
    <row r="3478" spans="1:33" x14ac:dyDescent="0.25">
      <c r="A3478" t="str">
        <f>"1952620577"</f>
        <v>1952620577</v>
      </c>
      <c r="B3478" t="str">
        <f>"03921400"</f>
        <v>03921400</v>
      </c>
      <c r="C3478" t="s">
        <v>19298</v>
      </c>
      <c r="D3478" t="s">
        <v>19299</v>
      </c>
      <c r="E3478" t="s">
        <v>19300</v>
      </c>
      <c r="G3478" t="s">
        <v>19298</v>
      </c>
      <c r="H3478" t="s">
        <v>19301</v>
      </c>
      <c r="J3478" t="s">
        <v>19302</v>
      </c>
      <c r="L3478" t="s">
        <v>142</v>
      </c>
      <c r="M3478" t="s">
        <v>113</v>
      </c>
      <c r="R3478" t="s">
        <v>19300</v>
      </c>
      <c r="W3478" t="s">
        <v>19300</v>
      </c>
      <c r="X3478" t="s">
        <v>216</v>
      </c>
      <c r="Y3478" t="s">
        <v>116</v>
      </c>
      <c r="Z3478" t="s">
        <v>117</v>
      </c>
      <c r="AA3478" t="str">
        <f>"14222-2006"</f>
        <v>14222-2006</v>
      </c>
      <c r="AB3478" t="s">
        <v>118</v>
      </c>
      <c r="AC3478" t="s">
        <v>119</v>
      </c>
      <c r="AD3478" t="s">
        <v>113</v>
      </c>
      <c r="AE3478" t="s">
        <v>120</v>
      </c>
      <c r="AG3478" t="s">
        <v>121</v>
      </c>
    </row>
    <row r="3479" spans="1:33" x14ac:dyDescent="0.25">
      <c r="A3479" t="str">
        <f>"1952628315"</f>
        <v>1952628315</v>
      </c>
      <c r="B3479" t="str">
        <f>"03316263"</f>
        <v>03316263</v>
      </c>
      <c r="C3479" t="s">
        <v>19303</v>
      </c>
      <c r="D3479" t="s">
        <v>19304</v>
      </c>
      <c r="E3479" t="s">
        <v>19305</v>
      </c>
      <c r="G3479" t="s">
        <v>19306</v>
      </c>
      <c r="H3479" t="s">
        <v>806</v>
      </c>
      <c r="J3479" t="s">
        <v>19307</v>
      </c>
      <c r="L3479" t="s">
        <v>142</v>
      </c>
      <c r="M3479" t="s">
        <v>113</v>
      </c>
      <c r="R3479" t="s">
        <v>19308</v>
      </c>
      <c r="W3479" t="s">
        <v>19305</v>
      </c>
      <c r="X3479" t="s">
        <v>17294</v>
      </c>
      <c r="Y3479" t="s">
        <v>116</v>
      </c>
      <c r="Z3479" t="s">
        <v>117</v>
      </c>
      <c r="AA3479" t="str">
        <f>"14203-1126"</f>
        <v>14203-1126</v>
      </c>
      <c r="AB3479" t="s">
        <v>118</v>
      </c>
      <c r="AC3479" t="s">
        <v>119</v>
      </c>
      <c r="AD3479" t="s">
        <v>113</v>
      </c>
      <c r="AE3479" t="s">
        <v>120</v>
      </c>
      <c r="AG3479" t="s">
        <v>121</v>
      </c>
    </row>
    <row r="3480" spans="1:33" x14ac:dyDescent="0.25">
      <c r="A3480" t="str">
        <f>"1952633059"</f>
        <v>1952633059</v>
      </c>
      <c r="B3480" t="str">
        <f>"03193964"</f>
        <v>03193964</v>
      </c>
      <c r="C3480" t="s">
        <v>19309</v>
      </c>
      <c r="D3480" t="s">
        <v>19310</v>
      </c>
      <c r="E3480" t="s">
        <v>19311</v>
      </c>
      <c r="G3480" t="s">
        <v>19312</v>
      </c>
      <c r="H3480" t="s">
        <v>7575</v>
      </c>
      <c r="L3480" t="s">
        <v>112</v>
      </c>
      <c r="M3480" t="s">
        <v>113</v>
      </c>
      <c r="R3480" t="s">
        <v>19312</v>
      </c>
      <c r="W3480" t="s">
        <v>19311</v>
      </c>
      <c r="X3480" t="s">
        <v>19313</v>
      </c>
      <c r="Y3480" t="s">
        <v>129</v>
      </c>
      <c r="Z3480" t="s">
        <v>117</v>
      </c>
      <c r="AA3480" t="str">
        <f>"14224-3434"</f>
        <v>14224-3434</v>
      </c>
      <c r="AB3480" t="s">
        <v>118</v>
      </c>
      <c r="AC3480" t="s">
        <v>119</v>
      </c>
      <c r="AD3480" t="s">
        <v>113</v>
      </c>
      <c r="AE3480" t="s">
        <v>120</v>
      </c>
      <c r="AG3480" t="s">
        <v>121</v>
      </c>
    </row>
    <row r="3481" spans="1:33" x14ac:dyDescent="0.25">
      <c r="A3481" t="str">
        <f>"1952647968"</f>
        <v>1952647968</v>
      </c>
      <c r="C3481" t="s">
        <v>19314</v>
      </c>
      <c r="G3481" t="s">
        <v>19314</v>
      </c>
      <c r="H3481" t="s">
        <v>590</v>
      </c>
      <c r="J3481" t="s">
        <v>19315</v>
      </c>
      <c r="K3481" t="s">
        <v>303</v>
      </c>
      <c r="L3481" t="s">
        <v>112</v>
      </c>
      <c r="M3481" t="s">
        <v>113</v>
      </c>
      <c r="R3481" t="s">
        <v>19316</v>
      </c>
      <c r="S3481" t="s">
        <v>6059</v>
      </c>
      <c r="T3481" t="s">
        <v>847</v>
      </c>
      <c r="U3481" t="s">
        <v>117</v>
      </c>
      <c r="V3481" t="str">
        <f>"145691258"</f>
        <v>145691258</v>
      </c>
      <c r="AC3481" t="s">
        <v>119</v>
      </c>
      <c r="AD3481" t="s">
        <v>113</v>
      </c>
      <c r="AE3481" t="s">
        <v>306</v>
      </c>
      <c r="AG3481" t="s">
        <v>121</v>
      </c>
    </row>
    <row r="3482" spans="1:33" x14ac:dyDescent="0.25">
      <c r="A3482" t="str">
        <f>"1952654840"</f>
        <v>1952654840</v>
      </c>
      <c r="B3482" t="str">
        <f>"03531899"</f>
        <v>03531899</v>
      </c>
      <c r="C3482" t="s">
        <v>19317</v>
      </c>
      <c r="D3482" t="s">
        <v>19318</v>
      </c>
      <c r="E3482" t="s">
        <v>19319</v>
      </c>
      <c r="G3482" t="s">
        <v>19317</v>
      </c>
      <c r="H3482" t="s">
        <v>19320</v>
      </c>
      <c r="J3482" t="s">
        <v>19321</v>
      </c>
      <c r="L3482" t="s">
        <v>112</v>
      </c>
      <c r="M3482" t="s">
        <v>113</v>
      </c>
      <c r="R3482" t="s">
        <v>19322</v>
      </c>
      <c r="W3482" t="s">
        <v>19323</v>
      </c>
      <c r="X3482" t="s">
        <v>176</v>
      </c>
      <c r="Y3482" t="s">
        <v>116</v>
      </c>
      <c r="Z3482" t="s">
        <v>117</v>
      </c>
      <c r="AA3482" t="str">
        <f>"14203-1126"</f>
        <v>14203-1126</v>
      </c>
      <c r="AB3482" t="s">
        <v>118</v>
      </c>
      <c r="AC3482" t="s">
        <v>119</v>
      </c>
      <c r="AD3482" t="s">
        <v>113</v>
      </c>
      <c r="AE3482" t="s">
        <v>120</v>
      </c>
      <c r="AG3482" t="s">
        <v>121</v>
      </c>
    </row>
    <row r="3483" spans="1:33" x14ac:dyDescent="0.25">
      <c r="A3483" t="str">
        <f>"1952658148"</f>
        <v>1952658148</v>
      </c>
      <c r="B3483" t="str">
        <f>"03497454"</f>
        <v>03497454</v>
      </c>
      <c r="C3483" t="s">
        <v>19324</v>
      </c>
      <c r="D3483" t="s">
        <v>19325</v>
      </c>
      <c r="E3483" t="s">
        <v>19326</v>
      </c>
      <c r="G3483" t="s">
        <v>19324</v>
      </c>
      <c r="H3483" t="s">
        <v>205</v>
      </c>
      <c r="J3483" t="s">
        <v>19327</v>
      </c>
      <c r="L3483" t="s">
        <v>112</v>
      </c>
      <c r="M3483" t="s">
        <v>113</v>
      </c>
      <c r="R3483" t="s">
        <v>19328</v>
      </c>
      <c r="W3483" t="s">
        <v>19329</v>
      </c>
      <c r="X3483" t="s">
        <v>1648</v>
      </c>
      <c r="Y3483" t="s">
        <v>116</v>
      </c>
      <c r="Z3483" t="s">
        <v>117</v>
      </c>
      <c r="AA3483" t="str">
        <f>"14214-2648"</f>
        <v>14214-2648</v>
      </c>
      <c r="AB3483" t="s">
        <v>118</v>
      </c>
      <c r="AC3483" t="s">
        <v>119</v>
      </c>
      <c r="AD3483" t="s">
        <v>113</v>
      </c>
      <c r="AE3483" t="s">
        <v>120</v>
      </c>
      <c r="AG3483" t="s">
        <v>121</v>
      </c>
    </row>
    <row r="3484" spans="1:33" x14ac:dyDescent="0.25">
      <c r="A3484" t="str">
        <f>"1952660870"</f>
        <v>1952660870</v>
      </c>
      <c r="B3484" t="str">
        <f>"03456571"</f>
        <v>03456571</v>
      </c>
      <c r="C3484" t="s">
        <v>19330</v>
      </c>
      <c r="D3484" t="s">
        <v>19331</v>
      </c>
      <c r="E3484" t="s">
        <v>19332</v>
      </c>
      <c r="G3484" t="s">
        <v>19333</v>
      </c>
      <c r="H3484" t="s">
        <v>707</v>
      </c>
      <c r="J3484" t="s">
        <v>19334</v>
      </c>
      <c r="L3484" t="s">
        <v>112</v>
      </c>
      <c r="M3484" t="s">
        <v>113</v>
      </c>
      <c r="R3484" t="s">
        <v>19335</v>
      </c>
      <c r="W3484" t="s">
        <v>19336</v>
      </c>
      <c r="X3484" t="s">
        <v>12145</v>
      </c>
      <c r="Y3484" t="s">
        <v>116</v>
      </c>
      <c r="Z3484" t="s">
        <v>117</v>
      </c>
      <c r="AA3484" t="str">
        <f>"14267-0001"</f>
        <v>14267-0001</v>
      </c>
      <c r="AB3484" t="s">
        <v>118</v>
      </c>
      <c r="AC3484" t="s">
        <v>119</v>
      </c>
      <c r="AD3484" t="s">
        <v>113</v>
      </c>
      <c r="AE3484" t="s">
        <v>120</v>
      </c>
      <c r="AG3484" t="s">
        <v>121</v>
      </c>
    </row>
    <row r="3485" spans="1:33" x14ac:dyDescent="0.25">
      <c r="A3485" t="str">
        <f>"1952678476"</f>
        <v>1952678476</v>
      </c>
      <c r="C3485" t="s">
        <v>19337</v>
      </c>
      <c r="G3485" t="s">
        <v>19337</v>
      </c>
      <c r="H3485" t="s">
        <v>937</v>
      </c>
      <c r="J3485" t="s">
        <v>19338</v>
      </c>
      <c r="K3485" t="s">
        <v>303</v>
      </c>
      <c r="L3485" t="s">
        <v>229</v>
      </c>
      <c r="M3485" t="s">
        <v>113</v>
      </c>
      <c r="R3485" t="s">
        <v>19339</v>
      </c>
      <c r="S3485" t="s">
        <v>3739</v>
      </c>
      <c r="T3485" t="s">
        <v>240</v>
      </c>
      <c r="U3485" t="s">
        <v>117</v>
      </c>
      <c r="V3485" t="str">
        <f>"142216728"</f>
        <v>142216728</v>
      </c>
      <c r="AC3485" t="s">
        <v>119</v>
      </c>
      <c r="AD3485" t="s">
        <v>113</v>
      </c>
      <c r="AE3485" t="s">
        <v>306</v>
      </c>
      <c r="AG3485" t="s">
        <v>121</v>
      </c>
    </row>
    <row r="3486" spans="1:33" x14ac:dyDescent="0.25">
      <c r="A3486" t="str">
        <f>"1952693525"</f>
        <v>1952693525</v>
      </c>
      <c r="C3486" t="s">
        <v>19340</v>
      </c>
      <c r="G3486" t="s">
        <v>19340</v>
      </c>
      <c r="J3486" t="s">
        <v>438</v>
      </c>
      <c r="K3486" t="s">
        <v>303</v>
      </c>
      <c r="L3486" t="s">
        <v>229</v>
      </c>
      <c r="M3486" t="s">
        <v>113</v>
      </c>
      <c r="R3486" t="s">
        <v>19341</v>
      </c>
      <c r="S3486" t="s">
        <v>1218</v>
      </c>
      <c r="T3486" t="s">
        <v>318</v>
      </c>
      <c r="U3486" t="s">
        <v>117</v>
      </c>
      <c r="V3486" t="str">
        <f>"142254985"</f>
        <v>142254985</v>
      </c>
      <c r="AC3486" t="s">
        <v>119</v>
      </c>
      <c r="AD3486" t="s">
        <v>113</v>
      </c>
      <c r="AE3486" t="s">
        <v>306</v>
      </c>
      <c r="AG3486" t="s">
        <v>121</v>
      </c>
    </row>
    <row r="3487" spans="1:33" x14ac:dyDescent="0.25">
      <c r="A3487" t="str">
        <f>"1952749939"</f>
        <v>1952749939</v>
      </c>
      <c r="B3487" t="str">
        <f>"03688373"</f>
        <v>03688373</v>
      </c>
      <c r="C3487" t="s">
        <v>19342</v>
      </c>
      <c r="D3487" t="s">
        <v>19343</v>
      </c>
      <c r="E3487" t="s">
        <v>19344</v>
      </c>
      <c r="G3487" t="s">
        <v>19342</v>
      </c>
      <c r="J3487" t="s">
        <v>19345</v>
      </c>
      <c r="L3487" t="s">
        <v>112</v>
      </c>
      <c r="M3487" t="s">
        <v>113</v>
      </c>
      <c r="R3487" t="s">
        <v>19346</v>
      </c>
      <c r="W3487" t="s">
        <v>19344</v>
      </c>
      <c r="X3487" t="s">
        <v>253</v>
      </c>
      <c r="Y3487" t="s">
        <v>116</v>
      </c>
      <c r="Z3487" t="s">
        <v>117</v>
      </c>
      <c r="AA3487" t="str">
        <f>"14215-3021"</f>
        <v>14215-3021</v>
      </c>
      <c r="AB3487" t="s">
        <v>118</v>
      </c>
      <c r="AC3487" t="s">
        <v>119</v>
      </c>
      <c r="AD3487" t="s">
        <v>113</v>
      </c>
      <c r="AE3487" t="s">
        <v>120</v>
      </c>
      <c r="AG3487" t="s">
        <v>121</v>
      </c>
    </row>
    <row r="3488" spans="1:33" x14ac:dyDescent="0.25">
      <c r="A3488" t="str">
        <f>"1962407163"</f>
        <v>1962407163</v>
      </c>
      <c r="B3488" t="str">
        <f>"02564390"</f>
        <v>02564390</v>
      </c>
      <c r="C3488" t="s">
        <v>19347</v>
      </c>
      <c r="D3488" t="s">
        <v>19348</v>
      </c>
      <c r="E3488" t="s">
        <v>19349</v>
      </c>
      <c r="G3488" t="s">
        <v>19347</v>
      </c>
      <c r="H3488" t="s">
        <v>707</v>
      </c>
      <c r="J3488" t="s">
        <v>19350</v>
      </c>
      <c r="L3488" t="s">
        <v>142</v>
      </c>
      <c r="M3488" t="s">
        <v>113</v>
      </c>
      <c r="R3488" t="s">
        <v>19351</v>
      </c>
      <c r="W3488" t="s">
        <v>19349</v>
      </c>
      <c r="X3488" t="s">
        <v>709</v>
      </c>
      <c r="Y3488" t="s">
        <v>116</v>
      </c>
      <c r="Z3488" t="s">
        <v>117</v>
      </c>
      <c r="AA3488" t="str">
        <f>"14263-0001"</f>
        <v>14263-0001</v>
      </c>
      <c r="AB3488" t="s">
        <v>118</v>
      </c>
      <c r="AC3488" t="s">
        <v>119</v>
      </c>
      <c r="AD3488" t="s">
        <v>113</v>
      </c>
      <c r="AE3488" t="s">
        <v>120</v>
      </c>
      <c r="AG3488" t="s">
        <v>121</v>
      </c>
    </row>
    <row r="3489" spans="1:33" x14ac:dyDescent="0.25">
      <c r="A3489" t="str">
        <f>"1962407783"</f>
        <v>1962407783</v>
      </c>
      <c r="B3489" t="str">
        <f>"00638537"</f>
        <v>00638537</v>
      </c>
      <c r="C3489" t="s">
        <v>19352</v>
      </c>
      <c r="D3489" t="s">
        <v>19353</v>
      </c>
      <c r="E3489" t="s">
        <v>19354</v>
      </c>
      <c r="G3489" t="s">
        <v>19355</v>
      </c>
      <c r="H3489" t="s">
        <v>19356</v>
      </c>
      <c r="I3489">
        <v>306</v>
      </c>
      <c r="J3489" t="s">
        <v>19357</v>
      </c>
      <c r="L3489" t="s">
        <v>1714</v>
      </c>
      <c r="M3489" t="s">
        <v>199</v>
      </c>
      <c r="R3489" t="s">
        <v>19352</v>
      </c>
      <c r="W3489" t="s">
        <v>19354</v>
      </c>
      <c r="X3489" t="s">
        <v>19358</v>
      </c>
      <c r="Y3489" t="s">
        <v>816</v>
      </c>
      <c r="Z3489" t="s">
        <v>117</v>
      </c>
      <c r="AA3489" t="str">
        <f>"14120-6561"</f>
        <v>14120-6561</v>
      </c>
      <c r="AB3489" t="s">
        <v>1460</v>
      </c>
      <c r="AC3489" t="s">
        <v>119</v>
      </c>
      <c r="AD3489" t="s">
        <v>113</v>
      </c>
      <c r="AE3489" t="s">
        <v>120</v>
      </c>
      <c r="AG3489" t="s">
        <v>121</v>
      </c>
    </row>
    <row r="3490" spans="1:33" x14ac:dyDescent="0.25">
      <c r="A3490" t="str">
        <f>"1962422717"</f>
        <v>1962422717</v>
      </c>
      <c r="B3490" t="str">
        <f>"00975939"</f>
        <v>00975939</v>
      </c>
      <c r="C3490" t="s">
        <v>19359</v>
      </c>
      <c r="D3490" t="s">
        <v>19360</v>
      </c>
      <c r="E3490" t="s">
        <v>19361</v>
      </c>
      <c r="G3490" t="s">
        <v>19359</v>
      </c>
      <c r="H3490" t="s">
        <v>937</v>
      </c>
      <c r="J3490" t="s">
        <v>19362</v>
      </c>
      <c r="L3490" t="s">
        <v>142</v>
      </c>
      <c r="M3490" t="s">
        <v>113</v>
      </c>
      <c r="R3490" t="s">
        <v>19363</v>
      </c>
      <c r="W3490" t="s">
        <v>19361</v>
      </c>
      <c r="Y3490" t="s">
        <v>116</v>
      </c>
      <c r="Z3490" t="s">
        <v>117</v>
      </c>
      <c r="AA3490" t="str">
        <f>"14214-2692"</f>
        <v>14214-2692</v>
      </c>
      <c r="AB3490" t="s">
        <v>118</v>
      </c>
      <c r="AC3490" t="s">
        <v>119</v>
      </c>
      <c r="AD3490" t="s">
        <v>113</v>
      </c>
      <c r="AE3490" t="s">
        <v>120</v>
      </c>
      <c r="AG3490" t="s">
        <v>121</v>
      </c>
    </row>
    <row r="3491" spans="1:33" x14ac:dyDescent="0.25">
      <c r="A3491" t="str">
        <f>"1962424226"</f>
        <v>1962424226</v>
      </c>
      <c r="B3491" t="str">
        <f>"02674115"</f>
        <v>02674115</v>
      </c>
      <c r="C3491" t="s">
        <v>19364</v>
      </c>
      <c r="D3491" t="s">
        <v>19365</v>
      </c>
      <c r="E3491" t="s">
        <v>19366</v>
      </c>
      <c r="G3491" t="s">
        <v>1252</v>
      </c>
      <c r="H3491" t="s">
        <v>1253</v>
      </c>
      <c r="J3491" t="s">
        <v>1254</v>
      </c>
      <c r="L3491" t="s">
        <v>150</v>
      </c>
      <c r="M3491" t="s">
        <v>113</v>
      </c>
      <c r="R3491" t="s">
        <v>19367</v>
      </c>
      <c r="W3491" t="s">
        <v>19366</v>
      </c>
      <c r="X3491" t="s">
        <v>2997</v>
      </c>
      <c r="Y3491" t="s">
        <v>326</v>
      </c>
      <c r="Z3491" t="s">
        <v>117</v>
      </c>
      <c r="AA3491" t="str">
        <f>"14127-1963"</f>
        <v>14127-1963</v>
      </c>
      <c r="AB3491" t="s">
        <v>118</v>
      </c>
      <c r="AC3491" t="s">
        <v>119</v>
      </c>
      <c r="AD3491" t="s">
        <v>113</v>
      </c>
      <c r="AE3491" t="s">
        <v>120</v>
      </c>
      <c r="AG3491" t="s">
        <v>121</v>
      </c>
    </row>
    <row r="3492" spans="1:33" x14ac:dyDescent="0.25">
      <c r="A3492" t="str">
        <f>"1962451666"</f>
        <v>1962451666</v>
      </c>
      <c r="B3492" t="str">
        <f>"02752569"</f>
        <v>02752569</v>
      </c>
      <c r="C3492" t="s">
        <v>19368</v>
      </c>
      <c r="D3492" t="s">
        <v>19369</v>
      </c>
      <c r="E3492" t="s">
        <v>19370</v>
      </c>
      <c r="G3492" t="s">
        <v>19368</v>
      </c>
      <c r="H3492" t="s">
        <v>19371</v>
      </c>
      <c r="J3492" t="s">
        <v>19372</v>
      </c>
      <c r="L3492" t="s">
        <v>150</v>
      </c>
      <c r="M3492" t="s">
        <v>113</v>
      </c>
      <c r="R3492" t="s">
        <v>19373</v>
      </c>
      <c r="W3492" t="s">
        <v>19370</v>
      </c>
      <c r="X3492" t="s">
        <v>19374</v>
      </c>
      <c r="Y3492" t="s">
        <v>116</v>
      </c>
      <c r="Z3492" t="s">
        <v>117</v>
      </c>
      <c r="AA3492" t="str">
        <f>"14213-1906"</f>
        <v>14213-1906</v>
      </c>
      <c r="AB3492" t="s">
        <v>118</v>
      </c>
      <c r="AC3492" t="s">
        <v>119</v>
      </c>
      <c r="AD3492" t="s">
        <v>113</v>
      </c>
      <c r="AE3492" t="s">
        <v>120</v>
      </c>
      <c r="AG3492" t="s">
        <v>121</v>
      </c>
    </row>
    <row r="3493" spans="1:33" x14ac:dyDescent="0.25">
      <c r="A3493" t="str">
        <f>"1962460329"</f>
        <v>1962460329</v>
      </c>
      <c r="B3493" t="str">
        <f>"01871172"</f>
        <v>01871172</v>
      </c>
      <c r="C3493" t="s">
        <v>19375</v>
      </c>
      <c r="D3493" t="s">
        <v>19376</v>
      </c>
      <c r="E3493" t="s">
        <v>19377</v>
      </c>
      <c r="L3493" t="s">
        <v>142</v>
      </c>
      <c r="M3493" t="s">
        <v>113</v>
      </c>
      <c r="R3493" t="s">
        <v>19378</v>
      </c>
      <c r="W3493" t="s">
        <v>19377</v>
      </c>
      <c r="X3493" t="s">
        <v>19379</v>
      </c>
      <c r="Y3493" t="s">
        <v>116</v>
      </c>
      <c r="Z3493" t="s">
        <v>117</v>
      </c>
      <c r="AA3493" t="str">
        <f>"14215-3021"</f>
        <v>14215-3021</v>
      </c>
      <c r="AB3493" t="s">
        <v>118</v>
      </c>
      <c r="AC3493" t="s">
        <v>119</v>
      </c>
      <c r="AD3493" t="s">
        <v>113</v>
      </c>
      <c r="AE3493" t="s">
        <v>120</v>
      </c>
      <c r="AG3493" t="s">
        <v>121</v>
      </c>
    </row>
    <row r="3494" spans="1:33" x14ac:dyDescent="0.25">
      <c r="A3494" t="str">
        <f>"1962462424"</f>
        <v>1962462424</v>
      </c>
      <c r="B3494" t="str">
        <f>"02346138"</f>
        <v>02346138</v>
      </c>
      <c r="C3494" t="s">
        <v>19380</v>
      </c>
      <c r="D3494" t="s">
        <v>19381</v>
      </c>
      <c r="E3494" t="s">
        <v>19382</v>
      </c>
      <c r="G3494" t="s">
        <v>19383</v>
      </c>
      <c r="H3494" t="s">
        <v>19384</v>
      </c>
      <c r="J3494" t="s">
        <v>19385</v>
      </c>
      <c r="L3494" t="s">
        <v>112</v>
      </c>
      <c r="M3494" t="s">
        <v>113</v>
      </c>
      <c r="R3494" t="s">
        <v>19386</v>
      </c>
      <c r="W3494" t="s">
        <v>19382</v>
      </c>
      <c r="X3494" t="s">
        <v>19387</v>
      </c>
      <c r="Y3494" t="s">
        <v>116</v>
      </c>
      <c r="Z3494" t="s">
        <v>117</v>
      </c>
      <c r="AA3494" t="str">
        <f>"14203-1252"</f>
        <v>14203-1252</v>
      </c>
      <c r="AB3494" t="s">
        <v>118</v>
      </c>
      <c r="AC3494" t="s">
        <v>119</v>
      </c>
      <c r="AD3494" t="s">
        <v>113</v>
      </c>
      <c r="AE3494" t="s">
        <v>120</v>
      </c>
      <c r="AG3494" t="s">
        <v>121</v>
      </c>
    </row>
    <row r="3495" spans="1:33" x14ac:dyDescent="0.25">
      <c r="A3495" t="str">
        <f>"1962472787"</f>
        <v>1962472787</v>
      </c>
      <c r="B3495" t="str">
        <f>"01586281"</f>
        <v>01586281</v>
      </c>
      <c r="C3495" t="s">
        <v>19388</v>
      </c>
      <c r="D3495" t="s">
        <v>19389</v>
      </c>
      <c r="E3495" t="s">
        <v>19390</v>
      </c>
      <c r="G3495" t="s">
        <v>19388</v>
      </c>
      <c r="H3495" t="s">
        <v>2384</v>
      </c>
      <c r="J3495" t="s">
        <v>19391</v>
      </c>
      <c r="L3495" t="s">
        <v>142</v>
      </c>
      <c r="M3495" t="s">
        <v>113</v>
      </c>
      <c r="R3495" t="s">
        <v>19392</v>
      </c>
      <c r="W3495" t="s">
        <v>19390</v>
      </c>
      <c r="AB3495" t="s">
        <v>118</v>
      </c>
      <c r="AC3495" t="s">
        <v>119</v>
      </c>
      <c r="AD3495" t="s">
        <v>113</v>
      </c>
      <c r="AE3495" t="s">
        <v>120</v>
      </c>
      <c r="AG3495" t="s">
        <v>121</v>
      </c>
    </row>
    <row r="3496" spans="1:33" x14ac:dyDescent="0.25">
      <c r="A3496" t="str">
        <f>"1962474262"</f>
        <v>1962474262</v>
      </c>
      <c r="B3496" t="str">
        <f>"01665067"</f>
        <v>01665067</v>
      </c>
      <c r="C3496" t="s">
        <v>19393</v>
      </c>
      <c r="D3496" t="s">
        <v>19394</v>
      </c>
      <c r="E3496" t="s">
        <v>19395</v>
      </c>
      <c r="G3496" t="s">
        <v>19393</v>
      </c>
      <c r="H3496" t="s">
        <v>2347</v>
      </c>
      <c r="J3496" t="s">
        <v>19396</v>
      </c>
      <c r="L3496" t="s">
        <v>728</v>
      </c>
      <c r="M3496" t="s">
        <v>113</v>
      </c>
      <c r="R3496" t="s">
        <v>19397</v>
      </c>
      <c r="W3496" t="s">
        <v>19395</v>
      </c>
      <c r="X3496" t="s">
        <v>19398</v>
      </c>
      <c r="Y3496" t="s">
        <v>1593</v>
      </c>
      <c r="Z3496" t="s">
        <v>117</v>
      </c>
      <c r="AA3496" t="str">
        <f>"14068-1291"</f>
        <v>14068-1291</v>
      </c>
      <c r="AB3496" t="s">
        <v>118</v>
      </c>
      <c r="AC3496" t="s">
        <v>119</v>
      </c>
      <c r="AD3496" t="s">
        <v>113</v>
      </c>
      <c r="AE3496" t="s">
        <v>120</v>
      </c>
      <c r="AG3496" t="s">
        <v>121</v>
      </c>
    </row>
    <row r="3497" spans="1:33" x14ac:dyDescent="0.25">
      <c r="A3497" t="str">
        <f>"1700040672"</f>
        <v>1700040672</v>
      </c>
      <c r="B3497" t="str">
        <f>"03126390"</f>
        <v>03126390</v>
      </c>
      <c r="C3497" t="s">
        <v>19399</v>
      </c>
      <c r="D3497" t="s">
        <v>19400</v>
      </c>
      <c r="E3497" t="s">
        <v>19401</v>
      </c>
      <c r="G3497" t="s">
        <v>19078</v>
      </c>
      <c r="H3497" t="s">
        <v>19402</v>
      </c>
      <c r="J3497" t="s">
        <v>19080</v>
      </c>
      <c r="L3497" t="s">
        <v>142</v>
      </c>
      <c r="M3497" t="s">
        <v>113</v>
      </c>
      <c r="R3497" t="s">
        <v>19403</v>
      </c>
      <c r="W3497" t="s">
        <v>19401</v>
      </c>
      <c r="X3497" t="s">
        <v>1304</v>
      </c>
      <c r="Y3497" t="s">
        <v>116</v>
      </c>
      <c r="Z3497" t="s">
        <v>117</v>
      </c>
      <c r="AA3497" t="str">
        <f>"14220-2039"</f>
        <v>14220-2039</v>
      </c>
      <c r="AB3497" t="s">
        <v>118</v>
      </c>
      <c r="AC3497" t="s">
        <v>119</v>
      </c>
      <c r="AD3497" t="s">
        <v>113</v>
      </c>
      <c r="AE3497" t="s">
        <v>120</v>
      </c>
      <c r="AG3497" t="s">
        <v>121</v>
      </c>
    </row>
    <row r="3498" spans="1:33" x14ac:dyDescent="0.25">
      <c r="A3498" t="str">
        <f>"1720004526"</f>
        <v>1720004526</v>
      </c>
      <c r="B3498" t="str">
        <f>"01188132"</f>
        <v>01188132</v>
      </c>
      <c r="C3498" t="s">
        <v>19404</v>
      </c>
      <c r="D3498" t="s">
        <v>19405</v>
      </c>
      <c r="E3498" t="s">
        <v>19406</v>
      </c>
      <c r="G3498" t="s">
        <v>19078</v>
      </c>
      <c r="H3498" t="s">
        <v>19407</v>
      </c>
      <c r="J3498" t="s">
        <v>19080</v>
      </c>
      <c r="L3498" t="s">
        <v>142</v>
      </c>
      <c r="M3498" t="s">
        <v>113</v>
      </c>
      <c r="R3498" t="s">
        <v>19408</v>
      </c>
      <c r="W3498" t="s">
        <v>19406</v>
      </c>
      <c r="X3498" t="s">
        <v>19409</v>
      </c>
      <c r="Y3498" t="s">
        <v>2786</v>
      </c>
      <c r="Z3498" t="s">
        <v>117</v>
      </c>
      <c r="AA3498" t="str">
        <f>"14026-0067"</f>
        <v>14026-0067</v>
      </c>
      <c r="AB3498" t="s">
        <v>118</v>
      </c>
      <c r="AC3498" t="s">
        <v>119</v>
      </c>
      <c r="AD3498" t="s">
        <v>113</v>
      </c>
      <c r="AE3498" t="s">
        <v>120</v>
      </c>
      <c r="AG3498" t="s">
        <v>121</v>
      </c>
    </row>
    <row r="3499" spans="1:33" x14ac:dyDescent="0.25">
      <c r="A3499" t="str">
        <f>"1659443059"</f>
        <v>1659443059</v>
      </c>
      <c r="C3499" t="s">
        <v>19410</v>
      </c>
      <c r="G3499" t="s">
        <v>19078</v>
      </c>
      <c r="H3499" t="s">
        <v>19411</v>
      </c>
      <c r="J3499" t="s">
        <v>19080</v>
      </c>
      <c r="K3499" t="s">
        <v>303</v>
      </c>
      <c r="L3499" t="s">
        <v>229</v>
      </c>
      <c r="M3499" t="s">
        <v>113</v>
      </c>
      <c r="R3499" t="s">
        <v>19412</v>
      </c>
      <c r="S3499" t="s">
        <v>19413</v>
      </c>
      <c r="T3499" t="s">
        <v>129</v>
      </c>
      <c r="U3499" t="s">
        <v>117</v>
      </c>
      <c r="V3499" t="str">
        <f>"142243565"</f>
        <v>142243565</v>
      </c>
      <c r="AC3499" t="s">
        <v>119</v>
      </c>
      <c r="AD3499" t="s">
        <v>113</v>
      </c>
      <c r="AE3499" t="s">
        <v>306</v>
      </c>
      <c r="AG3499" t="s">
        <v>121</v>
      </c>
    </row>
    <row r="3500" spans="1:33" x14ac:dyDescent="0.25">
      <c r="A3500" t="str">
        <f>"1669882338"</f>
        <v>1669882338</v>
      </c>
      <c r="C3500" t="s">
        <v>19414</v>
      </c>
      <c r="G3500" t="s">
        <v>19078</v>
      </c>
      <c r="H3500" t="s">
        <v>19415</v>
      </c>
      <c r="J3500" t="s">
        <v>19080</v>
      </c>
      <c r="K3500" t="s">
        <v>303</v>
      </c>
      <c r="L3500" t="s">
        <v>229</v>
      </c>
      <c r="M3500" t="s">
        <v>113</v>
      </c>
      <c r="R3500" t="s">
        <v>19416</v>
      </c>
      <c r="S3500" t="s">
        <v>19417</v>
      </c>
      <c r="T3500" t="s">
        <v>326</v>
      </c>
      <c r="U3500" t="s">
        <v>117</v>
      </c>
      <c r="V3500" t="str">
        <f>"141271740"</f>
        <v>141271740</v>
      </c>
      <c r="AC3500" t="s">
        <v>119</v>
      </c>
      <c r="AD3500" t="s">
        <v>113</v>
      </c>
      <c r="AE3500" t="s">
        <v>306</v>
      </c>
      <c r="AG3500" t="s">
        <v>121</v>
      </c>
    </row>
    <row r="3501" spans="1:33" x14ac:dyDescent="0.25">
      <c r="A3501" t="str">
        <f>"1629078431"</f>
        <v>1629078431</v>
      </c>
      <c r="B3501" t="str">
        <f>"00898215"</f>
        <v>00898215</v>
      </c>
      <c r="C3501" t="s">
        <v>19418</v>
      </c>
      <c r="D3501" t="s">
        <v>19419</v>
      </c>
      <c r="E3501" t="s">
        <v>19420</v>
      </c>
      <c r="G3501" t="s">
        <v>19078</v>
      </c>
      <c r="H3501" t="s">
        <v>19421</v>
      </c>
      <c r="J3501" t="s">
        <v>19080</v>
      </c>
      <c r="L3501" t="s">
        <v>112</v>
      </c>
      <c r="M3501" t="s">
        <v>113</v>
      </c>
      <c r="R3501" t="s">
        <v>19422</v>
      </c>
      <c r="W3501" t="s">
        <v>19420</v>
      </c>
      <c r="X3501" t="s">
        <v>6618</v>
      </c>
      <c r="Y3501" t="s">
        <v>129</v>
      </c>
      <c r="Z3501" t="s">
        <v>117</v>
      </c>
      <c r="AA3501" t="str">
        <f>"14224-2218"</f>
        <v>14224-2218</v>
      </c>
      <c r="AB3501" t="s">
        <v>118</v>
      </c>
      <c r="AC3501" t="s">
        <v>119</v>
      </c>
      <c r="AD3501" t="s">
        <v>113</v>
      </c>
      <c r="AE3501" t="s">
        <v>120</v>
      </c>
      <c r="AG3501" t="s">
        <v>121</v>
      </c>
    </row>
    <row r="3502" spans="1:33" x14ac:dyDescent="0.25">
      <c r="A3502" t="str">
        <f>"1285684373"</f>
        <v>1285684373</v>
      </c>
      <c r="B3502" t="str">
        <f>"01586612"</f>
        <v>01586612</v>
      </c>
      <c r="C3502" t="s">
        <v>19423</v>
      </c>
      <c r="D3502" t="s">
        <v>19424</v>
      </c>
      <c r="E3502" t="s">
        <v>19425</v>
      </c>
      <c r="G3502" t="s">
        <v>19078</v>
      </c>
      <c r="H3502" t="s">
        <v>19426</v>
      </c>
      <c r="J3502" t="s">
        <v>19080</v>
      </c>
      <c r="L3502" t="s">
        <v>69</v>
      </c>
      <c r="M3502" t="s">
        <v>113</v>
      </c>
      <c r="R3502" t="s">
        <v>19427</v>
      </c>
      <c r="W3502" t="s">
        <v>19425</v>
      </c>
      <c r="X3502" t="s">
        <v>16699</v>
      </c>
      <c r="Y3502" t="s">
        <v>2872</v>
      </c>
      <c r="Z3502" t="s">
        <v>117</v>
      </c>
      <c r="AA3502" t="str">
        <f>"14905-1629"</f>
        <v>14905-1629</v>
      </c>
      <c r="AB3502" t="s">
        <v>872</v>
      </c>
      <c r="AC3502" t="s">
        <v>119</v>
      </c>
      <c r="AD3502" t="s">
        <v>113</v>
      </c>
      <c r="AE3502" t="s">
        <v>120</v>
      </c>
      <c r="AG3502" t="s">
        <v>121</v>
      </c>
    </row>
    <row r="3503" spans="1:33" x14ac:dyDescent="0.25">
      <c r="C3503" t="s">
        <v>19428</v>
      </c>
      <c r="G3503" t="s">
        <v>19078</v>
      </c>
      <c r="H3503" t="s">
        <v>19429</v>
      </c>
      <c r="J3503" t="s">
        <v>19080</v>
      </c>
      <c r="K3503" t="s">
        <v>303</v>
      </c>
      <c r="L3503" t="s">
        <v>3095</v>
      </c>
      <c r="M3503" t="s">
        <v>113</v>
      </c>
      <c r="N3503" t="s">
        <v>19101</v>
      </c>
      <c r="O3503" t="s">
        <v>18794</v>
      </c>
      <c r="P3503" t="s">
        <v>117</v>
      </c>
      <c r="Q3503" t="str">
        <f>"14257"</f>
        <v>14257</v>
      </c>
      <c r="AC3503" t="s">
        <v>119</v>
      </c>
      <c r="AD3503" t="s">
        <v>113</v>
      </c>
      <c r="AE3503" t="s">
        <v>3098</v>
      </c>
      <c r="AG3503" t="s">
        <v>121</v>
      </c>
    </row>
    <row r="3504" spans="1:33" x14ac:dyDescent="0.25">
      <c r="A3504" t="str">
        <f>"1356436489"</f>
        <v>1356436489</v>
      </c>
      <c r="B3504" t="str">
        <f>"02638640"</f>
        <v>02638640</v>
      </c>
      <c r="C3504" t="s">
        <v>19430</v>
      </c>
      <c r="D3504" t="s">
        <v>19431</v>
      </c>
      <c r="E3504" t="s">
        <v>19432</v>
      </c>
      <c r="G3504" t="s">
        <v>19078</v>
      </c>
      <c r="H3504" t="s">
        <v>19433</v>
      </c>
      <c r="J3504" t="s">
        <v>19080</v>
      </c>
      <c r="L3504" t="s">
        <v>142</v>
      </c>
      <c r="M3504" t="s">
        <v>113</v>
      </c>
      <c r="R3504" t="s">
        <v>19434</v>
      </c>
      <c r="W3504" t="s">
        <v>19432</v>
      </c>
      <c r="X3504" t="s">
        <v>19435</v>
      </c>
      <c r="Y3504" t="s">
        <v>326</v>
      </c>
      <c r="Z3504" t="s">
        <v>117</v>
      </c>
      <c r="AA3504" t="str">
        <f>"14127-1562"</f>
        <v>14127-1562</v>
      </c>
      <c r="AB3504" t="s">
        <v>118</v>
      </c>
      <c r="AC3504" t="s">
        <v>119</v>
      </c>
      <c r="AD3504" t="s">
        <v>113</v>
      </c>
      <c r="AE3504" t="s">
        <v>120</v>
      </c>
      <c r="AG3504" t="s">
        <v>121</v>
      </c>
    </row>
    <row r="3505" spans="1:33" x14ac:dyDescent="0.25">
      <c r="A3505" t="str">
        <f>"1902822018"</f>
        <v>1902822018</v>
      </c>
      <c r="B3505" t="str">
        <f>"01564290"</f>
        <v>01564290</v>
      </c>
      <c r="C3505" t="s">
        <v>19436</v>
      </c>
      <c r="D3505" t="s">
        <v>19437</v>
      </c>
      <c r="E3505" t="s">
        <v>19438</v>
      </c>
      <c r="G3505" t="s">
        <v>19078</v>
      </c>
      <c r="H3505" t="s">
        <v>19439</v>
      </c>
      <c r="J3505" t="s">
        <v>19080</v>
      </c>
      <c r="L3505" t="s">
        <v>142</v>
      </c>
      <c r="M3505" t="s">
        <v>113</v>
      </c>
      <c r="R3505" t="s">
        <v>19440</v>
      </c>
      <c r="W3505" t="s">
        <v>19438</v>
      </c>
      <c r="X3505" t="s">
        <v>14790</v>
      </c>
      <c r="Y3505" t="s">
        <v>116</v>
      </c>
      <c r="Z3505" t="s">
        <v>117</v>
      </c>
      <c r="AA3505" t="str">
        <f>"14263-0001"</f>
        <v>14263-0001</v>
      </c>
      <c r="AB3505" t="s">
        <v>118</v>
      </c>
      <c r="AC3505" t="s">
        <v>119</v>
      </c>
      <c r="AD3505" t="s">
        <v>113</v>
      </c>
      <c r="AE3505" t="s">
        <v>120</v>
      </c>
      <c r="AG3505" t="s">
        <v>121</v>
      </c>
    </row>
    <row r="3506" spans="1:33" x14ac:dyDescent="0.25">
      <c r="A3506" t="str">
        <f>"1649232497"</f>
        <v>1649232497</v>
      </c>
      <c r="B3506" t="str">
        <f>"01139899"</f>
        <v>01139899</v>
      </c>
      <c r="C3506" t="s">
        <v>19441</v>
      </c>
      <c r="D3506" t="s">
        <v>19442</v>
      </c>
      <c r="E3506" t="s">
        <v>19443</v>
      </c>
      <c r="G3506" t="s">
        <v>19078</v>
      </c>
      <c r="H3506" t="s">
        <v>19444</v>
      </c>
      <c r="J3506" t="s">
        <v>19080</v>
      </c>
      <c r="L3506" t="s">
        <v>142</v>
      </c>
      <c r="M3506" t="s">
        <v>113</v>
      </c>
      <c r="R3506" t="s">
        <v>19445</v>
      </c>
      <c r="W3506" t="s">
        <v>19443</v>
      </c>
      <c r="X3506" t="s">
        <v>19446</v>
      </c>
      <c r="Y3506" t="s">
        <v>116</v>
      </c>
      <c r="Z3506" t="s">
        <v>117</v>
      </c>
      <c r="AA3506" t="str">
        <f>"14209-1194"</f>
        <v>14209-1194</v>
      </c>
      <c r="AB3506" t="s">
        <v>118</v>
      </c>
      <c r="AC3506" t="s">
        <v>119</v>
      </c>
      <c r="AD3506" t="s">
        <v>113</v>
      </c>
      <c r="AE3506" t="s">
        <v>120</v>
      </c>
      <c r="AG3506" t="s">
        <v>121</v>
      </c>
    </row>
    <row r="3507" spans="1:33" x14ac:dyDescent="0.25">
      <c r="A3507" t="str">
        <f>"1427288463"</f>
        <v>1427288463</v>
      </c>
      <c r="B3507" t="str">
        <f>"03632166"</f>
        <v>03632166</v>
      </c>
      <c r="C3507" t="s">
        <v>19447</v>
      </c>
      <c r="D3507" t="s">
        <v>19448</v>
      </c>
      <c r="E3507" t="s">
        <v>19449</v>
      </c>
      <c r="G3507" t="s">
        <v>19078</v>
      </c>
      <c r="H3507" t="s">
        <v>19450</v>
      </c>
      <c r="J3507" t="s">
        <v>19080</v>
      </c>
      <c r="L3507" t="s">
        <v>142</v>
      </c>
      <c r="M3507" t="s">
        <v>113</v>
      </c>
      <c r="R3507" t="s">
        <v>19451</v>
      </c>
      <c r="W3507" t="s">
        <v>19449</v>
      </c>
      <c r="X3507" t="s">
        <v>19452</v>
      </c>
      <c r="Y3507" t="s">
        <v>326</v>
      </c>
      <c r="Z3507" t="s">
        <v>117</v>
      </c>
      <c r="AA3507" t="str">
        <f>"14127-1500"</f>
        <v>14127-1500</v>
      </c>
      <c r="AB3507" t="s">
        <v>118</v>
      </c>
      <c r="AC3507" t="s">
        <v>119</v>
      </c>
      <c r="AD3507" t="s">
        <v>113</v>
      </c>
      <c r="AE3507" t="s">
        <v>120</v>
      </c>
      <c r="AG3507" t="s">
        <v>121</v>
      </c>
    </row>
    <row r="3508" spans="1:33" x14ac:dyDescent="0.25">
      <c r="A3508" t="str">
        <f>"1891982450"</f>
        <v>1891982450</v>
      </c>
      <c r="B3508" t="str">
        <f>"03353697"</f>
        <v>03353697</v>
      </c>
      <c r="C3508" t="s">
        <v>19453</v>
      </c>
      <c r="D3508" t="s">
        <v>19454</v>
      </c>
      <c r="E3508" t="s">
        <v>19455</v>
      </c>
      <c r="G3508" t="s">
        <v>19078</v>
      </c>
      <c r="H3508" t="s">
        <v>19456</v>
      </c>
      <c r="J3508" t="s">
        <v>19080</v>
      </c>
      <c r="L3508" t="s">
        <v>142</v>
      </c>
      <c r="M3508" t="s">
        <v>113</v>
      </c>
      <c r="R3508" t="s">
        <v>19455</v>
      </c>
      <c r="W3508" t="s">
        <v>19455</v>
      </c>
      <c r="X3508" t="s">
        <v>19435</v>
      </c>
      <c r="Y3508" t="s">
        <v>326</v>
      </c>
      <c r="Z3508" t="s">
        <v>117</v>
      </c>
      <c r="AA3508" t="str">
        <f>"14127-1562"</f>
        <v>14127-1562</v>
      </c>
      <c r="AB3508" t="s">
        <v>118</v>
      </c>
      <c r="AC3508" t="s">
        <v>119</v>
      </c>
      <c r="AD3508" t="s">
        <v>113</v>
      </c>
      <c r="AE3508" t="s">
        <v>120</v>
      </c>
      <c r="AG3508" t="s">
        <v>121</v>
      </c>
    </row>
    <row r="3509" spans="1:33" x14ac:dyDescent="0.25">
      <c r="A3509" t="str">
        <f>"1093932642"</f>
        <v>1093932642</v>
      </c>
      <c r="C3509" t="s">
        <v>19457</v>
      </c>
      <c r="G3509" t="s">
        <v>19078</v>
      </c>
      <c r="H3509" t="s">
        <v>19458</v>
      </c>
      <c r="J3509" t="s">
        <v>19080</v>
      </c>
      <c r="K3509" t="s">
        <v>303</v>
      </c>
      <c r="L3509" t="s">
        <v>229</v>
      </c>
      <c r="M3509" t="s">
        <v>113</v>
      </c>
      <c r="R3509" t="s">
        <v>19459</v>
      </c>
      <c r="S3509" t="s">
        <v>19460</v>
      </c>
      <c r="T3509" t="s">
        <v>129</v>
      </c>
      <c r="U3509" t="s">
        <v>117</v>
      </c>
      <c r="V3509" t="str">
        <f>"142242646"</f>
        <v>142242646</v>
      </c>
      <c r="AC3509" t="s">
        <v>119</v>
      </c>
      <c r="AD3509" t="s">
        <v>113</v>
      </c>
      <c r="AE3509" t="s">
        <v>306</v>
      </c>
      <c r="AG3509" t="s">
        <v>121</v>
      </c>
    </row>
    <row r="3510" spans="1:33" x14ac:dyDescent="0.25">
      <c r="A3510" t="str">
        <f>"1215041157"</f>
        <v>1215041157</v>
      </c>
      <c r="B3510" t="str">
        <f>"02191615"</f>
        <v>02191615</v>
      </c>
      <c r="C3510" t="s">
        <v>19461</v>
      </c>
      <c r="D3510" t="s">
        <v>19462</v>
      </c>
      <c r="E3510" t="s">
        <v>19463</v>
      </c>
      <c r="G3510" t="s">
        <v>19078</v>
      </c>
      <c r="H3510" t="s">
        <v>19464</v>
      </c>
      <c r="J3510" t="s">
        <v>19080</v>
      </c>
      <c r="L3510" t="s">
        <v>142</v>
      </c>
      <c r="M3510" t="s">
        <v>113</v>
      </c>
      <c r="R3510" t="s">
        <v>19465</v>
      </c>
      <c r="W3510" t="s">
        <v>19463</v>
      </c>
      <c r="X3510" t="s">
        <v>19466</v>
      </c>
      <c r="Y3510" t="s">
        <v>116</v>
      </c>
      <c r="Z3510" t="s">
        <v>117</v>
      </c>
      <c r="AA3510" t="str">
        <f>"14215-3021"</f>
        <v>14215-3021</v>
      </c>
      <c r="AB3510" t="s">
        <v>118</v>
      </c>
      <c r="AC3510" t="s">
        <v>119</v>
      </c>
      <c r="AD3510" t="s">
        <v>113</v>
      </c>
      <c r="AE3510" t="s">
        <v>120</v>
      </c>
      <c r="AG3510" t="s">
        <v>121</v>
      </c>
    </row>
    <row r="3511" spans="1:33" x14ac:dyDescent="0.25">
      <c r="A3511" t="str">
        <f>"1194752931"</f>
        <v>1194752931</v>
      </c>
      <c r="B3511" t="str">
        <f>"02662811"</f>
        <v>02662811</v>
      </c>
      <c r="C3511" t="s">
        <v>19467</v>
      </c>
      <c r="D3511" t="s">
        <v>19468</v>
      </c>
      <c r="E3511" t="s">
        <v>19469</v>
      </c>
      <c r="G3511" t="s">
        <v>19078</v>
      </c>
      <c r="H3511" t="s">
        <v>19470</v>
      </c>
      <c r="J3511" t="s">
        <v>19080</v>
      </c>
      <c r="L3511" t="s">
        <v>1033</v>
      </c>
      <c r="M3511" t="s">
        <v>113</v>
      </c>
      <c r="R3511" t="s">
        <v>19471</v>
      </c>
      <c r="W3511" t="s">
        <v>19469</v>
      </c>
      <c r="X3511" t="s">
        <v>136</v>
      </c>
      <c r="Y3511" t="s">
        <v>116</v>
      </c>
      <c r="Z3511" t="s">
        <v>117</v>
      </c>
      <c r="AA3511" t="str">
        <f>"14209-1120"</f>
        <v>14209-1120</v>
      </c>
      <c r="AB3511" t="s">
        <v>118</v>
      </c>
      <c r="AC3511" t="s">
        <v>119</v>
      </c>
      <c r="AD3511" t="s">
        <v>113</v>
      </c>
      <c r="AE3511" t="s">
        <v>120</v>
      </c>
      <c r="AG3511" t="s">
        <v>121</v>
      </c>
    </row>
    <row r="3512" spans="1:33" x14ac:dyDescent="0.25">
      <c r="A3512" t="str">
        <f>"1508898297"</f>
        <v>1508898297</v>
      </c>
      <c r="B3512" t="str">
        <f>"01909700"</f>
        <v>01909700</v>
      </c>
      <c r="C3512" t="s">
        <v>19472</v>
      </c>
      <c r="D3512" t="s">
        <v>19473</v>
      </c>
      <c r="E3512" t="s">
        <v>19474</v>
      </c>
      <c r="G3512" t="s">
        <v>19078</v>
      </c>
      <c r="H3512" t="s">
        <v>19475</v>
      </c>
      <c r="J3512" t="s">
        <v>19080</v>
      </c>
      <c r="L3512" t="s">
        <v>112</v>
      </c>
      <c r="M3512" t="s">
        <v>113</v>
      </c>
      <c r="R3512" t="s">
        <v>19476</v>
      </c>
      <c r="W3512" t="s">
        <v>19474</v>
      </c>
      <c r="X3512" t="s">
        <v>19477</v>
      </c>
      <c r="Y3512" t="s">
        <v>4048</v>
      </c>
      <c r="Z3512" t="s">
        <v>117</v>
      </c>
      <c r="AA3512" t="str">
        <f>"10312-3819"</f>
        <v>10312-3819</v>
      </c>
      <c r="AB3512" t="s">
        <v>5777</v>
      </c>
      <c r="AC3512" t="s">
        <v>119</v>
      </c>
      <c r="AD3512" t="s">
        <v>113</v>
      </c>
      <c r="AE3512" t="s">
        <v>120</v>
      </c>
      <c r="AG3512" t="s">
        <v>121</v>
      </c>
    </row>
    <row r="3513" spans="1:33" x14ac:dyDescent="0.25">
      <c r="A3513" t="str">
        <f>"1043416407"</f>
        <v>1043416407</v>
      </c>
      <c r="B3513" t="str">
        <f>"03716552"</f>
        <v>03716552</v>
      </c>
      <c r="C3513" t="s">
        <v>19478</v>
      </c>
      <c r="D3513" t="s">
        <v>19479</v>
      </c>
      <c r="E3513" t="s">
        <v>19480</v>
      </c>
      <c r="G3513" t="s">
        <v>19078</v>
      </c>
      <c r="H3513" t="s">
        <v>19481</v>
      </c>
      <c r="J3513" t="s">
        <v>19080</v>
      </c>
      <c r="L3513" t="s">
        <v>142</v>
      </c>
      <c r="M3513" t="s">
        <v>113</v>
      </c>
      <c r="R3513" t="s">
        <v>19480</v>
      </c>
      <c r="W3513" t="s">
        <v>19480</v>
      </c>
      <c r="X3513" t="s">
        <v>19482</v>
      </c>
      <c r="Y3513" t="s">
        <v>326</v>
      </c>
      <c r="Z3513" t="s">
        <v>117</v>
      </c>
      <c r="AA3513" t="str">
        <f>"14127-1562"</f>
        <v>14127-1562</v>
      </c>
      <c r="AB3513" t="s">
        <v>118</v>
      </c>
      <c r="AC3513" t="s">
        <v>119</v>
      </c>
      <c r="AD3513" t="s">
        <v>113</v>
      </c>
      <c r="AE3513" t="s">
        <v>120</v>
      </c>
      <c r="AG3513" t="s">
        <v>121</v>
      </c>
    </row>
    <row r="3514" spans="1:33" x14ac:dyDescent="0.25">
      <c r="A3514" t="str">
        <f>"1629150792"</f>
        <v>1629150792</v>
      </c>
      <c r="B3514" t="str">
        <f>"00780089"</f>
        <v>00780089</v>
      </c>
      <c r="C3514" t="s">
        <v>19483</v>
      </c>
      <c r="D3514" t="s">
        <v>19484</v>
      </c>
      <c r="E3514" t="s">
        <v>19485</v>
      </c>
      <c r="G3514" t="s">
        <v>19078</v>
      </c>
      <c r="H3514" t="s">
        <v>19486</v>
      </c>
      <c r="J3514" t="s">
        <v>19080</v>
      </c>
      <c r="L3514" t="s">
        <v>142</v>
      </c>
      <c r="M3514" t="s">
        <v>113</v>
      </c>
      <c r="R3514" t="s">
        <v>19487</v>
      </c>
      <c r="W3514" t="s">
        <v>19488</v>
      </c>
      <c r="X3514" t="s">
        <v>1304</v>
      </c>
      <c r="Y3514" t="s">
        <v>116</v>
      </c>
      <c r="Z3514" t="s">
        <v>117</v>
      </c>
      <c r="AA3514" t="str">
        <f>"14220-2095"</f>
        <v>14220-2095</v>
      </c>
      <c r="AB3514" t="s">
        <v>118</v>
      </c>
      <c r="AC3514" t="s">
        <v>119</v>
      </c>
      <c r="AD3514" t="s">
        <v>113</v>
      </c>
      <c r="AE3514" t="s">
        <v>120</v>
      </c>
      <c r="AG3514" t="s">
        <v>121</v>
      </c>
    </row>
    <row r="3515" spans="1:33" x14ac:dyDescent="0.25">
      <c r="A3515" t="str">
        <f>"1376547026"</f>
        <v>1376547026</v>
      </c>
      <c r="B3515" t="str">
        <f>"01561499"</f>
        <v>01561499</v>
      </c>
      <c r="C3515" t="s">
        <v>19489</v>
      </c>
      <c r="D3515" t="s">
        <v>19490</v>
      </c>
      <c r="E3515" t="s">
        <v>19491</v>
      </c>
      <c r="G3515" t="s">
        <v>19078</v>
      </c>
      <c r="H3515" t="s">
        <v>19492</v>
      </c>
      <c r="J3515" t="s">
        <v>19080</v>
      </c>
      <c r="L3515" t="s">
        <v>142</v>
      </c>
      <c r="M3515" t="s">
        <v>113</v>
      </c>
      <c r="R3515" t="s">
        <v>19493</v>
      </c>
      <c r="W3515" t="s">
        <v>19494</v>
      </c>
      <c r="X3515" t="s">
        <v>1304</v>
      </c>
      <c r="Y3515" t="s">
        <v>116</v>
      </c>
      <c r="Z3515" t="s">
        <v>117</v>
      </c>
      <c r="AA3515" t="str">
        <f>"14220-2039"</f>
        <v>14220-2039</v>
      </c>
      <c r="AB3515" t="s">
        <v>118</v>
      </c>
      <c r="AC3515" t="s">
        <v>119</v>
      </c>
      <c r="AD3515" t="s">
        <v>113</v>
      </c>
      <c r="AE3515" t="s">
        <v>120</v>
      </c>
      <c r="AG3515" t="s">
        <v>121</v>
      </c>
    </row>
    <row r="3516" spans="1:33" x14ac:dyDescent="0.25">
      <c r="A3516" t="str">
        <f>"1982620704"</f>
        <v>1982620704</v>
      </c>
      <c r="B3516" t="str">
        <f>"02105806"</f>
        <v>02105806</v>
      </c>
      <c r="C3516" t="s">
        <v>19495</v>
      </c>
      <c r="D3516" t="s">
        <v>19496</v>
      </c>
      <c r="E3516" t="s">
        <v>19497</v>
      </c>
      <c r="G3516" t="s">
        <v>19078</v>
      </c>
      <c r="H3516" t="s">
        <v>19498</v>
      </c>
      <c r="J3516" t="s">
        <v>19080</v>
      </c>
      <c r="L3516" t="s">
        <v>142</v>
      </c>
      <c r="M3516" t="s">
        <v>113</v>
      </c>
      <c r="R3516" t="s">
        <v>19499</v>
      </c>
      <c r="W3516" t="s">
        <v>19497</v>
      </c>
      <c r="X3516" t="s">
        <v>19500</v>
      </c>
      <c r="Y3516" t="s">
        <v>116</v>
      </c>
      <c r="Z3516" t="s">
        <v>117</v>
      </c>
      <c r="AA3516" t="str">
        <f>"14215-3021"</f>
        <v>14215-3021</v>
      </c>
      <c r="AB3516" t="s">
        <v>118</v>
      </c>
      <c r="AC3516" t="s">
        <v>119</v>
      </c>
      <c r="AD3516" t="s">
        <v>113</v>
      </c>
      <c r="AE3516" t="s">
        <v>120</v>
      </c>
      <c r="AG3516" t="s">
        <v>121</v>
      </c>
    </row>
    <row r="3517" spans="1:33" x14ac:dyDescent="0.25">
      <c r="A3517" t="str">
        <f>"1649260118"</f>
        <v>1649260118</v>
      </c>
      <c r="B3517" t="str">
        <f>"00742838"</f>
        <v>00742838</v>
      </c>
      <c r="C3517" t="s">
        <v>19501</v>
      </c>
      <c r="D3517" t="s">
        <v>19502</v>
      </c>
      <c r="E3517" t="s">
        <v>19503</v>
      </c>
      <c r="G3517" t="s">
        <v>19078</v>
      </c>
      <c r="H3517" t="s">
        <v>19504</v>
      </c>
      <c r="J3517" t="s">
        <v>19080</v>
      </c>
      <c r="L3517" t="s">
        <v>142</v>
      </c>
      <c r="M3517" t="s">
        <v>113</v>
      </c>
      <c r="R3517" t="s">
        <v>19505</v>
      </c>
      <c r="W3517" t="s">
        <v>19506</v>
      </c>
      <c r="X3517" t="s">
        <v>19507</v>
      </c>
      <c r="Y3517" t="s">
        <v>326</v>
      </c>
      <c r="Z3517" t="s">
        <v>117</v>
      </c>
      <c r="AA3517" t="str">
        <f>"14127-1233"</f>
        <v>14127-1233</v>
      </c>
      <c r="AB3517" t="s">
        <v>1755</v>
      </c>
      <c r="AC3517" t="s">
        <v>119</v>
      </c>
      <c r="AD3517" t="s">
        <v>113</v>
      </c>
      <c r="AE3517" t="s">
        <v>120</v>
      </c>
      <c r="AG3517" t="s">
        <v>121</v>
      </c>
    </row>
    <row r="3518" spans="1:33" x14ac:dyDescent="0.25">
      <c r="A3518" t="str">
        <f>"1972535649"</f>
        <v>1972535649</v>
      </c>
      <c r="C3518" t="s">
        <v>19508</v>
      </c>
      <c r="G3518" t="s">
        <v>19078</v>
      </c>
      <c r="H3518" t="s">
        <v>19509</v>
      </c>
      <c r="J3518" t="s">
        <v>19080</v>
      </c>
      <c r="K3518" t="s">
        <v>303</v>
      </c>
      <c r="L3518" t="s">
        <v>229</v>
      </c>
      <c r="M3518" t="s">
        <v>113</v>
      </c>
      <c r="R3518" t="s">
        <v>19510</v>
      </c>
      <c r="S3518" t="s">
        <v>19460</v>
      </c>
      <c r="T3518" t="s">
        <v>129</v>
      </c>
      <c r="U3518" t="s">
        <v>117</v>
      </c>
      <c r="V3518" t="str">
        <f>"142242646"</f>
        <v>142242646</v>
      </c>
      <c r="AC3518" t="s">
        <v>119</v>
      </c>
      <c r="AD3518" t="s">
        <v>113</v>
      </c>
      <c r="AE3518" t="s">
        <v>306</v>
      </c>
      <c r="AG3518" t="s">
        <v>121</v>
      </c>
    </row>
    <row r="3519" spans="1:33" x14ac:dyDescent="0.25">
      <c r="A3519" t="str">
        <f>"1851482038"</f>
        <v>1851482038</v>
      </c>
      <c r="B3519" t="str">
        <f>"01219658"</f>
        <v>01219658</v>
      </c>
      <c r="C3519" t="s">
        <v>19511</v>
      </c>
      <c r="D3519" t="s">
        <v>19512</v>
      </c>
      <c r="E3519" t="s">
        <v>19513</v>
      </c>
      <c r="G3519" t="s">
        <v>19078</v>
      </c>
      <c r="H3519" t="s">
        <v>19514</v>
      </c>
      <c r="J3519" t="s">
        <v>19080</v>
      </c>
      <c r="L3519" t="s">
        <v>142</v>
      </c>
      <c r="M3519" t="s">
        <v>113</v>
      </c>
      <c r="R3519" t="s">
        <v>19515</v>
      </c>
      <c r="W3519" t="s">
        <v>19516</v>
      </c>
      <c r="X3519" t="s">
        <v>1304</v>
      </c>
      <c r="Y3519" t="s">
        <v>116</v>
      </c>
      <c r="Z3519" t="s">
        <v>117</v>
      </c>
      <c r="AA3519" t="str">
        <f>"14220-2039"</f>
        <v>14220-2039</v>
      </c>
      <c r="AB3519" t="s">
        <v>118</v>
      </c>
      <c r="AC3519" t="s">
        <v>119</v>
      </c>
      <c r="AD3519" t="s">
        <v>113</v>
      </c>
      <c r="AE3519" t="s">
        <v>120</v>
      </c>
      <c r="AG3519" t="s">
        <v>121</v>
      </c>
    </row>
    <row r="3520" spans="1:33" x14ac:dyDescent="0.25">
      <c r="A3520" t="str">
        <f>"1740374032"</f>
        <v>1740374032</v>
      </c>
      <c r="B3520" t="str">
        <f>"01240459"</f>
        <v>01240459</v>
      </c>
      <c r="C3520" t="s">
        <v>19517</v>
      </c>
      <c r="D3520" t="s">
        <v>19518</v>
      </c>
      <c r="E3520" t="s">
        <v>19519</v>
      </c>
      <c r="G3520" t="s">
        <v>19078</v>
      </c>
      <c r="H3520" t="s">
        <v>19520</v>
      </c>
      <c r="J3520" t="s">
        <v>19080</v>
      </c>
      <c r="L3520" t="s">
        <v>142</v>
      </c>
      <c r="M3520" t="s">
        <v>113</v>
      </c>
      <c r="R3520" t="s">
        <v>19521</v>
      </c>
      <c r="W3520" t="s">
        <v>19519</v>
      </c>
      <c r="X3520" t="s">
        <v>1304</v>
      </c>
      <c r="Y3520" t="s">
        <v>116</v>
      </c>
      <c r="Z3520" t="s">
        <v>117</v>
      </c>
      <c r="AA3520" t="str">
        <f>"14220-2039"</f>
        <v>14220-2039</v>
      </c>
      <c r="AB3520" t="s">
        <v>118</v>
      </c>
      <c r="AC3520" t="s">
        <v>119</v>
      </c>
      <c r="AD3520" t="s">
        <v>113</v>
      </c>
      <c r="AE3520" t="s">
        <v>120</v>
      </c>
      <c r="AG3520" t="s">
        <v>121</v>
      </c>
    </row>
    <row r="3521" spans="1:33" x14ac:dyDescent="0.25">
      <c r="A3521" t="str">
        <f>"1982967337"</f>
        <v>1982967337</v>
      </c>
      <c r="B3521" t="str">
        <f>"04359380"</f>
        <v>04359380</v>
      </c>
      <c r="C3521" t="s">
        <v>19522</v>
      </c>
      <c r="D3521" t="s">
        <v>19523</v>
      </c>
      <c r="E3521" t="s">
        <v>19524</v>
      </c>
      <c r="G3521" t="s">
        <v>19078</v>
      </c>
      <c r="H3521" t="s">
        <v>19525</v>
      </c>
      <c r="J3521" t="s">
        <v>19080</v>
      </c>
      <c r="L3521" t="s">
        <v>112</v>
      </c>
      <c r="M3521" t="s">
        <v>113</v>
      </c>
      <c r="R3521" t="s">
        <v>19524</v>
      </c>
      <c r="W3521" t="s">
        <v>19524</v>
      </c>
      <c r="X3521" t="s">
        <v>253</v>
      </c>
      <c r="Y3521" t="s">
        <v>116</v>
      </c>
      <c r="Z3521" t="s">
        <v>117</v>
      </c>
      <c r="AA3521" t="str">
        <f>"14215-3021"</f>
        <v>14215-3021</v>
      </c>
      <c r="AB3521" t="s">
        <v>118</v>
      </c>
      <c r="AC3521" t="s">
        <v>119</v>
      </c>
      <c r="AD3521" t="s">
        <v>113</v>
      </c>
      <c r="AE3521" t="s">
        <v>120</v>
      </c>
      <c r="AG3521" t="s">
        <v>121</v>
      </c>
    </row>
    <row r="3522" spans="1:33" x14ac:dyDescent="0.25">
      <c r="A3522" t="str">
        <f>"1053553701"</f>
        <v>1053553701</v>
      </c>
      <c r="B3522" t="str">
        <f>"03114023"</f>
        <v>03114023</v>
      </c>
      <c r="C3522" t="s">
        <v>19526</v>
      </c>
      <c r="D3522" t="s">
        <v>19527</v>
      </c>
      <c r="E3522" t="s">
        <v>19528</v>
      </c>
      <c r="G3522" t="s">
        <v>19078</v>
      </c>
      <c r="H3522" t="s">
        <v>19529</v>
      </c>
      <c r="J3522" t="s">
        <v>19080</v>
      </c>
      <c r="L3522" t="s">
        <v>142</v>
      </c>
      <c r="M3522" t="s">
        <v>113</v>
      </c>
      <c r="R3522" t="s">
        <v>19528</v>
      </c>
      <c r="W3522" t="s">
        <v>19528</v>
      </c>
      <c r="X3522" t="s">
        <v>253</v>
      </c>
      <c r="Y3522" t="s">
        <v>116</v>
      </c>
      <c r="Z3522" t="s">
        <v>117</v>
      </c>
      <c r="AA3522" t="str">
        <f>"14215-3021"</f>
        <v>14215-3021</v>
      </c>
      <c r="AB3522" t="s">
        <v>118</v>
      </c>
      <c r="AC3522" t="s">
        <v>119</v>
      </c>
      <c r="AD3522" t="s">
        <v>113</v>
      </c>
      <c r="AE3522" t="s">
        <v>120</v>
      </c>
      <c r="AG3522" t="s">
        <v>121</v>
      </c>
    </row>
    <row r="3523" spans="1:33" x14ac:dyDescent="0.25">
      <c r="A3523" t="str">
        <f>"1295763662"</f>
        <v>1295763662</v>
      </c>
      <c r="B3523" t="str">
        <f>"01042713"</f>
        <v>01042713</v>
      </c>
      <c r="C3523" t="s">
        <v>19530</v>
      </c>
      <c r="D3523" t="s">
        <v>19531</v>
      </c>
      <c r="E3523" t="s">
        <v>19532</v>
      </c>
      <c r="G3523" t="s">
        <v>19078</v>
      </c>
      <c r="H3523" t="s">
        <v>19533</v>
      </c>
      <c r="J3523" t="s">
        <v>19080</v>
      </c>
      <c r="L3523" t="s">
        <v>142</v>
      </c>
      <c r="M3523" t="s">
        <v>113</v>
      </c>
      <c r="R3523" t="s">
        <v>19534</v>
      </c>
      <c r="W3523" t="s">
        <v>19532</v>
      </c>
      <c r="X3523" t="s">
        <v>19535</v>
      </c>
      <c r="Y3523" t="s">
        <v>116</v>
      </c>
      <c r="Z3523" t="s">
        <v>117</v>
      </c>
      <c r="AA3523" t="str">
        <f>"14203-1154"</f>
        <v>14203-1154</v>
      </c>
      <c r="AB3523" t="s">
        <v>118</v>
      </c>
      <c r="AC3523" t="s">
        <v>119</v>
      </c>
      <c r="AD3523" t="s">
        <v>113</v>
      </c>
      <c r="AE3523" t="s">
        <v>120</v>
      </c>
      <c r="AG3523" t="s">
        <v>121</v>
      </c>
    </row>
    <row r="3524" spans="1:33" x14ac:dyDescent="0.25">
      <c r="C3524" t="s">
        <v>19536</v>
      </c>
      <c r="G3524" t="s">
        <v>19537</v>
      </c>
      <c r="H3524" t="s">
        <v>8859</v>
      </c>
      <c r="J3524" t="s">
        <v>8860</v>
      </c>
      <c r="K3524" t="s">
        <v>303</v>
      </c>
      <c r="L3524" t="s">
        <v>3095</v>
      </c>
      <c r="M3524" t="s">
        <v>113</v>
      </c>
      <c r="N3524" t="s">
        <v>19538</v>
      </c>
      <c r="O3524" t="s">
        <v>19539</v>
      </c>
      <c r="P3524" t="s">
        <v>117</v>
      </c>
      <c r="Q3524" t="str">
        <f>"11730"</f>
        <v>11730</v>
      </c>
      <c r="AC3524" t="s">
        <v>119</v>
      </c>
      <c r="AD3524" t="s">
        <v>113</v>
      </c>
      <c r="AE3524" t="s">
        <v>3098</v>
      </c>
      <c r="AG3524" t="s">
        <v>121</v>
      </c>
    </row>
    <row r="3525" spans="1:33" x14ac:dyDescent="0.25">
      <c r="C3525" t="s">
        <v>19540</v>
      </c>
      <c r="G3525" t="s">
        <v>19537</v>
      </c>
      <c r="H3525" t="s">
        <v>19541</v>
      </c>
      <c r="J3525" t="s">
        <v>8860</v>
      </c>
      <c r="K3525" t="s">
        <v>303</v>
      </c>
      <c r="L3525" t="s">
        <v>3095</v>
      </c>
      <c r="M3525" t="s">
        <v>113</v>
      </c>
      <c r="N3525" t="s">
        <v>19538</v>
      </c>
      <c r="O3525" t="s">
        <v>19539</v>
      </c>
      <c r="P3525" t="s">
        <v>117</v>
      </c>
      <c r="Q3525" t="str">
        <f>"11731"</f>
        <v>11731</v>
      </c>
      <c r="AC3525" t="s">
        <v>119</v>
      </c>
      <c r="AD3525" t="s">
        <v>113</v>
      </c>
      <c r="AE3525" t="s">
        <v>3098</v>
      </c>
      <c r="AG3525" t="s">
        <v>121</v>
      </c>
    </row>
    <row r="3526" spans="1:33" x14ac:dyDescent="0.25">
      <c r="A3526" t="str">
        <f>"1043542574"</f>
        <v>1043542574</v>
      </c>
      <c r="B3526" t="str">
        <f>"03237749"</f>
        <v>03237749</v>
      </c>
      <c r="C3526" t="s">
        <v>19542</v>
      </c>
      <c r="D3526" t="s">
        <v>19543</v>
      </c>
      <c r="E3526" t="s">
        <v>19544</v>
      </c>
      <c r="G3526" t="s">
        <v>19537</v>
      </c>
      <c r="H3526" t="s">
        <v>19545</v>
      </c>
      <c r="J3526" t="s">
        <v>8860</v>
      </c>
      <c r="L3526" t="s">
        <v>112</v>
      </c>
      <c r="M3526" t="s">
        <v>113</v>
      </c>
      <c r="R3526" t="s">
        <v>19546</v>
      </c>
      <c r="W3526" t="s">
        <v>19544</v>
      </c>
      <c r="X3526" t="s">
        <v>19547</v>
      </c>
      <c r="Y3526" t="s">
        <v>19548</v>
      </c>
      <c r="Z3526" t="s">
        <v>117</v>
      </c>
      <c r="AA3526" t="str">
        <f>"10601-4615"</f>
        <v>10601-4615</v>
      </c>
      <c r="AB3526" t="s">
        <v>118</v>
      </c>
      <c r="AC3526" t="s">
        <v>119</v>
      </c>
      <c r="AD3526" t="s">
        <v>113</v>
      </c>
      <c r="AE3526" t="s">
        <v>120</v>
      </c>
      <c r="AG3526" t="s">
        <v>121</v>
      </c>
    </row>
    <row r="3527" spans="1:33" x14ac:dyDescent="0.25">
      <c r="A3527" t="str">
        <f>"1427083435"</f>
        <v>1427083435</v>
      </c>
      <c r="B3527" t="str">
        <f>"01856564"</f>
        <v>01856564</v>
      </c>
      <c r="C3527" t="s">
        <v>19549</v>
      </c>
      <c r="D3527" t="s">
        <v>19550</v>
      </c>
      <c r="E3527" t="s">
        <v>19551</v>
      </c>
      <c r="G3527" t="s">
        <v>18716</v>
      </c>
      <c r="H3527" t="s">
        <v>3557</v>
      </c>
      <c r="I3527">
        <v>4403</v>
      </c>
      <c r="J3527" t="s">
        <v>18717</v>
      </c>
      <c r="L3527" t="s">
        <v>150</v>
      </c>
      <c r="M3527" t="s">
        <v>113</v>
      </c>
      <c r="R3527" t="s">
        <v>19552</v>
      </c>
      <c r="W3527" t="s">
        <v>19553</v>
      </c>
      <c r="X3527" t="s">
        <v>3559</v>
      </c>
      <c r="Y3527" t="s">
        <v>847</v>
      </c>
      <c r="Z3527" t="s">
        <v>117</v>
      </c>
      <c r="AA3527" t="str">
        <f>"14569-1025"</f>
        <v>14569-1025</v>
      </c>
      <c r="AB3527" t="s">
        <v>118</v>
      </c>
      <c r="AC3527" t="s">
        <v>119</v>
      </c>
      <c r="AD3527" t="s">
        <v>113</v>
      </c>
      <c r="AE3527" t="s">
        <v>120</v>
      </c>
      <c r="AG3527" t="s">
        <v>121</v>
      </c>
    </row>
    <row r="3528" spans="1:33" x14ac:dyDescent="0.25">
      <c r="A3528" t="str">
        <f>"1528013059"</f>
        <v>1528013059</v>
      </c>
      <c r="B3528" t="str">
        <f>"01921306"</f>
        <v>01921306</v>
      </c>
      <c r="C3528" t="s">
        <v>19554</v>
      </c>
      <c r="D3528" t="s">
        <v>19555</v>
      </c>
      <c r="E3528" t="s">
        <v>19556</v>
      </c>
      <c r="G3528" t="s">
        <v>18716</v>
      </c>
      <c r="H3528" t="s">
        <v>3557</v>
      </c>
      <c r="I3528">
        <v>4403</v>
      </c>
      <c r="J3528" t="s">
        <v>18717</v>
      </c>
      <c r="L3528" t="s">
        <v>112</v>
      </c>
      <c r="M3528" t="s">
        <v>113</v>
      </c>
      <c r="R3528" t="s">
        <v>19557</v>
      </c>
      <c r="W3528" t="s">
        <v>19556</v>
      </c>
      <c r="X3528" t="s">
        <v>5302</v>
      </c>
      <c r="Y3528" t="s">
        <v>326</v>
      </c>
      <c r="Z3528" t="s">
        <v>117</v>
      </c>
      <c r="AA3528" t="str">
        <f>"14127-1732"</f>
        <v>14127-1732</v>
      </c>
      <c r="AB3528" t="s">
        <v>118</v>
      </c>
      <c r="AC3528" t="s">
        <v>119</v>
      </c>
      <c r="AD3528" t="s">
        <v>113</v>
      </c>
      <c r="AE3528" t="s">
        <v>120</v>
      </c>
      <c r="AG3528" t="s">
        <v>121</v>
      </c>
    </row>
    <row r="3529" spans="1:33" x14ac:dyDescent="0.25">
      <c r="A3529" t="str">
        <f>"1255319836"</f>
        <v>1255319836</v>
      </c>
      <c r="B3529" t="str">
        <f>"00521884"</f>
        <v>00521884</v>
      </c>
      <c r="C3529" t="s">
        <v>19558</v>
      </c>
      <c r="D3529" t="s">
        <v>19559</v>
      </c>
      <c r="E3529" t="s">
        <v>19560</v>
      </c>
      <c r="G3529" t="s">
        <v>18716</v>
      </c>
      <c r="H3529" t="s">
        <v>3557</v>
      </c>
      <c r="I3529">
        <v>4403</v>
      </c>
      <c r="J3529" t="s">
        <v>18717</v>
      </c>
      <c r="L3529" t="s">
        <v>112</v>
      </c>
      <c r="M3529" t="s">
        <v>113</v>
      </c>
      <c r="R3529" t="s">
        <v>19561</v>
      </c>
      <c r="W3529" t="s">
        <v>19560</v>
      </c>
      <c r="X3529" t="s">
        <v>6234</v>
      </c>
      <c r="Y3529" t="s">
        <v>116</v>
      </c>
      <c r="Z3529" t="s">
        <v>117</v>
      </c>
      <c r="AA3529" t="str">
        <f>"14221-5329"</f>
        <v>14221-5329</v>
      </c>
      <c r="AB3529" t="s">
        <v>118</v>
      </c>
      <c r="AC3529" t="s">
        <v>119</v>
      </c>
      <c r="AD3529" t="s">
        <v>113</v>
      </c>
      <c r="AE3529" t="s">
        <v>120</v>
      </c>
      <c r="AG3529" t="s">
        <v>121</v>
      </c>
    </row>
    <row r="3530" spans="1:33" x14ac:dyDescent="0.25">
      <c r="A3530" t="str">
        <f>"1225270978"</f>
        <v>1225270978</v>
      </c>
      <c r="B3530" t="str">
        <f>"03879861"</f>
        <v>03879861</v>
      </c>
      <c r="C3530" t="s">
        <v>19562</v>
      </c>
      <c r="D3530" t="s">
        <v>19563</v>
      </c>
      <c r="E3530" t="s">
        <v>19564</v>
      </c>
      <c r="G3530" t="s">
        <v>18716</v>
      </c>
      <c r="H3530" t="s">
        <v>3557</v>
      </c>
      <c r="I3530">
        <v>4403</v>
      </c>
      <c r="J3530" t="s">
        <v>18717</v>
      </c>
      <c r="L3530" t="s">
        <v>112</v>
      </c>
      <c r="M3530" t="s">
        <v>113</v>
      </c>
      <c r="R3530" t="s">
        <v>19565</v>
      </c>
      <c r="W3530" t="s">
        <v>19564</v>
      </c>
      <c r="X3530" t="s">
        <v>19566</v>
      </c>
      <c r="Y3530" t="s">
        <v>2762</v>
      </c>
      <c r="Z3530" t="s">
        <v>117</v>
      </c>
      <c r="AA3530" t="str">
        <f>"14620-2762"</f>
        <v>14620-2762</v>
      </c>
      <c r="AB3530" t="s">
        <v>118</v>
      </c>
      <c r="AC3530" t="s">
        <v>119</v>
      </c>
      <c r="AD3530" t="s">
        <v>113</v>
      </c>
      <c r="AE3530" t="s">
        <v>120</v>
      </c>
      <c r="AG3530" t="s">
        <v>121</v>
      </c>
    </row>
    <row r="3531" spans="1:33" x14ac:dyDescent="0.25">
      <c r="A3531" t="str">
        <f>"1063481422"</f>
        <v>1063481422</v>
      </c>
      <c r="B3531" t="str">
        <f>"02571002"</f>
        <v>02571002</v>
      </c>
      <c r="C3531" t="s">
        <v>19567</v>
      </c>
      <c r="D3531" t="s">
        <v>19568</v>
      </c>
      <c r="E3531" t="s">
        <v>19569</v>
      </c>
      <c r="G3531" t="s">
        <v>18716</v>
      </c>
      <c r="H3531" t="s">
        <v>3557</v>
      </c>
      <c r="I3531">
        <v>4403</v>
      </c>
      <c r="J3531" t="s">
        <v>18717</v>
      </c>
      <c r="L3531" t="s">
        <v>142</v>
      </c>
      <c r="M3531" t="s">
        <v>113</v>
      </c>
      <c r="R3531" t="s">
        <v>19570</v>
      </c>
      <c r="W3531" t="s">
        <v>19569</v>
      </c>
      <c r="X3531" t="s">
        <v>19571</v>
      </c>
      <c r="Y3531" t="s">
        <v>847</v>
      </c>
      <c r="Z3531" t="s">
        <v>117</v>
      </c>
      <c r="AA3531" t="str">
        <f>"14569-1567"</f>
        <v>14569-1567</v>
      </c>
      <c r="AB3531" t="s">
        <v>118</v>
      </c>
      <c r="AC3531" t="s">
        <v>119</v>
      </c>
      <c r="AD3531" t="s">
        <v>113</v>
      </c>
      <c r="AE3531" t="s">
        <v>120</v>
      </c>
      <c r="AG3531" t="s">
        <v>121</v>
      </c>
    </row>
    <row r="3532" spans="1:33" x14ac:dyDescent="0.25">
      <c r="C3532" t="s">
        <v>19572</v>
      </c>
      <c r="G3532" t="s">
        <v>19573</v>
      </c>
      <c r="H3532" t="s">
        <v>19574</v>
      </c>
      <c r="J3532" t="s">
        <v>19575</v>
      </c>
      <c r="K3532" t="s">
        <v>303</v>
      </c>
      <c r="L3532" t="s">
        <v>3095</v>
      </c>
      <c r="M3532" t="s">
        <v>113</v>
      </c>
      <c r="N3532" t="s">
        <v>19576</v>
      </c>
      <c r="O3532" t="s">
        <v>3097</v>
      </c>
      <c r="P3532" t="s">
        <v>117</v>
      </c>
      <c r="Q3532" t="str">
        <f>"14215"</f>
        <v>14215</v>
      </c>
      <c r="AC3532" t="s">
        <v>119</v>
      </c>
      <c r="AD3532" t="s">
        <v>113</v>
      </c>
      <c r="AE3532" t="s">
        <v>3098</v>
      </c>
      <c r="AG3532" t="s">
        <v>121</v>
      </c>
    </row>
    <row r="3533" spans="1:33" x14ac:dyDescent="0.25">
      <c r="A3533" t="str">
        <f>"1356591259"</f>
        <v>1356591259</v>
      </c>
      <c r="B3533" t="str">
        <f>"03661630"</f>
        <v>03661630</v>
      </c>
      <c r="C3533" t="s">
        <v>19577</v>
      </c>
      <c r="D3533" t="s">
        <v>19578</v>
      </c>
      <c r="E3533" t="s">
        <v>19579</v>
      </c>
      <c r="G3533" t="s">
        <v>19259</v>
      </c>
      <c r="H3533" t="s">
        <v>19260</v>
      </c>
      <c r="J3533" t="s">
        <v>19261</v>
      </c>
      <c r="L3533" t="s">
        <v>112</v>
      </c>
      <c r="M3533" t="s">
        <v>113</v>
      </c>
      <c r="R3533" t="s">
        <v>19580</v>
      </c>
      <c r="W3533" t="s">
        <v>19579</v>
      </c>
      <c r="X3533" t="s">
        <v>19581</v>
      </c>
      <c r="Y3533" t="s">
        <v>318</v>
      </c>
      <c r="Z3533" t="s">
        <v>117</v>
      </c>
      <c r="AA3533" t="str">
        <f>"14225-2712"</f>
        <v>14225-2712</v>
      </c>
      <c r="AB3533" t="s">
        <v>223</v>
      </c>
      <c r="AC3533" t="s">
        <v>119</v>
      </c>
      <c r="AD3533" t="s">
        <v>113</v>
      </c>
      <c r="AE3533" t="s">
        <v>120</v>
      </c>
      <c r="AG3533" t="s">
        <v>121</v>
      </c>
    </row>
    <row r="3534" spans="1:33" x14ac:dyDescent="0.25">
      <c r="A3534" t="str">
        <f>"1437308632"</f>
        <v>1437308632</v>
      </c>
      <c r="C3534" t="s">
        <v>19582</v>
      </c>
      <c r="G3534" t="s">
        <v>19259</v>
      </c>
      <c r="H3534" t="s">
        <v>19260</v>
      </c>
      <c r="J3534" t="s">
        <v>19261</v>
      </c>
      <c r="K3534" t="s">
        <v>303</v>
      </c>
      <c r="L3534" t="s">
        <v>112</v>
      </c>
      <c r="M3534" t="s">
        <v>113</v>
      </c>
      <c r="R3534" t="s">
        <v>19583</v>
      </c>
      <c r="S3534" t="s">
        <v>19584</v>
      </c>
      <c r="T3534" t="s">
        <v>1593</v>
      </c>
      <c r="U3534" t="s">
        <v>117</v>
      </c>
      <c r="V3534" t="str">
        <f>"140681346"</f>
        <v>140681346</v>
      </c>
      <c r="AC3534" t="s">
        <v>119</v>
      </c>
      <c r="AD3534" t="s">
        <v>113</v>
      </c>
      <c r="AE3534" t="s">
        <v>306</v>
      </c>
      <c r="AG3534" t="s">
        <v>121</v>
      </c>
    </row>
    <row r="3535" spans="1:33" x14ac:dyDescent="0.25">
      <c r="A3535" t="str">
        <f>"1023260726"</f>
        <v>1023260726</v>
      </c>
      <c r="C3535" t="s">
        <v>19585</v>
      </c>
      <c r="G3535" t="s">
        <v>19259</v>
      </c>
      <c r="H3535" t="s">
        <v>19260</v>
      </c>
      <c r="J3535" t="s">
        <v>19261</v>
      </c>
      <c r="K3535" t="s">
        <v>303</v>
      </c>
      <c r="L3535" t="s">
        <v>112</v>
      </c>
      <c r="M3535" t="s">
        <v>113</v>
      </c>
      <c r="R3535" t="s">
        <v>19586</v>
      </c>
      <c r="S3535" t="s">
        <v>19587</v>
      </c>
      <c r="T3535" t="s">
        <v>240</v>
      </c>
      <c r="U3535" t="s">
        <v>117</v>
      </c>
      <c r="V3535" t="str">
        <f>"142212243"</f>
        <v>142212243</v>
      </c>
      <c r="AC3535" t="s">
        <v>119</v>
      </c>
      <c r="AD3535" t="s">
        <v>113</v>
      </c>
      <c r="AE3535" t="s">
        <v>306</v>
      </c>
      <c r="AG3535" t="s">
        <v>121</v>
      </c>
    </row>
    <row r="3536" spans="1:33" x14ac:dyDescent="0.25">
      <c r="A3536" t="str">
        <f>"1982835732"</f>
        <v>1982835732</v>
      </c>
      <c r="B3536" t="str">
        <f>"03174201"</f>
        <v>03174201</v>
      </c>
      <c r="C3536" t="s">
        <v>19588</v>
      </c>
      <c r="D3536" t="s">
        <v>19589</v>
      </c>
      <c r="E3536" t="s">
        <v>19590</v>
      </c>
      <c r="G3536" t="s">
        <v>19259</v>
      </c>
      <c r="H3536" t="s">
        <v>19260</v>
      </c>
      <c r="J3536" t="s">
        <v>19261</v>
      </c>
      <c r="L3536" t="s">
        <v>112</v>
      </c>
      <c r="M3536" t="s">
        <v>113</v>
      </c>
      <c r="R3536" t="s">
        <v>19590</v>
      </c>
      <c r="W3536" t="s">
        <v>19591</v>
      </c>
      <c r="X3536" t="s">
        <v>1620</v>
      </c>
      <c r="Y3536" t="s">
        <v>116</v>
      </c>
      <c r="Z3536" t="s">
        <v>117</v>
      </c>
      <c r="AA3536" t="str">
        <f>"14203-2233"</f>
        <v>14203-2233</v>
      </c>
      <c r="AB3536" t="s">
        <v>223</v>
      </c>
      <c r="AC3536" t="s">
        <v>119</v>
      </c>
      <c r="AD3536" t="s">
        <v>113</v>
      </c>
      <c r="AE3536" t="s">
        <v>120</v>
      </c>
      <c r="AG3536" t="s">
        <v>121</v>
      </c>
    </row>
    <row r="3537" spans="1:33" x14ac:dyDescent="0.25">
      <c r="A3537" t="str">
        <f>"1639467392"</f>
        <v>1639467392</v>
      </c>
      <c r="C3537" t="s">
        <v>19592</v>
      </c>
      <c r="G3537" t="s">
        <v>19259</v>
      </c>
      <c r="H3537" t="s">
        <v>19260</v>
      </c>
      <c r="J3537" t="s">
        <v>19261</v>
      </c>
      <c r="K3537" t="s">
        <v>303</v>
      </c>
      <c r="L3537" t="s">
        <v>112</v>
      </c>
      <c r="M3537" t="s">
        <v>113</v>
      </c>
      <c r="R3537" t="s">
        <v>19593</v>
      </c>
      <c r="S3537" t="s">
        <v>19594</v>
      </c>
      <c r="T3537" t="s">
        <v>19595</v>
      </c>
      <c r="U3537" t="s">
        <v>117</v>
      </c>
      <c r="V3537" t="str">
        <f>"130818717"</f>
        <v>130818717</v>
      </c>
      <c r="AC3537" t="s">
        <v>119</v>
      </c>
      <c r="AD3537" t="s">
        <v>113</v>
      </c>
      <c r="AE3537" t="s">
        <v>306</v>
      </c>
      <c r="AG3537" t="s">
        <v>121</v>
      </c>
    </row>
    <row r="3538" spans="1:33" x14ac:dyDescent="0.25">
      <c r="A3538" t="str">
        <f>"1356694129"</f>
        <v>1356694129</v>
      </c>
      <c r="B3538" t="str">
        <f>"04279883"</f>
        <v>04279883</v>
      </c>
      <c r="C3538" t="s">
        <v>19596</v>
      </c>
      <c r="D3538" t="s">
        <v>19597</v>
      </c>
      <c r="E3538" t="s">
        <v>19598</v>
      </c>
      <c r="G3538" t="s">
        <v>19259</v>
      </c>
      <c r="H3538" t="s">
        <v>19260</v>
      </c>
      <c r="J3538" t="s">
        <v>19261</v>
      </c>
      <c r="L3538" t="s">
        <v>112</v>
      </c>
      <c r="M3538" t="s">
        <v>113</v>
      </c>
      <c r="R3538" t="s">
        <v>19599</v>
      </c>
      <c r="W3538" t="s">
        <v>19598</v>
      </c>
      <c r="X3538" t="s">
        <v>19600</v>
      </c>
      <c r="Y3538" t="s">
        <v>268</v>
      </c>
      <c r="Z3538" t="s">
        <v>117</v>
      </c>
      <c r="AA3538" t="str">
        <f>"14150-9478"</f>
        <v>14150-9478</v>
      </c>
      <c r="AB3538" t="s">
        <v>223</v>
      </c>
      <c r="AC3538" t="s">
        <v>119</v>
      </c>
      <c r="AD3538" t="s">
        <v>113</v>
      </c>
      <c r="AE3538" t="s">
        <v>120</v>
      </c>
      <c r="AG3538" t="s">
        <v>121</v>
      </c>
    </row>
    <row r="3539" spans="1:33" x14ac:dyDescent="0.25">
      <c r="A3539" t="str">
        <f>"1255511762"</f>
        <v>1255511762</v>
      </c>
      <c r="B3539" t="str">
        <f>"03585742"</f>
        <v>03585742</v>
      </c>
      <c r="C3539" t="s">
        <v>19601</v>
      </c>
      <c r="D3539" t="s">
        <v>19602</v>
      </c>
      <c r="E3539" t="s">
        <v>19603</v>
      </c>
      <c r="G3539" t="s">
        <v>19259</v>
      </c>
      <c r="H3539" t="s">
        <v>19260</v>
      </c>
      <c r="J3539" t="s">
        <v>19261</v>
      </c>
      <c r="L3539" t="s">
        <v>112</v>
      </c>
      <c r="M3539" t="s">
        <v>113</v>
      </c>
      <c r="R3539" t="s">
        <v>19604</v>
      </c>
      <c r="W3539" t="s">
        <v>19603</v>
      </c>
      <c r="X3539" t="s">
        <v>19605</v>
      </c>
      <c r="Y3539" t="s">
        <v>958</v>
      </c>
      <c r="Z3539" t="s">
        <v>117</v>
      </c>
      <c r="AA3539" t="str">
        <f>"14226-5122"</f>
        <v>14226-5122</v>
      </c>
      <c r="AB3539" t="s">
        <v>223</v>
      </c>
      <c r="AC3539" t="s">
        <v>119</v>
      </c>
      <c r="AD3539" t="s">
        <v>113</v>
      </c>
      <c r="AE3539" t="s">
        <v>120</v>
      </c>
      <c r="AG3539" t="s">
        <v>121</v>
      </c>
    </row>
    <row r="3540" spans="1:33" x14ac:dyDescent="0.25">
      <c r="A3540" t="str">
        <f>"1306165196"</f>
        <v>1306165196</v>
      </c>
      <c r="B3540" t="str">
        <f>"03353422"</f>
        <v>03353422</v>
      </c>
      <c r="C3540" t="s">
        <v>19606</v>
      </c>
      <c r="D3540" t="s">
        <v>19607</v>
      </c>
      <c r="E3540" t="s">
        <v>19608</v>
      </c>
      <c r="G3540" t="s">
        <v>19259</v>
      </c>
      <c r="H3540" t="s">
        <v>19260</v>
      </c>
      <c r="J3540" t="s">
        <v>19261</v>
      </c>
      <c r="L3540" t="s">
        <v>112</v>
      </c>
      <c r="M3540" t="s">
        <v>113</v>
      </c>
      <c r="R3540" t="s">
        <v>19609</v>
      </c>
      <c r="W3540" t="s">
        <v>19608</v>
      </c>
      <c r="X3540" t="s">
        <v>19610</v>
      </c>
      <c r="Y3540" t="s">
        <v>116</v>
      </c>
      <c r="Z3540" t="s">
        <v>117</v>
      </c>
      <c r="AA3540" t="str">
        <f>"14203-1002"</f>
        <v>14203-1002</v>
      </c>
      <c r="AB3540" t="s">
        <v>223</v>
      </c>
      <c r="AC3540" t="s">
        <v>119</v>
      </c>
      <c r="AD3540" t="s">
        <v>113</v>
      </c>
      <c r="AE3540" t="s">
        <v>120</v>
      </c>
      <c r="AG3540" t="s">
        <v>121</v>
      </c>
    </row>
    <row r="3541" spans="1:33" x14ac:dyDescent="0.25">
      <c r="A3541" t="str">
        <f>"1700936879"</f>
        <v>1700936879</v>
      </c>
      <c r="B3541" t="str">
        <f>"03658931"</f>
        <v>03658931</v>
      </c>
      <c r="C3541" t="s">
        <v>19611</v>
      </c>
      <c r="D3541" t="s">
        <v>19612</v>
      </c>
      <c r="E3541" t="s">
        <v>19613</v>
      </c>
      <c r="G3541" t="s">
        <v>19259</v>
      </c>
      <c r="H3541" t="s">
        <v>19260</v>
      </c>
      <c r="J3541" t="s">
        <v>19261</v>
      </c>
      <c r="L3541" t="s">
        <v>112</v>
      </c>
      <c r="M3541" t="s">
        <v>113</v>
      </c>
      <c r="R3541" t="s">
        <v>19614</v>
      </c>
      <c r="W3541" t="s">
        <v>19613</v>
      </c>
      <c r="X3541" t="s">
        <v>19615</v>
      </c>
      <c r="Y3541" t="s">
        <v>3649</v>
      </c>
      <c r="Z3541" t="s">
        <v>117</v>
      </c>
      <c r="AA3541" t="str">
        <f>"14072-2852"</f>
        <v>14072-2852</v>
      </c>
      <c r="AB3541" t="s">
        <v>223</v>
      </c>
      <c r="AC3541" t="s">
        <v>119</v>
      </c>
      <c r="AD3541" t="s">
        <v>113</v>
      </c>
      <c r="AE3541" t="s">
        <v>120</v>
      </c>
      <c r="AG3541" t="s">
        <v>121</v>
      </c>
    </row>
    <row r="3542" spans="1:33" x14ac:dyDescent="0.25">
      <c r="A3542" t="str">
        <f>"1346339116"</f>
        <v>1346339116</v>
      </c>
      <c r="B3542" t="str">
        <f>"02874899"</f>
        <v>02874899</v>
      </c>
      <c r="C3542" t="s">
        <v>19616</v>
      </c>
      <c r="D3542" t="s">
        <v>19617</v>
      </c>
      <c r="E3542" t="s">
        <v>19618</v>
      </c>
      <c r="G3542" t="s">
        <v>19259</v>
      </c>
      <c r="H3542" t="s">
        <v>19260</v>
      </c>
      <c r="J3542" t="s">
        <v>19261</v>
      </c>
      <c r="L3542" t="s">
        <v>112</v>
      </c>
      <c r="M3542" t="s">
        <v>113</v>
      </c>
      <c r="R3542" t="s">
        <v>19619</v>
      </c>
      <c r="W3542" t="s">
        <v>19618</v>
      </c>
      <c r="X3542" t="s">
        <v>19620</v>
      </c>
      <c r="Y3542" t="s">
        <v>116</v>
      </c>
      <c r="Z3542" t="s">
        <v>117</v>
      </c>
      <c r="AA3542" t="str">
        <f>"14203-2299"</f>
        <v>14203-2299</v>
      </c>
      <c r="AB3542" t="s">
        <v>223</v>
      </c>
      <c r="AC3542" t="s">
        <v>119</v>
      </c>
      <c r="AD3542" t="s">
        <v>113</v>
      </c>
      <c r="AE3542" t="s">
        <v>120</v>
      </c>
      <c r="AG3542" t="s">
        <v>121</v>
      </c>
    </row>
    <row r="3543" spans="1:33" x14ac:dyDescent="0.25">
      <c r="A3543" t="str">
        <f>"1053560458"</f>
        <v>1053560458</v>
      </c>
      <c r="C3543" t="s">
        <v>19621</v>
      </c>
      <c r="G3543" t="s">
        <v>19259</v>
      </c>
      <c r="H3543" t="s">
        <v>19260</v>
      </c>
      <c r="J3543" t="s">
        <v>19261</v>
      </c>
      <c r="K3543" t="s">
        <v>303</v>
      </c>
      <c r="L3543" t="s">
        <v>112</v>
      </c>
      <c r="M3543" t="s">
        <v>113</v>
      </c>
      <c r="R3543" t="s">
        <v>19622</v>
      </c>
      <c r="S3543" t="s">
        <v>19623</v>
      </c>
      <c r="T3543" t="s">
        <v>663</v>
      </c>
      <c r="U3543" t="s">
        <v>117</v>
      </c>
      <c r="V3543" t="str">
        <f>"140949154"</f>
        <v>140949154</v>
      </c>
      <c r="AC3543" t="s">
        <v>119</v>
      </c>
      <c r="AD3543" t="s">
        <v>113</v>
      </c>
      <c r="AE3543" t="s">
        <v>306</v>
      </c>
      <c r="AG3543" t="s">
        <v>121</v>
      </c>
    </row>
    <row r="3544" spans="1:33" x14ac:dyDescent="0.25">
      <c r="A3544" t="str">
        <f>"1124278007"</f>
        <v>1124278007</v>
      </c>
      <c r="B3544" t="str">
        <f>"03661387"</f>
        <v>03661387</v>
      </c>
      <c r="C3544" t="s">
        <v>19624</v>
      </c>
      <c r="D3544" t="s">
        <v>19625</v>
      </c>
      <c r="E3544" t="s">
        <v>19626</v>
      </c>
      <c r="G3544" t="s">
        <v>19259</v>
      </c>
      <c r="H3544" t="s">
        <v>19260</v>
      </c>
      <c r="J3544" t="s">
        <v>19261</v>
      </c>
      <c r="L3544" t="s">
        <v>112</v>
      </c>
      <c r="M3544" t="s">
        <v>113</v>
      </c>
      <c r="R3544" t="s">
        <v>19627</v>
      </c>
      <c r="W3544" t="s">
        <v>19626</v>
      </c>
      <c r="X3544" t="s">
        <v>19628</v>
      </c>
      <c r="Y3544" t="s">
        <v>268</v>
      </c>
      <c r="Z3544" t="s">
        <v>117</v>
      </c>
      <c r="AA3544" t="str">
        <f>"14150-8350"</f>
        <v>14150-8350</v>
      </c>
      <c r="AB3544" t="s">
        <v>223</v>
      </c>
      <c r="AC3544" t="s">
        <v>119</v>
      </c>
      <c r="AD3544" t="s">
        <v>113</v>
      </c>
      <c r="AE3544" t="s">
        <v>120</v>
      </c>
      <c r="AG3544" t="s">
        <v>121</v>
      </c>
    </row>
    <row r="3545" spans="1:33" x14ac:dyDescent="0.25">
      <c r="A3545" t="str">
        <f>"1508015876"</f>
        <v>1508015876</v>
      </c>
      <c r="B3545" t="str">
        <f>"03657921"</f>
        <v>03657921</v>
      </c>
      <c r="C3545" t="s">
        <v>19629</v>
      </c>
      <c r="D3545" t="s">
        <v>19630</v>
      </c>
      <c r="E3545" t="s">
        <v>19631</v>
      </c>
      <c r="G3545" t="s">
        <v>19259</v>
      </c>
      <c r="H3545" t="s">
        <v>19260</v>
      </c>
      <c r="J3545" t="s">
        <v>19261</v>
      </c>
      <c r="L3545" t="s">
        <v>112</v>
      </c>
      <c r="M3545" t="s">
        <v>113</v>
      </c>
      <c r="R3545" t="s">
        <v>19632</v>
      </c>
      <c r="W3545" t="s">
        <v>19631</v>
      </c>
      <c r="X3545" t="s">
        <v>19581</v>
      </c>
      <c r="Y3545" t="s">
        <v>318</v>
      </c>
      <c r="Z3545" t="s">
        <v>117</v>
      </c>
      <c r="AA3545" t="str">
        <f>"14225-2712"</f>
        <v>14225-2712</v>
      </c>
      <c r="AB3545" t="s">
        <v>223</v>
      </c>
      <c r="AC3545" t="s">
        <v>119</v>
      </c>
      <c r="AD3545" t="s">
        <v>113</v>
      </c>
      <c r="AE3545" t="s">
        <v>120</v>
      </c>
      <c r="AG3545" t="s">
        <v>121</v>
      </c>
    </row>
    <row r="3546" spans="1:33" x14ac:dyDescent="0.25">
      <c r="A3546" t="str">
        <f>"1922256841"</f>
        <v>1922256841</v>
      </c>
      <c r="C3546" t="s">
        <v>19633</v>
      </c>
      <c r="G3546" t="s">
        <v>19259</v>
      </c>
      <c r="H3546" t="s">
        <v>19260</v>
      </c>
      <c r="J3546" t="s">
        <v>19261</v>
      </c>
      <c r="K3546" t="s">
        <v>303</v>
      </c>
      <c r="L3546" t="s">
        <v>112</v>
      </c>
      <c r="M3546" t="s">
        <v>113</v>
      </c>
      <c r="R3546" t="s">
        <v>19634</v>
      </c>
      <c r="S3546" t="s">
        <v>19635</v>
      </c>
      <c r="T3546" t="s">
        <v>268</v>
      </c>
      <c r="U3546" t="s">
        <v>117</v>
      </c>
      <c r="V3546" t="str">
        <f>"141508624"</f>
        <v>141508624</v>
      </c>
      <c r="AC3546" t="s">
        <v>119</v>
      </c>
      <c r="AD3546" t="s">
        <v>113</v>
      </c>
      <c r="AE3546" t="s">
        <v>306</v>
      </c>
      <c r="AG3546" t="s">
        <v>121</v>
      </c>
    </row>
    <row r="3547" spans="1:33" x14ac:dyDescent="0.25">
      <c r="A3547" t="str">
        <f>"1477702272"</f>
        <v>1477702272</v>
      </c>
      <c r="C3547" t="s">
        <v>19636</v>
      </c>
      <c r="G3547" t="s">
        <v>19259</v>
      </c>
      <c r="H3547" t="s">
        <v>19260</v>
      </c>
      <c r="J3547" t="s">
        <v>19261</v>
      </c>
      <c r="K3547" t="s">
        <v>303</v>
      </c>
      <c r="L3547" t="s">
        <v>112</v>
      </c>
      <c r="M3547" t="s">
        <v>113</v>
      </c>
      <c r="R3547" t="s">
        <v>19637</v>
      </c>
      <c r="S3547" t="s">
        <v>19638</v>
      </c>
      <c r="T3547" t="s">
        <v>268</v>
      </c>
      <c r="U3547" t="s">
        <v>117</v>
      </c>
      <c r="V3547" t="str">
        <f>"141504334"</f>
        <v>141504334</v>
      </c>
      <c r="AC3547" t="s">
        <v>119</v>
      </c>
      <c r="AD3547" t="s">
        <v>113</v>
      </c>
      <c r="AE3547" t="s">
        <v>306</v>
      </c>
      <c r="AG3547" t="s">
        <v>121</v>
      </c>
    </row>
    <row r="3548" spans="1:33" x14ac:dyDescent="0.25">
      <c r="A3548" t="str">
        <f>"1134454069"</f>
        <v>1134454069</v>
      </c>
      <c r="C3548" t="s">
        <v>19639</v>
      </c>
      <c r="G3548" t="s">
        <v>19259</v>
      </c>
      <c r="H3548" t="s">
        <v>19260</v>
      </c>
      <c r="J3548" t="s">
        <v>19261</v>
      </c>
      <c r="K3548" t="s">
        <v>303</v>
      </c>
      <c r="L3548" t="s">
        <v>112</v>
      </c>
      <c r="M3548" t="s">
        <v>113</v>
      </c>
      <c r="R3548" t="s">
        <v>19640</v>
      </c>
      <c r="S3548" t="s">
        <v>19641</v>
      </c>
      <c r="T3548" t="s">
        <v>268</v>
      </c>
      <c r="U3548" t="s">
        <v>117</v>
      </c>
      <c r="V3548" t="str">
        <f>"141502309"</f>
        <v>141502309</v>
      </c>
      <c r="AC3548" t="s">
        <v>119</v>
      </c>
      <c r="AD3548" t="s">
        <v>113</v>
      </c>
      <c r="AE3548" t="s">
        <v>306</v>
      </c>
      <c r="AG3548" t="s">
        <v>121</v>
      </c>
    </row>
    <row r="3549" spans="1:33" x14ac:dyDescent="0.25">
      <c r="A3549" t="str">
        <f>"1578713020"</f>
        <v>1578713020</v>
      </c>
      <c r="B3549" t="str">
        <f>"03663072"</f>
        <v>03663072</v>
      </c>
      <c r="C3549" t="s">
        <v>19642</v>
      </c>
      <c r="D3549" t="s">
        <v>19643</v>
      </c>
      <c r="E3549" t="s">
        <v>19644</v>
      </c>
      <c r="G3549" t="s">
        <v>19259</v>
      </c>
      <c r="H3549" t="s">
        <v>19260</v>
      </c>
      <c r="J3549" t="s">
        <v>19261</v>
      </c>
      <c r="L3549" t="s">
        <v>112</v>
      </c>
      <c r="M3549" t="s">
        <v>113</v>
      </c>
      <c r="R3549" t="s">
        <v>19645</v>
      </c>
      <c r="W3549" t="s">
        <v>19644</v>
      </c>
      <c r="X3549" t="s">
        <v>1620</v>
      </c>
      <c r="Y3549" t="s">
        <v>116</v>
      </c>
      <c r="Z3549" t="s">
        <v>117</v>
      </c>
      <c r="AA3549" t="str">
        <f>"14203-2233"</f>
        <v>14203-2233</v>
      </c>
      <c r="AB3549" t="s">
        <v>223</v>
      </c>
      <c r="AC3549" t="s">
        <v>119</v>
      </c>
      <c r="AD3549" t="s">
        <v>113</v>
      </c>
      <c r="AE3549" t="s">
        <v>120</v>
      </c>
      <c r="AG3549" t="s">
        <v>121</v>
      </c>
    </row>
    <row r="3550" spans="1:33" x14ac:dyDescent="0.25">
      <c r="A3550" t="str">
        <f>"1144425984"</f>
        <v>1144425984</v>
      </c>
      <c r="B3550" t="str">
        <f>"03645934"</f>
        <v>03645934</v>
      </c>
      <c r="C3550" t="s">
        <v>19646</v>
      </c>
      <c r="D3550" t="s">
        <v>19647</v>
      </c>
      <c r="E3550" t="s">
        <v>19648</v>
      </c>
      <c r="G3550" t="s">
        <v>19259</v>
      </c>
      <c r="H3550" t="s">
        <v>19260</v>
      </c>
      <c r="J3550" t="s">
        <v>19261</v>
      </c>
      <c r="L3550" t="s">
        <v>112</v>
      </c>
      <c r="M3550" t="s">
        <v>113</v>
      </c>
      <c r="R3550" t="s">
        <v>19649</v>
      </c>
      <c r="W3550" t="s">
        <v>19648</v>
      </c>
      <c r="X3550" t="s">
        <v>1620</v>
      </c>
      <c r="Y3550" t="s">
        <v>116</v>
      </c>
      <c r="Z3550" t="s">
        <v>117</v>
      </c>
      <c r="AA3550" t="str">
        <f>"14203-2233"</f>
        <v>14203-2233</v>
      </c>
      <c r="AB3550" t="s">
        <v>223</v>
      </c>
      <c r="AC3550" t="s">
        <v>119</v>
      </c>
      <c r="AD3550" t="s">
        <v>113</v>
      </c>
      <c r="AE3550" t="s">
        <v>120</v>
      </c>
      <c r="AG3550" t="s">
        <v>121</v>
      </c>
    </row>
    <row r="3551" spans="1:33" x14ac:dyDescent="0.25">
      <c r="A3551" t="str">
        <f>"1962630533"</f>
        <v>1962630533</v>
      </c>
      <c r="B3551" t="str">
        <f>"03645943"</f>
        <v>03645943</v>
      </c>
      <c r="C3551" t="s">
        <v>19650</v>
      </c>
      <c r="D3551" t="s">
        <v>19651</v>
      </c>
      <c r="E3551" t="s">
        <v>19652</v>
      </c>
      <c r="G3551" t="s">
        <v>19259</v>
      </c>
      <c r="H3551" t="s">
        <v>19260</v>
      </c>
      <c r="J3551" t="s">
        <v>19261</v>
      </c>
      <c r="L3551" t="s">
        <v>112</v>
      </c>
      <c r="M3551" t="s">
        <v>113</v>
      </c>
      <c r="R3551" t="s">
        <v>19653</v>
      </c>
      <c r="W3551" t="s">
        <v>19652</v>
      </c>
      <c r="X3551" t="s">
        <v>1620</v>
      </c>
      <c r="Y3551" t="s">
        <v>116</v>
      </c>
      <c r="Z3551" t="s">
        <v>117</v>
      </c>
      <c r="AA3551" t="str">
        <f>"14203-2233"</f>
        <v>14203-2233</v>
      </c>
      <c r="AB3551" t="s">
        <v>223</v>
      </c>
      <c r="AC3551" t="s">
        <v>119</v>
      </c>
      <c r="AD3551" t="s">
        <v>113</v>
      </c>
      <c r="AE3551" t="s">
        <v>120</v>
      </c>
      <c r="AG3551" t="s">
        <v>121</v>
      </c>
    </row>
    <row r="3552" spans="1:33" x14ac:dyDescent="0.25">
      <c r="A3552" t="str">
        <f>"1528216215"</f>
        <v>1528216215</v>
      </c>
      <c r="B3552" t="str">
        <f>"03661378"</f>
        <v>03661378</v>
      </c>
      <c r="C3552" t="s">
        <v>19654</v>
      </c>
      <c r="D3552" t="s">
        <v>19655</v>
      </c>
      <c r="E3552" t="s">
        <v>19656</v>
      </c>
      <c r="G3552" t="s">
        <v>19259</v>
      </c>
      <c r="H3552" t="s">
        <v>19260</v>
      </c>
      <c r="J3552" t="s">
        <v>19261</v>
      </c>
      <c r="L3552" t="s">
        <v>112</v>
      </c>
      <c r="M3552" t="s">
        <v>113</v>
      </c>
      <c r="R3552" t="s">
        <v>19657</v>
      </c>
      <c r="W3552" t="s">
        <v>19656</v>
      </c>
      <c r="X3552" t="s">
        <v>19628</v>
      </c>
      <c r="Y3552" t="s">
        <v>268</v>
      </c>
      <c r="Z3552" t="s">
        <v>117</v>
      </c>
      <c r="AA3552" t="str">
        <f>"14150-8350"</f>
        <v>14150-8350</v>
      </c>
      <c r="AB3552" t="s">
        <v>223</v>
      </c>
      <c r="AC3552" t="s">
        <v>119</v>
      </c>
      <c r="AD3552" t="s">
        <v>113</v>
      </c>
      <c r="AE3552" t="s">
        <v>120</v>
      </c>
      <c r="AG3552" t="s">
        <v>121</v>
      </c>
    </row>
    <row r="3553" spans="1:33" x14ac:dyDescent="0.25">
      <c r="A3553" t="str">
        <f>"1619126828"</f>
        <v>1619126828</v>
      </c>
      <c r="B3553" t="str">
        <f>"03588016"</f>
        <v>03588016</v>
      </c>
      <c r="C3553" t="s">
        <v>19658</v>
      </c>
      <c r="D3553" t="s">
        <v>19659</v>
      </c>
      <c r="E3553" t="s">
        <v>19660</v>
      </c>
      <c r="G3553" t="s">
        <v>19259</v>
      </c>
      <c r="H3553" t="s">
        <v>19260</v>
      </c>
      <c r="J3553" t="s">
        <v>19261</v>
      </c>
      <c r="L3553" t="s">
        <v>112</v>
      </c>
      <c r="M3553" t="s">
        <v>113</v>
      </c>
      <c r="R3553" t="s">
        <v>19661</v>
      </c>
      <c r="W3553" t="s">
        <v>19660</v>
      </c>
      <c r="X3553" t="s">
        <v>19628</v>
      </c>
      <c r="Y3553" t="s">
        <v>268</v>
      </c>
      <c r="Z3553" t="s">
        <v>117</v>
      </c>
      <c r="AA3553" t="str">
        <f>"14150-8350"</f>
        <v>14150-8350</v>
      </c>
      <c r="AB3553" t="s">
        <v>223</v>
      </c>
      <c r="AC3553" t="s">
        <v>119</v>
      </c>
      <c r="AD3553" t="s">
        <v>113</v>
      </c>
      <c r="AE3553" t="s">
        <v>120</v>
      </c>
      <c r="AG3553" t="s">
        <v>121</v>
      </c>
    </row>
    <row r="3554" spans="1:33" x14ac:dyDescent="0.25">
      <c r="A3554" t="str">
        <f>"1922238609"</f>
        <v>1922238609</v>
      </c>
      <c r="B3554" t="str">
        <f>"03751457"</f>
        <v>03751457</v>
      </c>
      <c r="C3554" t="s">
        <v>19662</v>
      </c>
      <c r="D3554" t="s">
        <v>19663</v>
      </c>
      <c r="E3554" t="s">
        <v>19664</v>
      </c>
      <c r="G3554" t="s">
        <v>19259</v>
      </c>
      <c r="H3554" t="s">
        <v>19260</v>
      </c>
      <c r="J3554" t="s">
        <v>19261</v>
      </c>
      <c r="L3554" t="s">
        <v>112</v>
      </c>
      <c r="M3554" t="s">
        <v>113</v>
      </c>
      <c r="R3554" t="s">
        <v>19665</v>
      </c>
      <c r="W3554" t="s">
        <v>19664</v>
      </c>
      <c r="X3554" t="s">
        <v>19628</v>
      </c>
      <c r="Y3554" t="s">
        <v>268</v>
      </c>
      <c r="Z3554" t="s">
        <v>117</v>
      </c>
      <c r="AA3554" t="str">
        <f>"14150-8350"</f>
        <v>14150-8350</v>
      </c>
      <c r="AB3554" t="s">
        <v>223</v>
      </c>
      <c r="AC3554" t="s">
        <v>119</v>
      </c>
      <c r="AD3554" t="s">
        <v>113</v>
      </c>
      <c r="AE3554" t="s">
        <v>120</v>
      </c>
      <c r="AG3554" t="s">
        <v>121</v>
      </c>
    </row>
    <row r="3555" spans="1:33" x14ac:dyDescent="0.25">
      <c r="A3555" t="str">
        <f>"1316383094"</f>
        <v>1316383094</v>
      </c>
      <c r="C3555" t="s">
        <v>19666</v>
      </c>
      <c r="G3555" t="s">
        <v>19259</v>
      </c>
      <c r="H3555" t="s">
        <v>19260</v>
      </c>
      <c r="J3555" t="s">
        <v>19261</v>
      </c>
      <c r="K3555" t="s">
        <v>303</v>
      </c>
      <c r="L3555" t="s">
        <v>112</v>
      </c>
      <c r="M3555" t="s">
        <v>113</v>
      </c>
      <c r="R3555" t="s">
        <v>19667</v>
      </c>
      <c r="S3555" t="s">
        <v>19581</v>
      </c>
      <c r="T3555" t="s">
        <v>318</v>
      </c>
      <c r="U3555" t="s">
        <v>117</v>
      </c>
      <c r="V3555" t="str">
        <f>"142252712"</f>
        <v>142252712</v>
      </c>
      <c r="AC3555" t="s">
        <v>119</v>
      </c>
      <c r="AD3555" t="s">
        <v>113</v>
      </c>
      <c r="AE3555" t="s">
        <v>306</v>
      </c>
      <c r="AG3555" t="s">
        <v>121</v>
      </c>
    </row>
    <row r="3556" spans="1:33" x14ac:dyDescent="0.25">
      <c r="A3556" t="str">
        <f>"1679722557"</f>
        <v>1679722557</v>
      </c>
      <c r="C3556" t="s">
        <v>19668</v>
      </c>
      <c r="G3556" t="s">
        <v>19259</v>
      </c>
      <c r="H3556" t="s">
        <v>19260</v>
      </c>
      <c r="J3556" t="s">
        <v>19261</v>
      </c>
      <c r="K3556" t="s">
        <v>303</v>
      </c>
      <c r="L3556" t="s">
        <v>229</v>
      </c>
      <c r="M3556" t="s">
        <v>113</v>
      </c>
      <c r="R3556" t="s">
        <v>19669</v>
      </c>
      <c r="S3556" t="s">
        <v>19670</v>
      </c>
      <c r="T3556" t="s">
        <v>116</v>
      </c>
      <c r="U3556" t="s">
        <v>117</v>
      </c>
      <c r="V3556" t="str">
        <f>"142161823"</f>
        <v>142161823</v>
      </c>
      <c r="AC3556" t="s">
        <v>119</v>
      </c>
      <c r="AD3556" t="s">
        <v>113</v>
      </c>
      <c r="AE3556" t="s">
        <v>306</v>
      </c>
      <c r="AG3556" t="s">
        <v>121</v>
      </c>
    </row>
    <row r="3557" spans="1:33" x14ac:dyDescent="0.25">
      <c r="A3557" t="str">
        <f>"1912166026"</f>
        <v>1912166026</v>
      </c>
      <c r="B3557" t="str">
        <f>"03945351"</f>
        <v>03945351</v>
      </c>
      <c r="C3557" t="s">
        <v>19671</v>
      </c>
      <c r="D3557" t="s">
        <v>19672</v>
      </c>
      <c r="E3557" t="s">
        <v>19673</v>
      </c>
      <c r="G3557" t="s">
        <v>19259</v>
      </c>
      <c r="H3557" t="s">
        <v>19260</v>
      </c>
      <c r="J3557" t="s">
        <v>19261</v>
      </c>
      <c r="L3557" t="s">
        <v>112</v>
      </c>
      <c r="M3557" t="s">
        <v>113</v>
      </c>
      <c r="R3557" t="s">
        <v>19674</v>
      </c>
      <c r="W3557" t="s">
        <v>19673</v>
      </c>
      <c r="X3557" t="s">
        <v>19628</v>
      </c>
      <c r="Y3557" t="s">
        <v>268</v>
      </c>
      <c r="Z3557" t="s">
        <v>117</v>
      </c>
      <c r="AA3557" t="str">
        <f>"14150-8350"</f>
        <v>14150-8350</v>
      </c>
      <c r="AB3557" t="s">
        <v>223</v>
      </c>
      <c r="AC3557" t="s">
        <v>119</v>
      </c>
      <c r="AD3557" t="s">
        <v>113</v>
      </c>
      <c r="AE3557" t="s">
        <v>120</v>
      </c>
      <c r="AG3557" t="s">
        <v>121</v>
      </c>
    </row>
    <row r="3558" spans="1:33" x14ac:dyDescent="0.25">
      <c r="A3558" t="str">
        <f>"1003071481"</f>
        <v>1003071481</v>
      </c>
      <c r="C3558" t="s">
        <v>19675</v>
      </c>
      <c r="G3558" t="s">
        <v>19259</v>
      </c>
      <c r="H3558" t="s">
        <v>19260</v>
      </c>
      <c r="J3558" t="s">
        <v>19261</v>
      </c>
      <c r="K3558" t="s">
        <v>303</v>
      </c>
      <c r="L3558" t="s">
        <v>112</v>
      </c>
      <c r="M3558" t="s">
        <v>113</v>
      </c>
      <c r="R3558" t="s">
        <v>19676</v>
      </c>
      <c r="S3558" t="s">
        <v>19677</v>
      </c>
      <c r="T3558" t="s">
        <v>816</v>
      </c>
      <c r="U3558" t="s">
        <v>117</v>
      </c>
      <c r="V3558" t="str">
        <f>"141201703"</f>
        <v>141201703</v>
      </c>
      <c r="AC3558" t="s">
        <v>119</v>
      </c>
      <c r="AD3558" t="s">
        <v>113</v>
      </c>
      <c r="AE3558" t="s">
        <v>306</v>
      </c>
      <c r="AG3558" t="s">
        <v>121</v>
      </c>
    </row>
    <row r="3559" spans="1:33" x14ac:dyDescent="0.25">
      <c r="A3559" t="str">
        <f>"1811977697"</f>
        <v>1811977697</v>
      </c>
      <c r="B3559" t="str">
        <f>"02431170"</f>
        <v>02431170</v>
      </c>
      <c r="C3559" t="s">
        <v>19678</v>
      </c>
      <c r="D3559" t="s">
        <v>19679</v>
      </c>
      <c r="E3559" t="s">
        <v>19680</v>
      </c>
      <c r="G3559" t="s">
        <v>19259</v>
      </c>
      <c r="H3559" t="s">
        <v>19260</v>
      </c>
      <c r="J3559" t="s">
        <v>19261</v>
      </c>
      <c r="L3559" t="s">
        <v>112</v>
      </c>
      <c r="M3559" t="s">
        <v>113</v>
      </c>
      <c r="R3559" t="s">
        <v>19681</v>
      </c>
      <c r="W3559" t="s">
        <v>19680</v>
      </c>
      <c r="X3559" t="s">
        <v>19620</v>
      </c>
      <c r="Y3559" t="s">
        <v>116</v>
      </c>
      <c r="Z3559" t="s">
        <v>117</v>
      </c>
      <c r="AA3559" t="str">
        <f>"14203-2299"</f>
        <v>14203-2299</v>
      </c>
      <c r="AB3559" t="s">
        <v>223</v>
      </c>
      <c r="AC3559" t="s">
        <v>119</v>
      </c>
      <c r="AD3559" t="s">
        <v>113</v>
      </c>
      <c r="AE3559" t="s">
        <v>120</v>
      </c>
      <c r="AG3559" t="s">
        <v>121</v>
      </c>
    </row>
    <row r="3560" spans="1:33" x14ac:dyDescent="0.25">
      <c r="A3560" t="str">
        <f>"1396975801"</f>
        <v>1396975801</v>
      </c>
      <c r="C3560" t="s">
        <v>19682</v>
      </c>
      <c r="G3560" t="s">
        <v>19259</v>
      </c>
      <c r="H3560" t="s">
        <v>19260</v>
      </c>
      <c r="J3560" t="s">
        <v>19261</v>
      </c>
      <c r="K3560" t="s">
        <v>303</v>
      </c>
      <c r="L3560" t="s">
        <v>112</v>
      </c>
      <c r="M3560" t="s">
        <v>113</v>
      </c>
      <c r="R3560" t="s">
        <v>19683</v>
      </c>
      <c r="S3560" t="s">
        <v>19684</v>
      </c>
      <c r="T3560" t="s">
        <v>268</v>
      </c>
      <c r="U3560" t="s">
        <v>117</v>
      </c>
      <c r="V3560" t="str">
        <f>"14150"</f>
        <v>14150</v>
      </c>
      <c r="AC3560" t="s">
        <v>119</v>
      </c>
      <c r="AD3560" t="s">
        <v>113</v>
      </c>
      <c r="AE3560" t="s">
        <v>306</v>
      </c>
      <c r="AG3560" t="s">
        <v>121</v>
      </c>
    </row>
    <row r="3561" spans="1:33" x14ac:dyDescent="0.25">
      <c r="A3561" t="str">
        <f>"1467601013"</f>
        <v>1467601013</v>
      </c>
      <c r="B3561" t="str">
        <f>"03644117"</f>
        <v>03644117</v>
      </c>
      <c r="C3561" t="s">
        <v>19685</v>
      </c>
      <c r="D3561" t="s">
        <v>19686</v>
      </c>
      <c r="E3561" t="s">
        <v>19687</v>
      </c>
      <c r="G3561" t="s">
        <v>19259</v>
      </c>
      <c r="H3561" t="s">
        <v>19260</v>
      </c>
      <c r="J3561" t="s">
        <v>19261</v>
      </c>
      <c r="L3561" t="s">
        <v>112</v>
      </c>
      <c r="M3561" t="s">
        <v>113</v>
      </c>
      <c r="R3561" t="s">
        <v>19688</v>
      </c>
      <c r="W3561" t="s">
        <v>19687</v>
      </c>
      <c r="X3561" t="s">
        <v>19628</v>
      </c>
      <c r="Y3561" t="s">
        <v>268</v>
      </c>
      <c r="Z3561" t="s">
        <v>117</v>
      </c>
      <c r="AA3561" t="str">
        <f>"14150-8350"</f>
        <v>14150-8350</v>
      </c>
      <c r="AB3561" t="s">
        <v>223</v>
      </c>
      <c r="AC3561" t="s">
        <v>119</v>
      </c>
      <c r="AD3561" t="s">
        <v>113</v>
      </c>
      <c r="AE3561" t="s">
        <v>120</v>
      </c>
      <c r="AG3561" t="s">
        <v>121</v>
      </c>
    </row>
    <row r="3562" spans="1:33" x14ac:dyDescent="0.25">
      <c r="C3562" t="s">
        <v>19689</v>
      </c>
      <c r="G3562" t="s">
        <v>19690</v>
      </c>
      <c r="H3562" t="s">
        <v>19691</v>
      </c>
      <c r="J3562" t="s">
        <v>19692</v>
      </c>
      <c r="K3562" t="s">
        <v>303</v>
      </c>
      <c r="L3562" t="s">
        <v>3095</v>
      </c>
      <c r="M3562" t="s">
        <v>113</v>
      </c>
      <c r="N3562" t="s">
        <v>19693</v>
      </c>
      <c r="O3562" t="s">
        <v>3097</v>
      </c>
      <c r="P3562" t="s">
        <v>117</v>
      </c>
      <c r="Q3562" t="str">
        <f>"14202"</f>
        <v>14202</v>
      </c>
      <c r="AC3562" t="s">
        <v>119</v>
      </c>
      <c r="AD3562" t="s">
        <v>113</v>
      </c>
      <c r="AE3562" t="s">
        <v>3098</v>
      </c>
      <c r="AG3562" t="s">
        <v>121</v>
      </c>
    </row>
    <row r="3563" spans="1:33" x14ac:dyDescent="0.25">
      <c r="C3563" t="s">
        <v>19694</v>
      </c>
      <c r="G3563" t="s">
        <v>19690</v>
      </c>
      <c r="H3563" t="s">
        <v>19691</v>
      </c>
      <c r="J3563" t="s">
        <v>19692</v>
      </c>
      <c r="K3563" t="s">
        <v>303</v>
      </c>
      <c r="L3563" t="s">
        <v>3095</v>
      </c>
      <c r="M3563" t="s">
        <v>113</v>
      </c>
      <c r="N3563" t="s">
        <v>19693</v>
      </c>
      <c r="O3563" t="s">
        <v>3097</v>
      </c>
      <c r="P3563" t="s">
        <v>117</v>
      </c>
      <c r="Q3563" t="str">
        <f>"14202"</f>
        <v>14202</v>
      </c>
      <c r="AC3563" t="s">
        <v>119</v>
      </c>
      <c r="AD3563" t="s">
        <v>113</v>
      </c>
      <c r="AE3563" t="s">
        <v>3098</v>
      </c>
      <c r="AG3563" t="s">
        <v>121</v>
      </c>
    </row>
    <row r="3564" spans="1:33" x14ac:dyDescent="0.25">
      <c r="A3564" t="str">
        <f>"1972731875"</f>
        <v>1972731875</v>
      </c>
      <c r="B3564" t="str">
        <f>"03120376"</f>
        <v>03120376</v>
      </c>
      <c r="C3564" t="s">
        <v>19695</v>
      </c>
      <c r="D3564" t="s">
        <v>19696</v>
      </c>
      <c r="E3564" t="s">
        <v>19697</v>
      </c>
      <c r="G3564" t="s">
        <v>19690</v>
      </c>
      <c r="H3564" t="s">
        <v>19691</v>
      </c>
      <c r="J3564" t="s">
        <v>19692</v>
      </c>
      <c r="L3564" t="s">
        <v>142</v>
      </c>
      <c r="M3564" t="s">
        <v>113</v>
      </c>
      <c r="R3564" t="s">
        <v>19698</v>
      </c>
      <c r="W3564" t="s">
        <v>19699</v>
      </c>
      <c r="X3564" t="s">
        <v>1304</v>
      </c>
      <c r="Y3564" t="s">
        <v>116</v>
      </c>
      <c r="Z3564" t="s">
        <v>117</v>
      </c>
      <c r="AA3564" t="str">
        <f>"14220-2039"</f>
        <v>14220-2039</v>
      </c>
      <c r="AB3564" t="s">
        <v>118</v>
      </c>
      <c r="AC3564" t="s">
        <v>119</v>
      </c>
      <c r="AD3564" t="s">
        <v>113</v>
      </c>
      <c r="AE3564" t="s">
        <v>120</v>
      </c>
      <c r="AG3564" t="s">
        <v>121</v>
      </c>
    </row>
    <row r="3565" spans="1:33" x14ac:dyDescent="0.25">
      <c r="A3565" t="str">
        <f>"1689853061"</f>
        <v>1689853061</v>
      </c>
      <c r="B3565" t="str">
        <f>"02564529"</f>
        <v>02564529</v>
      </c>
      <c r="C3565" t="s">
        <v>19700</v>
      </c>
      <c r="D3565" t="s">
        <v>19701</v>
      </c>
      <c r="E3565" t="s">
        <v>19702</v>
      </c>
      <c r="G3565" t="s">
        <v>19690</v>
      </c>
      <c r="H3565" t="s">
        <v>19691</v>
      </c>
      <c r="J3565" t="s">
        <v>19692</v>
      </c>
      <c r="L3565" t="s">
        <v>142</v>
      </c>
      <c r="M3565" t="s">
        <v>113</v>
      </c>
      <c r="R3565" t="s">
        <v>19703</v>
      </c>
      <c r="W3565" t="s">
        <v>19702</v>
      </c>
      <c r="X3565" t="s">
        <v>19702</v>
      </c>
      <c r="Y3565" t="s">
        <v>116</v>
      </c>
      <c r="Z3565" t="s">
        <v>117</v>
      </c>
      <c r="AA3565" t="str">
        <f>"14203-2209"</f>
        <v>14203-2209</v>
      </c>
      <c r="AB3565" t="s">
        <v>118</v>
      </c>
      <c r="AC3565" t="s">
        <v>119</v>
      </c>
      <c r="AD3565" t="s">
        <v>113</v>
      </c>
      <c r="AE3565" t="s">
        <v>120</v>
      </c>
      <c r="AG3565" t="s">
        <v>121</v>
      </c>
    </row>
    <row r="3566" spans="1:33" x14ac:dyDescent="0.25">
      <c r="C3566" t="s">
        <v>19704</v>
      </c>
      <c r="G3566" t="s">
        <v>19705</v>
      </c>
      <c r="H3566" t="s">
        <v>19706</v>
      </c>
      <c r="J3566" t="s">
        <v>19707</v>
      </c>
      <c r="K3566" t="s">
        <v>303</v>
      </c>
      <c r="L3566" t="s">
        <v>3095</v>
      </c>
      <c r="M3566" t="s">
        <v>113</v>
      </c>
      <c r="N3566" t="s">
        <v>19708</v>
      </c>
      <c r="O3566" t="s">
        <v>18942</v>
      </c>
      <c r="P3566" t="s">
        <v>117</v>
      </c>
      <c r="Q3566" t="str">
        <f>"14305"</f>
        <v>14305</v>
      </c>
      <c r="AC3566" t="s">
        <v>119</v>
      </c>
      <c r="AD3566" t="s">
        <v>113</v>
      </c>
      <c r="AE3566" t="s">
        <v>3098</v>
      </c>
      <c r="AG3566" t="s">
        <v>121</v>
      </c>
    </row>
    <row r="3567" spans="1:33" x14ac:dyDescent="0.25">
      <c r="A3567" t="str">
        <f>"1841245149"</f>
        <v>1841245149</v>
      </c>
      <c r="B3567" t="str">
        <f>"02428866"</f>
        <v>02428866</v>
      </c>
      <c r="C3567" t="s">
        <v>19709</v>
      </c>
      <c r="D3567" t="s">
        <v>19710</v>
      </c>
      <c r="E3567" t="s">
        <v>19711</v>
      </c>
      <c r="G3567" t="s">
        <v>19709</v>
      </c>
      <c r="H3567" t="s">
        <v>19712</v>
      </c>
      <c r="J3567" t="s">
        <v>19713</v>
      </c>
      <c r="L3567" t="s">
        <v>142</v>
      </c>
      <c r="M3567" t="s">
        <v>113</v>
      </c>
      <c r="R3567" t="s">
        <v>19714</v>
      </c>
      <c r="W3567" t="s">
        <v>19711</v>
      </c>
      <c r="X3567" t="s">
        <v>19715</v>
      </c>
      <c r="Y3567" t="s">
        <v>116</v>
      </c>
      <c r="Z3567" t="s">
        <v>117</v>
      </c>
      <c r="AA3567" t="str">
        <f>"14203-1126"</f>
        <v>14203-1126</v>
      </c>
      <c r="AB3567" t="s">
        <v>118</v>
      </c>
      <c r="AC3567" t="s">
        <v>119</v>
      </c>
      <c r="AD3567" t="s">
        <v>113</v>
      </c>
      <c r="AE3567" t="s">
        <v>120</v>
      </c>
      <c r="AG3567" t="s">
        <v>121</v>
      </c>
    </row>
    <row r="3568" spans="1:33" x14ac:dyDescent="0.25">
      <c r="A3568" t="str">
        <f>"1841248226"</f>
        <v>1841248226</v>
      </c>
      <c r="B3568" t="str">
        <f>"01140087"</f>
        <v>01140087</v>
      </c>
      <c r="C3568" t="s">
        <v>19716</v>
      </c>
      <c r="D3568" t="s">
        <v>19717</v>
      </c>
      <c r="E3568" t="s">
        <v>19718</v>
      </c>
      <c r="G3568" t="s">
        <v>19716</v>
      </c>
      <c r="H3568" t="s">
        <v>13865</v>
      </c>
      <c r="J3568" t="s">
        <v>19719</v>
      </c>
      <c r="L3568" t="s">
        <v>112</v>
      </c>
      <c r="M3568" t="s">
        <v>113</v>
      </c>
      <c r="R3568" t="s">
        <v>19720</v>
      </c>
      <c r="W3568" t="s">
        <v>19721</v>
      </c>
      <c r="X3568" t="s">
        <v>13868</v>
      </c>
      <c r="Y3568" t="s">
        <v>116</v>
      </c>
      <c r="Z3568" t="s">
        <v>117</v>
      </c>
      <c r="AA3568" t="str">
        <f>"14209-2003"</f>
        <v>14209-2003</v>
      </c>
      <c r="AB3568" t="s">
        <v>634</v>
      </c>
      <c r="AC3568" t="s">
        <v>119</v>
      </c>
      <c r="AD3568" t="s">
        <v>113</v>
      </c>
      <c r="AE3568" t="s">
        <v>120</v>
      </c>
      <c r="AG3568" t="s">
        <v>121</v>
      </c>
    </row>
    <row r="3569" spans="1:33" x14ac:dyDescent="0.25">
      <c r="A3569" t="str">
        <f>"1932137122"</f>
        <v>1932137122</v>
      </c>
      <c r="B3569" t="str">
        <f>"01357060"</f>
        <v>01357060</v>
      </c>
      <c r="C3569" t="s">
        <v>19722</v>
      </c>
      <c r="D3569" t="s">
        <v>19723</v>
      </c>
      <c r="E3569" t="s">
        <v>19724</v>
      </c>
      <c r="G3569" t="s">
        <v>330</v>
      </c>
      <c r="H3569" t="s">
        <v>7531</v>
      </c>
      <c r="J3569" t="s">
        <v>332</v>
      </c>
      <c r="L3569" t="s">
        <v>150</v>
      </c>
      <c r="M3569" t="s">
        <v>113</v>
      </c>
      <c r="R3569" t="s">
        <v>19725</v>
      </c>
      <c r="W3569" t="s">
        <v>19724</v>
      </c>
      <c r="X3569" t="s">
        <v>14384</v>
      </c>
      <c r="Y3569" t="s">
        <v>116</v>
      </c>
      <c r="Z3569" t="s">
        <v>117</v>
      </c>
      <c r="AA3569" t="str">
        <f>"14215-1433"</f>
        <v>14215-1433</v>
      </c>
      <c r="AB3569" t="s">
        <v>118</v>
      </c>
      <c r="AC3569" t="s">
        <v>119</v>
      </c>
      <c r="AD3569" t="s">
        <v>113</v>
      </c>
      <c r="AE3569" t="s">
        <v>120</v>
      </c>
      <c r="AG3569" t="s">
        <v>121</v>
      </c>
    </row>
    <row r="3570" spans="1:33" x14ac:dyDescent="0.25">
      <c r="A3570" t="str">
        <f>"1932137429"</f>
        <v>1932137429</v>
      </c>
      <c r="B3570" t="str">
        <f>"02345242"</f>
        <v>02345242</v>
      </c>
      <c r="C3570" t="s">
        <v>19726</v>
      </c>
      <c r="D3570" t="s">
        <v>19727</v>
      </c>
      <c r="E3570" t="s">
        <v>19728</v>
      </c>
      <c r="G3570" t="s">
        <v>19726</v>
      </c>
      <c r="H3570" t="s">
        <v>1478</v>
      </c>
      <c r="J3570" t="s">
        <v>19729</v>
      </c>
      <c r="L3570" t="s">
        <v>142</v>
      </c>
      <c r="M3570" t="s">
        <v>113</v>
      </c>
      <c r="R3570" t="s">
        <v>19730</v>
      </c>
      <c r="W3570" t="s">
        <v>19728</v>
      </c>
      <c r="X3570" t="s">
        <v>838</v>
      </c>
      <c r="Y3570" t="s">
        <v>240</v>
      </c>
      <c r="Z3570" t="s">
        <v>117</v>
      </c>
      <c r="AA3570" t="str">
        <f>"14221-3647"</f>
        <v>14221-3647</v>
      </c>
      <c r="AB3570" t="s">
        <v>118</v>
      </c>
      <c r="AC3570" t="s">
        <v>119</v>
      </c>
      <c r="AD3570" t="s">
        <v>113</v>
      </c>
      <c r="AE3570" t="s">
        <v>120</v>
      </c>
      <c r="AG3570" t="s">
        <v>121</v>
      </c>
    </row>
    <row r="3571" spans="1:33" x14ac:dyDescent="0.25">
      <c r="A3571" t="str">
        <f>"1932139300"</f>
        <v>1932139300</v>
      </c>
      <c r="B3571" t="str">
        <f>"00688211"</f>
        <v>00688211</v>
      </c>
      <c r="C3571" t="s">
        <v>19731</v>
      </c>
      <c r="D3571" t="s">
        <v>19732</v>
      </c>
      <c r="E3571" t="s">
        <v>19733</v>
      </c>
      <c r="G3571" t="s">
        <v>19734</v>
      </c>
      <c r="H3571" t="s">
        <v>1700</v>
      </c>
      <c r="J3571" t="s">
        <v>19735</v>
      </c>
      <c r="L3571" t="s">
        <v>14</v>
      </c>
      <c r="M3571" t="s">
        <v>199</v>
      </c>
      <c r="R3571" t="s">
        <v>19731</v>
      </c>
      <c r="W3571" t="s">
        <v>19733</v>
      </c>
      <c r="X3571" t="s">
        <v>1703</v>
      </c>
      <c r="Y3571" t="s">
        <v>116</v>
      </c>
      <c r="Z3571" t="s">
        <v>117</v>
      </c>
      <c r="AA3571" t="str">
        <f>"14209-2013"</f>
        <v>14209-2013</v>
      </c>
      <c r="AB3571" t="s">
        <v>1146</v>
      </c>
      <c r="AC3571" t="s">
        <v>119</v>
      </c>
      <c r="AD3571" t="s">
        <v>113</v>
      </c>
      <c r="AE3571" t="s">
        <v>120</v>
      </c>
      <c r="AG3571" t="s">
        <v>121</v>
      </c>
    </row>
    <row r="3572" spans="1:33" x14ac:dyDescent="0.25">
      <c r="A3572" t="str">
        <f>"1932147410"</f>
        <v>1932147410</v>
      </c>
      <c r="B3572" t="str">
        <f>"01605325"</f>
        <v>01605325</v>
      </c>
      <c r="C3572" t="s">
        <v>19736</v>
      </c>
      <c r="D3572" t="s">
        <v>19737</v>
      </c>
      <c r="E3572" t="s">
        <v>19738</v>
      </c>
      <c r="L3572" t="s">
        <v>150</v>
      </c>
      <c r="M3572" t="s">
        <v>113</v>
      </c>
      <c r="R3572" t="s">
        <v>19739</v>
      </c>
      <c r="W3572" t="s">
        <v>19739</v>
      </c>
      <c r="X3572" t="s">
        <v>253</v>
      </c>
      <c r="Y3572" t="s">
        <v>116</v>
      </c>
      <c r="Z3572" t="s">
        <v>117</v>
      </c>
      <c r="AA3572" t="str">
        <f>"14215-3021"</f>
        <v>14215-3021</v>
      </c>
      <c r="AB3572" t="s">
        <v>118</v>
      </c>
      <c r="AC3572" t="s">
        <v>119</v>
      </c>
      <c r="AD3572" t="s">
        <v>113</v>
      </c>
      <c r="AE3572" t="s">
        <v>120</v>
      </c>
      <c r="AG3572" t="s">
        <v>121</v>
      </c>
    </row>
    <row r="3573" spans="1:33" x14ac:dyDescent="0.25">
      <c r="A3573" t="str">
        <f>"1932153004"</f>
        <v>1932153004</v>
      </c>
      <c r="B3573" t="str">
        <f>"02093630"</f>
        <v>02093630</v>
      </c>
      <c r="C3573" t="s">
        <v>19740</v>
      </c>
      <c r="D3573" t="s">
        <v>19741</v>
      </c>
      <c r="E3573" t="s">
        <v>19742</v>
      </c>
      <c r="G3573" t="s">
        <v>19740</v>
      </c>
      <c r="H3573" t="s">
        <v>19195</v>
      </c>
      <c r="J3573" t="s">
        <v>19743</v>
      </c>
      <c r="L3573" t="s">
        <v>1033</v>
      </c>
      <c r="M3573" t="s">
        <v>113</v>
      </c>
      <c r="R3573" t="s">
        <v>19744</v>
      </c>
      <c r="W3573" t="s">
        <v>19744</v>
      </c>
      <c r="X3573" t="s">
        <v>4335</v>
      </c>
      <c r="Y3573" t="s">
        <v>240</v>
      </c>
      <c r="Z3573" t="s">
        <v>117</v>
      </c>
      <c r="AA3573" t="str">
        <f>"14221-2320"</f>
        <v>14221-2320</v>
      </c>
      <c r="AB3573" t="s">
        <v>118</v>
      </c>
      <c r="AC3573" t="s">
        <v>119</v>
      </c>
      <c r="AD3573" t="s">
        <v>113</v>
      </c>
      <c r="AE3573" t="s">
        <v>120</v>
      </c>
      <c r="AG3573" t="s">
        <v>121</v>
      </c>
    </row>
    <row r="3574" spans="1:33" x14ac:dyDescent="0.25">
      <c r="A3574" t="str">
        <f>"1932154168"</f>
        <v>1932154168</v>
      </c>
      <c r="B3574" t="str">
        <f>"01638802"</f>
        <v>01638802</v>
      </c>
      <c r="C3574" t="s">
        <v>19745</v>
      </c>
      <c r="D3574" t="s">
        <v>19746</v>
      </c>
      <c r="E3574" t="s">
        <v>19747</v>
      </c>
      <c r="G3574" t="s">
        <v>19745</v>
      </c>
      <c r="H3574" t="s">
        <v>213</v>
      </c>
      <c r="J3574" t="s">
        <v>19748</v>
      </c>
      <c r="L3574" t="s">
        <v>150</v>
      </c>
      <c r="M3574" t="s">
        <v>113</v>
      </c>
      <c r="R3574" t="s">
        <v>19749</v>
      </c>
      <c r="W3574" t="s">
        <v>19747</v>
      </c>
      <c r="X3574" t="s">
        <v>216</v>
      </c>
      <c r="Y3574" t="s">
        <v>116</v>
      </c>
      <c r="Z3574" t="s">
        <v>117</v>
      </c>
      <c r="AA3574" t="str">
        <f>"14222-2006"</f>
        <v>14222-2006</v>
      </c>
      <c r="AB3574" t="s">
        <v>118</v>
      </c>
      <c r="AC3574" t="s">
        <v>119</v>
      </c>
      <c r="AD3574" t="s">
        <v>113</v>
      </c>
      <c r="AE3574" t="s">
        <v>120</v>
      </c>
      <c r="AG3574" t="s">
        <v>121</v>
      </c>
    </row>
    <row r="3575" spans="1:33" x14ac:dyDescent="0.25">
      <c r="A3575" t="str">
        <f>"1932166709"</f>
        <v>1932166709</v>
      </c>
      <c r="B3575" t="str">
        <f>"01129753"</f>
        <v>01129753</v>
      </c>
      <c r="C3575" t="s">
        <v>19750</v>
      </c>
      <c r="D3575" t="s">
        <v>19751</v>
      </c>
      <c r="E3575" t="s">
        <v>19752</v>
      </c>
      <c r="G3575" t="s">
        <v>19750</v>
      </c>
      <c r="H3575" t="s">
        <v>205</v>
      </c>
      <c r="J3575" t="s">
        <v>19753</v>
      </c>
      <c r="L3575" t="s">
        <v>142</v>
      </c>
      <c r="M3575" t="s">
        <v>113</v>
      </c>
      <c r="R3575" t="s">
        <v>19754</v>
      </c>
      <c r="W3575" t="s">
        <v>19752</v>
      </c>
      <c r="X3575" t="s">
        <v>19755</v>
      </c>
      <c r="Y3575" t="s">
        <v>116</v>
      </c>
      <c r="Z3575" t="s">
        <v>117</v>
      </c>
      <c r="AA3575" t="str">
        <f>"14214"</f>
        <v>14214</v>
      </c>
      <c r="AB3575" t="s">
        <v>118</v>
      </c>
      <c r="AC3575" t="s">
        <v>119</v>
      </c>
      <c r="AD3575" t="s">
        <v>113</v>
      </c>
      <c r="AE3575" t="s">
        <v>120</v>
      </c>
      <c r="AG3575" t="s">
        <v>121</v>
      </c>
    </row>
    <row r="3576" spans="1:33" x14ac:dyDescent="0.25">
      <c r="A3576" t="str">
        <f>"1932167145"</f>
        <v>1932167145</v>
      </c>
      <c r="B3576" t="str">
        <f>"02532332"</f>
        <v>02532332</v>
      </c>
      <c r="C3576" t="s">
        <v>19756</v>
      </c>
      <c r="D3576" t="s">
        <v>19757</v>
      </c>
      <c r="E3576" t="s">
        <v>19758</v>
      </c>
      <c r="G3576" t="s">
        <v>19756</v>
      </c>
      <c r="H3576" t="s">
        <v>2037</v>
      </c>
      <c r="J3576" t="s">
        <v>19759</v>
      </c>
      <c r="L3576" t="s">
        <v>112</v>
      </c>
      <c r="M3576" t="s">
        <v>113</v>
      </c>
      <c r="R3576" t="s">
        <v>19760</v>
      </c>
      <c r="W3576" t="s">
        <v>19758</v>
      </c>
      <c r="X3576" t="s">
        <v>216</v>
      </c>
      <c r="Y3576" t="s">
        <v>116</v>
      </c>
      <c r="Z3576" t="s">
        <v>117</v>
      </c>
      <c r="AA3576" t="str">
        <f>"14222-2006"</f>
        <v>14222-2006</v>
      </c>
      <c r="AB3576" t="s">
        <v>634</v>
      </c>
      <c r="AC3576" t="s">
        <v>119</v>
      </c>
      <c r="AD3576" t="s">
        <v>113</v>
      </c>
      <c r="AE3576" t="s">
        <v>120</v>
      </c>
      <c r="AG3576" t="s">
        <v>121</v>
      </c>
    </row>
    <row r="3577" spans="1:33" x14ac:dyDescent="0.25">
      <c r="A3577" t="str">
        <f>"1932174729"</f>
        <v>1932174729</v>
      </c>
      <c r="B3577" t="str">
        <f>"02507239"</f>
        <v>02507239</v>
      </c>
      <c r="C3577" t="s">
        <v>19761</v>
      </c>
      <c r="D3577" t="s">
        <v>19762</v>
      </c>
      <c r="E3577" t="s">
        <v>19763</v>
      </c>
      <c r="G3577" t="s">
        <v>19761</v>
      </c>
      <c r="H3577" t="s">
        <v>707</v>
      </c>
      <c r="J3577" t="s">
        <v>19764</v>
      </c>
      <c r="L3577" t="s">
        <v>112</v>
      </c>
      <c r="M3577" t="s">
        <v>113</v>
      </c>
      <c r="R3577" t="s">
        <v>19765</v>
      </c>
      <c r="W3577" t="s">
        <v>19766</v>
      </c>
      <c r="X3577" t="s">
        <v>709</v>
      </c>
      <c r="Y3577" t="s">
        <v>116</v>
      </c>
      <c r="Z3577" t="s">
        <v>117</v>
      </c>
      <c r="AA3577" t="str">
        <f>"14263-0001"</f>
        <v>14263-0001</v>
      </c>
      <c r="AB3577" t="s">
        <v>118</v>
      </c>
      <c r="AC3577" t="s">
        <v>119</v>
      </c>
      <c r="AD3577" t="s">
        <v>113</v>
      </c>
      <c r="AE3577" t="s">
        <v>120</v>
      </c>
      <c r="AG3577" t="s">
        <v>121</v>
      </c>
    </row>
    <row r="3578" spans="1:33" x14ac:dyDescent="0.25">
      <c r="A3578" t="str">
        <f>"1932179736"</f>
        <v>1932179736</v>
      </c>
      <c r="B3578" t="str">
        <f>"02386941"</f>
        <v>02386941</v>
      </c>
      <c r="C3578" t="s">
        <v>19767</v>
      </c>
      <c r="D3578" t="s">
        <v>19768</v>
      </c>
      <c r="E3578" t="s">
        <v>19769</v>
      </c>
      <c r="G3578" t="s">
        <v>19767</v>
      </c>
      <c r="H3578" t="s">
        <v>19770</v>
      </c>
      <c r="J3578" t="s">
        <v>19771</v>
      </c>
      <c r="L3578" t="s">
        <v>142</v>
      </c>
      <c r="M3578" t="s">
        <v>113</v>
      </c>
      <c r="R3578" t="s">
        <v>19772</v>
      </c>
      <c r="W3578" t="s">
        <v>19769</v>
      </c>
      <c r="X3578" t="s">
        <v>19773</v>
      </c>
      <c r="Y3578" t="s">
        <v>116</v>
      </c>
      <c r="Z3578" t="s">
        <v>117</v>
      </c>
      <c r="AA3578" t="str">
        <f>"14214"</f>
        <v>14214</v>
      </c>
      <c r="AB3578" t="s">
        <v>118</v>
      </c>
      <c r="AC3578" t="s">
        <v>119</v>
      </c>
      <c r="AD3578" t="s">
        <v>113</v>
      </c>
      <c r="AE3578" t="s">
        <v>120</v>
      </c>
      <c r="AG3578" t="s">
        <v>121</v>
      </c>
    </row>
    <row r="3579" spans="1:33" x14ac:dyDescent="0.25">
      <c r="C3579" t="s">
        <v>13331</v>
      </c>
      <c r="G3579" t="s">
        <v>13331</v>
      </c>
      <c r="J3579" t="s">
        <v>352</v>
      </c>
      <c r="K3579" t="s">
        <v>303</v>
      </c>
      <c r="L3579" t="s">
        <v>3095</v>
      </c>
      <c r="M3579" t="s">
        <v>113</v>
      </c>
      <c r="AC3579" t="s">
        <v>119</v>
      </c>
      <c r="AD3579" t="s">
        <v>113</v>
      </c>
      <c r="AE3579" t="s">
        <v>3098</v>
      </c>
      <c r="AG3579" t="s">
        <v>121</v>
      </c>
    </row>
    <row r="3580" spans="1:33" x14ac:dyDescent="0.25">
      <c r="C3580" t="s">
        <v>15174</v>
      </c>
      <c r="G3580" t="s">
        <v>15174</v>
      </c>
      <c r="J3580" t="s">
        <v>352</v>
      </c>
      <c r="K3580" t="s">
        <v>303</v>
      </c>
      <c r="L3580" t="s">
        <v>3095</v>
      </c>
      <c r="M3580" t="s">
        <v>113</v>
      </c>
      <c r="AC3580" t="s">
        <v>119</v>
      </c>
      <c r="AD3580" t="s">
        <v>113</v>
      </c>
      <c r="AE3580" t="s">
        <v>3098</v>
      </c>
      <c r="AG3580" t="s">
        <v>121</v>
      </c>
    </row>
    <row r="3581" spans="1:33" x14ac:dyDescent="0.25">
      <c r="C3581" t="s">
        <v>13795</v>
      </c>
      <c r="G3581" t="s">
        <v>13795</v>
      </c>
      <c r="J3581" t="s">
        <v>352</v>
      </c>
      <c r="K3581" t="s">
        <v>303</v>
      </c>
      <c r="L3581" t="s">
        <v>3095</v>
      </c>
      <c r="M3581" t="s">
        <v>113</v>
      </c>
      <c r="AC3581" t="s">
        <v>119</v>
      </c>
      <c r="AD3581" t="s">
        <v>113</v>
      </c>
      <c r="AE3581" t="s">
        <v>3098</v>
      </c>
      <c r="AG3581" t="s">
        <v>121</v>
      </c>
    </row>
    <row r="3582" spans="1:33" x14ac:dyDescent="0.25">
      <c r="C3582" t="s">
        <v>15840</v>
      </c>
      <c r="G3582" t="s">
        <v>15840</v>
      </c>
      <c r="J3582" t="s">
        <v>352</v>
      </c>
      <c r="K3582" t="s">
        <v>303</v>
      </c>
      <c r="L3582" t="s">
        <v>3095</v>
      </c>
      <c r="M3582" t="s">
        <v>113</v>
      </c>
      <c r="AC3582" t="s">
        <v>119</v>
      </c>
      <c r="AD3582" t="s">
        <v>113</v>
      </c>
      <c r="AE3582" t="s">
        <v>3098</v>
      </c>
      <c r="AG3582" t="s">
        <v>121</v>
      </c>
    </row>
    <row r="3583" spans="1:33" x14ac:dyDescent="0.25">
      <c r="C3583" t="s">
        <v>5866</v>
      </c>
      <c r="G3583" t="s">
        <v>5866</v>
      </c>
      <c r="J3583" t="s">
        <v>352</v>
      </c>
      <c r="K3583" t="s">
        <v>303</v>
      </c>
      <c r="L3583" t="s">
        <v>3095</v>
      </c>
      <c r="M3583" t="s">
        <v>113</v>
      </c>
      <c r="AC3583" t="s">
        <v>119</v>
      </c>
      <c r="AD3583" t="s">
        <v>113</v>
      </c>
      <c r="AE3583" t="s">
        <v>3098</v>
      </c>
      <c r="AG3583" t="s">
        <v>121</v>
      </c>
    </row>
    <row r="3584" spans="1:33" x14ac:dyDescent="0.25">
      <c r="C3584" t="s">
        <v>14204</v>
      </c>
      <c r="G3584" t="s">
        <v>14204</v>
      </c>
      <c r="J3584" t="s">
        <v>352</v>
      </c>
      <c r="K3584" t="s">
        <v>303</v>
      </c>
      <c r="L3584" t="s">
        <v>3095</v>
      </c>
      <c r="M3584" t="s">
        <v>113</v>
      </c>
      <c r="AC3584" t="s">
        <v>119</v>
      </c>
      <c r="AD3584" t="s">
        <v>113</v>
      </c>
      <c r="AE3584" t="s">
        <v>3098</v>
      </c>
      <c r="AG3584" t="s">
        <v>121</v>
      </c>
    </row>
    <row r="3585" spans="1:33" x14ac:dyDescent="0.25">
      <c r="C3585" t="s">
        <v>1777</v>
      </c>
      <c r="G3585" t="s">
        <v>1777</v>
      </c>
      <c r="J3585" t="s">
        <v>352</v>
      </c>
      <c r="K3585" t="s">
        <v>303</v>
      </c>
      <c r="L3585" t="s">
        <v>3095</v>
      </c>
      <c r="M3585" t="s">
        <v>113</v>
      </c>
      <c r="AC3585" t="s">
        <v>119</v>
      </c>
      <c r="AD3585" t="s">
        <v>113</v>
      </c>
      <c r="AE3585" t="s">
        <v>3098</v>
      </c>
      <c r="AG3585" t="s">
        <v>121</v>
      </c>
    </row>
    <row r="3586" spans="1:33" x14ac:dyDescent="0.25">
      <c r="C3586" t="s">
        <v>2085</v>
      </c>
      <c r="G3586" t="s">
        <v>2085</v>
      </c>
      <c r="J3586" t="s">
        <v>352</v>
      </c>
      <c r="K3586" t="s">
        <v>303</v>
      </c>
      <c r="L3586" t="s">
        <v>3095</v>
      </c>
      <c r="M3586" t="s">
        <v>113</v>
      </c>
      <c r="AC3586" t="s">
        <v>119</v>
      </c>
      <c r="AD3586" t="s">
        <v>113</v>
      </c>
      <c r="AE3586" t="s">
        <v>3098</v>
      </c>
      <c r="AG3586" t="s">
        <v>121</v>
      </c>
    </row>
    <row r="3587" spans="1:33" x14ac:dyDescent="0.25">
      <c r="A3587" t="str">
        <f>"1881600609"</f>
        <v>1881600609</v>
      </c>
      <c r="B3587" t="str">
        <f>"02662944"</f>
        <v>02662944</v>
      </c>
      <c r="C3587" t="s">
        <v>19774</v>
      </c>
      <c r="D3587" t="s">
        <v>19775</v>
      </c>
      <c r="E3587" t="s">
        <v>19776</v>
      </c>
      <c r="G3587" t="s">
        <v>19774</v>
      </c>
      <c r="H3587" t="s">
        <v>205</v>
      </c>
      <c r="J3587" t="s">
        <v>19777</v>
      </c>
      <c r="L3587" t="s">
        <v>142</v>
      </c>
      <c r="M3587" t="s">
        <v>113</v>
      </c>
      <c r="R3587" t="s">
        <v>19778</v>
      </c>
      <c r="W3587" t="s">
        <v>19776</v>
      </c>
      <c r="X3587" t="s">
        <v>8487</v>
      </c>
      <c r="Y3587" t="s">
        <v>326</v>
      </c>
      <c r="Z3587" t="s">
        <v>117</v>
      </c>
      <c r="AA3587" t="str">
        <f>"14127-1842"</f>
        <v>14127-1842</v>
      </c>
      <c r="AB3587" t="s">
        <v>118</v>
      </c>
      <c r="AC3587" t="s">
        <v>119</v>
      </c>
      <c r="AD3587" t="s">
        <v>113</v>
      </c>
      <c r="AE3587" t="s">
        <v>120</v>
      </c>
      <c r="AG3587" t="s">
        <v>121</v>
      </c>
    </row>
    <row r="3588" spans="1:33" x14ac:dyDescent="0.25">
      <c r="A3588" t="str">
        <f>"1881604841"</f>
        <v>1881604841</v>
      </c>
      <c r="B3588" t="str">
        <f>"01570465"</f>
        <v>01570465</v>
      </c>
      <c r="C3588" t="s">
        <v>19779</v>
      </c>
      <c r="D3588" t="s">
        <v>19780</v>
      </c>
      <c r="E3588" t="s">
        <v>19781</v>
      </c>
      <c r="G3588" t="s">
        <v>19782</v>
      </c>
      <c r="H3588" t="s">
        <v>532</v>
      </c>
      <c r="J3588" t="s">
        <v>19783</v>
      </c>
      <c r="L3588" t="s">
        <v>142</v>
      </c>
      <c r="M3588" t="s">
        <v>113</v>
      </c>
      <c r="R3588" t="s">
        <v>19784</v>
      </c>
      <c r="W3588" t="s">
        <v>19781</v>
      </c>
      <c r="X3588" t="s">
        <v>136</v>
      </c>
      <c r="Y3588" t="s">
        <v>116</v>
      </c>
      <c r="Z3588" t="s">
        <v>117</v>
      </c>
      <c r="AA3588" t="str">
        <f>"14209-1120"</f>
        <v>14209-1120</v>
      </c>
      <c r="AB3588" t="s">
        <v>118</v>
      </c>
      <c r="AC3588" t="s">
        <v>119</v>
      </c>
      <c r="AD3588" t="s">
        <v>113</v>
      </c>
      <c r="AE3588" t="s">
        <v>120</v>
      </c>
      <c r="AG3588" t="s">
        <v>121</v>
      </c>
    </row>
    <row r="3589" spans="1:33" x14ac:dyDescent="0.25">
      <c r="A3589" t="str">
        <f>"1881651008"</f>
        <v>1881651008</v>
      </c>
      <c r="B3589" t="str">
        <f>"01604833"</f>
        <v>01604833</v>
      </c>
      <c r="C3589" t="s">
        <v>19785</v>
      </c>
      <c r="D3589" t="s">
        <v>19786</v>
      </c>
      <c r="E3589" t="s">
        <v>19787</v>
      </c>
      <c r="G3589" t="s">
        <v>19785</v>
      </c>
      <c r="H3589" t="s">
        <v>205</v>
      </c>
      <c r="J3589" t="s">
        <v>19788</v>
      </c>
      <c r="L3589" t="s">
        <v>142</v>
      </c>
      <c r="M3589" t="s">
        <v>113</v>
      </c>
      <c r="R3589" t="s">
        <v>19789</v>
      </c>
      <c r="W3589" t="s">
        <v>19787</v>
      </c>
      <c r="X3589" t="s">
        <v>6289</v>
      </c>
      <c r="Y3589" t="s">
        <v>240</v>
      </c>
      <c r="Z3589" t="s">
        <v>117</v>
      </c>
      <c r="AA3589" t="str">
        <f>"14221-8216"</f>
        <v>14221-8216</v>
      </c>
      <c r="AB3589" t="s">
        <v>118</v>
      </c>
      <c r="AC3589" t="s">
        <v>119</v>
      </c>
      <c r="AD3589" t="s">
        <v>113</v>
      </c>
      <c r="AE3589" t="s">
        <v>120</v>
      </c>
      <c r="AG3589" t="s">
        <v>121</v>
      </c>
    </row>
    <row r="3590" spans="1:33" x14ac:dyDescent="0.25">
      <c r="A3590" t="str">
        <f>"1881652238"</f>
        <v>1881652238</v>
      </c>
      <c r="B3590" t="str">
        <f>"02409052"</f>
        <v>02409052</v>
      </c>
      <c r="C3590" t="s">
        <v>19790</v>
      </c>
      <c r="D3590" t="s">
        <v>19791</v>
      </c>
      <c r="E3590" t="s">
        <v>19792</v>
      </c>
      <c r="G3590" t="s">
        <v>19793</v>
      </c>
      <c r="H3590" t="s">
        <v>213</v>
      </c>
      <c r="J3590" t="s">
        <v>19794</v>
      </c>
      <c r="L3590" t="s">
        <v>142</v>
      </c>
      <c r="M3590" t="s">
        <v>113</v>
      </c>
      <c r="R3590" t="s">
        <v>19795</v>
      </c>
      <c r="W3590" t="s">
        <v>19792</v>
      </c>
      <c r="X3590" t="s">
        <v>19796</v>
      </c>
      <c r="Y3590" t="s">
        <v>116</v>
      </c>
      <c r="Z3590" t="s">
        <v>117</v>
      </c>
      <c r="AA3590" t="str">
        <f>"14222-2099"</f>
        <v>14222-2099</v>
      </c>
      <c r="AB3590" t="s">
        <v>118</v>
      </c>
      <c r="AC3590" t="s">
        <v>119</v>
      </c>
      <c r="AD3590" t="s">
        <v>113</v>
      </c>
      <c r="AE3590" t="s">
        <v>120</v>
      </c>
      <c r="AG3590" t="s">
        <v>121</v>
      </c>
    </row>
    <row r="3591" spans="1:33" x14ac:dyDescent="0.25">
      <c r="A3591" t="str">
        <f>"1881658672"</f>
        <v>1881658672</v>
      </c>
      <c r="B3591" t="str">
        <f>"01423289"</f>
        <v>01423289</v>
      </c>
      <c r="C3591" t="s">
        <v>19797</v>
      </c>
      <c r="D3591" t="s">
        <v>19798</v>
      </c>
      <c r="E3591" t="s">
        <v>19799</v>
      </c>
      <c r="G3591" t="s">
        <v>19797</v>
      </c>
      <c r="H3591" t="s">
        <v>19800</v>
      </c>
      <c r="J3591" t="s">
        <v>19801</v>
      </c>
      <c r="L3591" t="s">
        <v>142</v>
      </c>
      <c r="M3591" t="s">
        <v>113</v>
      </c>
      <c r="R3591" t="s">
        <v>19802</v>
      </c>
      <c r="W3591" t="s">
        <v>19803</v>
      </c>
      <c r="X3591" t="s">
        <v>19804</v>
      </c>
      <c r="Y3591" t="s">
        <v>232</v>
      </c>
      <c r="Z3591" t="s">
        <v>117</v>
      </c>
      <c r="AA3591" t="str">
        <f>"10025"</f>
        <v>10025</v>
      </c>
      <c r="AB3591" t="s">
        <v>118</v>
      </c>
      <c r="AC3591" t="s">
        <v>119</v>
      </c>
      <c r="AD3591" t="s">
        <v>113</v>
      </c>
      <c r="AE3591" t="s">
        <v>120</v>
      </c>
      <c r="AG3591" t="s">
        <v>121</v>
      </c>
    </row>
    <row r="3592" spans="1:33" x14ac:dyDescent="0.25">
      <c r="A3592" t="str">
        <f>"1881659209"</f>
        <v>1881659209</v>
      </c>
      <c r="B3592" t="str">
        <f>"01561462"</f>
        <v>01561462</v>
      </c>
      <c r="C3592" t="s">
        <v>19805</v>
      </c>
      <c r="D3592" t="s">
        <v>19806</v>
      </c>
      <c r="E3592" t="s">
        <v>19807</v>
      </c>
      <c r="H3592" t="s">
        <v>19808</v>
      </c>
      <c r="L3592" t="s">
        <v>142</v>
      </c>
      <c r="M3592" t="s">
        <v>113</v>
      </c>
      <c r="R3592" t="s">
        <v>19809</v>
      </c>
      <c r="W3592" t="s">
        <v>19807</v>
      </c>
      <c r="X3592" t="s">
        <v>1353</v>
      </c>
      <c r="Y3592" t="s">
        <v>663</v>
      </c>
      <c r="Z3592" t="s">
        <v>117</v>
      </c>
      <c r="AA3592" t="str">
        <f>"14094-3201"</f>
        <v>14094-3201</v>
      </c>
      <c r="AB3592" t="s">
        <v>118</v>
      </c>
      <c r="AC3592" t="s">
        <v>119</v>
      </c>
      <c r="AD3592" t="s">
        <v>113</v>
      </c>
      <c r="AE3592" t="s">
        <v>120</v>
      </c>
      <c r="AG3592" t="s">
        <v>121</v>
      </c>
    </row>
    <row r="3593" spans="1:33" x14ac:dyDescent="0.25">
      <c r="A3593" t="str">
        <f>"1881659753"</f>
        <v>1881659753</v>
      </c>
      <c r="B3593" t="str">
        <f>"01153662"</f>
        <v>01153662</v>
      </c>
      <c r="C3593" t="s">
        <v>19810</v>
      </c>
      <c r="D3593" t="s">
        <v>19811</v>
      </c>
      <c r="E3593" t="s">
        <v>19812</v>
      </c>
      <c r="G3593" t="s">
        <v>19813</v>
      </c>
      <c r="H3593" t="s">
        <v>213</v>
      </c>
      <c r="J3593" t="s">
        <v>19814</v>
      </c>
      <c r="L3593" t="s">
        <v>112</v>
      </c>
      <c r="M3593" t="s">
        <v>113</v>
      </c>
      <c r="R3593" t="s">
        <v>19815</v>
      </c>
      <c r="W3593" t="s">
        <v>19812</v>
      </c>
      <c r="X3593" t="s">
        <v>216</v>
      </c>
      <c r="Y3593" t="s">
        <v>116</v>
      </c>
      <c r="Z3593" t="s">
        <v>117</v>
      </c>
      <c r="AA3593" t="str">
        <f>"14222-2006"</f>
        <v>14222-2006</v>
      </c>
      <c r="AB3593" t="s">
        <v>118</v>
      </c>
      <c r="AC3593" t="s">
        <v>119</v>
      </c>
      <c r="AD3593" t="s">
        <v>113</v>
      </c>
      <c r="AE3593" t="s">
        <v>120</v>
      </c>
      <c r="AG3593" t="s">
        <v>121</v>
      </c>
    </row>
    <row r="3594" spans="1:33" x14ac:dyDescent="0.25">
      <c r="A3594" t="str">
        <f>"1881660900"</f>
        <v>1881660900</v>
      </c>
      <c r="B3594" t="str">
        <f>"02741500"</f>
        <v>02741500</v>
      </c>
      <c r="C3594" t="s">
        <v>19816</v>
      </c>
      <c r="D3594" t="s">
        <v>19817</v>
      </c>
      <c r="E3594" t="s">
        <v>19818</v>
      </c>
      <c r="G3594" t="s">
        <v>19819</v>
      </c>
      <c r="H3594" t="s">
        <v>10825</v>
      </c>
      <c r="J3594" t="s">
        <v>6205</v>
      </c>
      <c r="L3594" t="s">
        <v>112</v>
      </c>
      <c r="M3594" t="s">
        <v>113</v>
      </c>
      <c r="R3594" t="s">
        <v>19820</v>
      </c>
      <c r="W3594" t="s">
        <v>19818</v>
      </c>
      <c r="X3594" t="s">
        <v>253</v>
      </c>
      <c r="Y3594" t="s">
        <v>116</v>
      </c>
      <c r="Z3594" t="s">
        <v>117</v>
      </c>
      <c r="AA3594" t="str">
        <f>"14215-3021"</f>
        <v>14215-3021</v>
      </c>
      <c r="AB3594" t="s">
        <v>118</v>
      </c>
      <c r="AC3594" t="s">
        <v>119</v>
      </c>
      <c r="AD3594" t="s">
        <v>113</v>
      </c>
      <c r="AE3594" t="s">
        <v>120</v>
      </c>
      <c r="AG3594" t="s">
        <v>121</v>
      </c>
    </row>
    <row r="3595" spans="1:33" x14ac:dyDescent="0.25">
      <c r="A3595" t="str">
        <f>"1881661635"</f>
        <v>1881661635</v>
      </c>
      <c r="B3595" t="str">
        <f>"02023072"</f>
        <v>02023072</v>
      </c>
      <c r="C3595" t="s">
        <v>19821</v>
      </c>
      <c r="D3595" t="s">
        <v>19822</v>
      </c>
      <c r="E3595" t="s">
        <v>19823</v>
      </c>
      <c r="G3595" t="s">
        <v>19824</v>
      </c>
      <c r="H3595" t="s">
        <v>579</v>
      </c>
      <c r="J3595" t="s">
        <v>19825</v>
      </c>
      <c r="L3595" t="s">
        <v>112</v>
      </c>
      <c r="M3595" t="s">
        <v>113</v>
      </c>
      <c r="R3595" t="s">
        <v>19826</v>
      </c>
      <c r="W3595" t="s">
        <v>19823</v>
      </c>
      <c r="X3595" t="s">
        <v>838</v>
      </c>
      <c r="Y3595" t="s">
        <v>240</v>
      </c>
      <c r="Z3595" t="s">
        <v>117</v>
      </c>
      <c r="AA3595" t="str">
        <f>"14221-3647"</f>
        <v>14221-3647</v>
      </c>
      <c r="AB3595" t="s">
        <v>118</v>
      </c>
      <c r="AC3595" t="s">
        <v>119</v>
      </c>
      <c r="AD3595" t="s">
        <v>113</v>
      </c>
      <c r="AE3595" t="s">
        <v>120</v>
      </c>
      <c r="AG3595" t="s">
        <v>121</v>
      </c>
    </row>
    <row r="3596" spans="1:33" x14ac:dyDescent="0.25">
      <c r="A3596" t="str">
        <f>"1881663144"</f>
        <v>1881663144</v>
      </c>
      <c r="B3596" t="str">
        <f>"02273178"</f>
        <v>02273178</v>
      </c>
      <c r="C3596" t="s">
        <v>19827</v>
      </c>
      <c r="D3596" t="s">
        <v>19828</v>
      </c>
      <c r="E3596" t="s">
        <v>19829</v>
      </c>
      <c r="G3596" t="s">
        <v>19827</v>
      </c>
      <c r="H3596" t="s">
        <v>19830</v>
      </c>
      <c r="J3596" t="s">
        <v>19831</v>
      </c>
      <c r="L3596" t="s">
        <v>150</v>
      </c>
      <c r="M3596" t="s">
        <v>113</v>
      </c>
      <c r="R3596" t="s">
        <v>19832</v>
      </c>
      <c r="W3596" t="s">
        <v>19829</v>
      </c>
      <c r="X3596" t="s">
        <v>2983</v>
      </c>
      <c r="Y3596" t="s">
        <v>318</v>
      </c>
      <c r="Z3596" t="s">
        <v>117</v>
      </c>
      <c r="AA3596" t="str">
        <f>"14225-4018"</f>
        <v>14225-4018</v>
      </c>
      <c r="AB3596" t="s">
        <v>118</v>
      </c>
      <c r="AC3596" t="s">
        <v>119</v>
      </c>
      <c r="AD3596" t="s">
        <v>113</v>
      </c>
      <c r="AE3596" t="s">
        <v>120</v>
      </c>
      <c r="AG3596" t="s">
        <v>121</v>
      </c>
    </row>
    <row r="3597" spans="1:33" x14ac:dyDescent="0.25">
      <c r="C3597" t="s">
        <v>19833</v>
      </c>
      <c r="G3597" t="s">
        <v>19834</v>
      </c>
      <c r="H3597" t="s">
        <v>19835</v>
      </c>
      <c r="J3597" t="s">
        <v>19836</v>
      </c>
      <c r="K3597" t="s">
        <v>303</v>
      </c>
      <c r="L3597" t="s">
        <v>3095</v>
      </c>
      <c r="M3597" t="s">
        <v>113</v>
      </c>
      <c r="N3597" t="s">
        <v>19837</v>
      </c>
      <c r="O3597" t="s">
        <v>3097</v>
      </c>
      <c r="P3597" t="s">
        <v>117</v>
      </c>
      <c r="Q3597" t="str">
        <f>"14209"</f>
        <v>14209</v>
      </c>
      <c r="AC3597" t="s">
        <v>119</v>
      </c>
      <c r="AD3597" t="s">
        <v>113</v>
      </c>
      <c r="AE3597" t="s">
        <v>3098</v>
      </c>
      <c r="AG3597" t="s">
        <v>121</v>
      </c>
    </row>
    <row r="3598" spans="1:33" x14ac:dyDescent="0.25">
      <c r="C3598" t="s">
        <v>19838</v>
      </c>
      <c r="G3598" t="s">
        <v>19839</v>
      </c>
      <c r="H3598" t="s">
        <v>19840</v>
      </c>
      <c r="J3598" t="s">
        <v>19841</v>
      </c>
      <c r="K3598" t="s">
        <v>303</v>
      </c>
      <c r="L3598" t="s">
        <v>3095</v>
      </c>
      <c r="M3598" t="s">
        <v>113</v>
      </c>
      <c r="N3598" t="s">
        <v>18749</v>
      </c>
      <c r="O3598" t="s">
        <v>3097</v>
      </c>
      <c r="P3598" t="s">
        <v>117</v>
      </c>
      <c r="Q3598" t="str">
        <f>"14214"</f>
        <v>14214</v>
      </c>
      <c r="AC3598" t="s">
        <v>119</v>
      </c>
      <c r="AD3598" t="s">
        <v>113</v>
      </c>
      <c r="AE3598" t="s">
        <v>3098</v>
      </c>
      <c r="AG3598" t="s">
        <v>121</v>
      </c>
    </row>
    <row r="3599" spans="1:33" x14ac:dyDescent="0.25">
      <c r="A3599" t="str">
        <f>"1447669742"</f>
        <v>1447669742</v>
      </c>
      <c r="C3599" t="s">
        <v>19842</v>
      </c>
      <c r="G3599" t="s">
        <v>19843</v>
      </c>
      <c r="H3599" t="s">
        <v>19844</v>
      </c>
      <c r="J3599" t="s">
        <v>19845</v>
      </c>
      <c r="K3599" t="s">
        <v>303</v>
      </c>
      <c r="L3599" t="s">
        <v>229</v>
      </c>
      <c r="M3599" t="s">
        <v>113</v>
      </c>
      <c r="R3599" t="s">
        <v>19846</v>
      </c>
      <c r="S3599" t="s">
        <v>19847</v>
      </c>
      <c r="T3599" t="s">
        <v>116</v>
      </c>
      <c r="U3599" t="s">
        <v>117</v>
      </c>
      <c r="V3599" t="str">
        <f>"142131801"</f>
        <v>142131801</v>
      </c>
      <c r="AC3599" t="s">
        <v>119</v>
      </c>
      <c r="AD3599" t="s">
        <v>113</v>
      </c>
      <c r="AE3599" t="s">
        <v>306</v>
      </c>
      <c r="AG3599" t="s">
        <v>121</v>
      </c>
    </row>
    <row r="3600" spans="1:33" x14ac:dyDescent="0.25">
      <c r="C3600" t="s">
        <v>19848</v>
      </c>
      <c r="G3600" t="s">
        <v>19843</v>
      </c>
      <c r="H3600" t="s">
        <v>19849</v>
      </c>
      <c r="J3600" t="s">
        <v>19845</v>
      </c>
      <c r="K3600" t="s">
        <v>303</v>
      </c>
      <c r="L3600" t="s">
        <v>3095</v>
      </c>
      <c r="M3600" t="s">
        <v>113</v>
      </c>
      <c r="N3600" t="s">
        <v>19850</v>
      </c>
      <c r="O3600" t="s">
        <v>3097</v>
      </c>
      <c r="P3600" t="s">
        <v>117</v>
      </c>
      <c r="Q3600" t="str">
        <f>"14213"</f>
        <v>14213</v>
      </c>
      <c r="AC3600" t="s">
        <v>119</v>
      </c>
      <c r="AD3600" t="s">
        <v>113</v>
      </c>
      <c r="AE3600" t="s">
        <v>3098</v>
      </c>
      <c r="AG3600" t="s">
        <v>121</v>
      </c>
    </row>
    <row r="3601" spans="1:33" x14ac:dyDescent="0.25">
      <c r="B3601" t="str">
        <f>"02702156"</f>
        <v>02702156</v>
      </c>
      <c r="C3601" t="s">
        <v>11679</v>
      </c>
      <c r="D3601" t="s">
        <v>11680</v>
      </c>
      <c r="E3601" t="s">
        <v>11679</v>
      </c>
      <c r="F3601">
        <v>160975538</v>
      </c>
      <c r="H3601" t="s">
        <v>1600</v>
      </c>
      <c r="L3601" t="s">
        <v>69</v>
      </c>
      <c r="M3601" t="s">
        <v>199</v>
      </c>
      <c r="W3601" t="s">
        <v>11679</v>
      </c>
      <c r="X3601" t="s">
        <v>11666</v>
      </c>
      <c r="Y3601" t="s">
        <v>240</v>
      </c>
      <c r="Z3601" t="s">
        <v>117</v>
      </c>
      <c r="AA3601" t="str">
        <f>"14221-3230"</f>
        <v>14221-3230</v>
      </c>
      <c r="AB3601" t="s">
        <v>291</v>
      </c>
      <c r="AC3601" t="s">
        <v>119</v>
      </c>
      <c r="AD3601" t="s">
        <v>113</v>
      </c>
      <c r="AE3601" t="s">
        <v>120</v>
      </c>
      <c r="AG3601" t="s">
        <v>121</v>
      </c>
    </row>
    <row r="3602" spans="1:33" x14ac:dyDescent="0.25">
      <c r="A3602" t="str">
        <f>"1003225319"</f>
        <v>1003225319</v>
      </c>
      <c r="C3602" t="s">
        <v>19855</v>
      </c>
      <c r="G3602" t="s">
        <v>19843</v>
      </c>
      <c r="J3602" t="s">
        <v>19845</v>
      </c>
      <c r="K3602" t="s">
        <v>303</v>
      </c>
      <c r="L3602" t="s">
        <v>229</v>
      </c>
      <c r="M3602" t="s">
        <v>113</v>
      </c>
      <c r="R3602" t="s">
        <v>19846</v>
      </c>
      <c r="S3602" t="s">
        <v>19856</v>
      </c>
      <c r="T3602" t="s">
        <v>116</v>
      </c>
      <c r="U3602" t="s">
        <v>117</v>
      </c>
      <c r="V3602" t="str">
        <f>"142091733"</f>
        <v>142091733</v>
      </c>
      <c r="AC3602" t="s">
        <v>119</v>
      </c>
      <c r="AD3602" t="s">
        <v>113</v>
      </c>
      <c r="AE3602" t="s">
        <v>306</v>
      </c>
      <c r="AG3602" t="s">
        <v>121</v>
      </c>
    </row>
    <row r="3603" spans="1:33" x14ac:dyDescent="0.25">
      <c r="A3603" t="str">
        <f>"1275942583"</f>
        <v>1275942583</v>
      </c>
      <c r="C3603" t="s">
        <v>19857</v>
      </c>
      <c r="G3603" t="s">
        <v>19843</v>
      </c>
      <c r="H3603" t="s">
        <v>19858</v>
      </c>
      <c r="J3603" t="s">
        <v>19845</v>
      </c>
      <c r="K3603" t="s">
        <v>303</v>
      </c>
      <c r="L3603" t="s">
        <v>229</v>
      </c>
      <c r="M3603" t="s">
        <v>113</v>
      </c>
      <c r="AC3603" t="s">
        <v>119</v>
      </c>
      <c r="AD3603" t="s">
        <v>113</v>
      </c>
      <c r="AE3603" t="s">
        <v>306</v>
      </c>
      <c r="AG3603" t="s">
        <v>121</v>
      </c>
    </row>
    <row r="3604" spans="1:33" x14ac:dyDescent="0.25">
      <c r="A3604" t="str">
        <f>"1891104113"</f>
        <v>1891104113</v>
      </c>
      <c r="C3604" t="s">
        <v>19859</v>
      </c>
      <c r="G3604" t="s">
        <v>19843</v>
      </c>
      <c r="H3604" t="s">
        <v>19860</v>
      </c>
      <c r="J3604" t="s">
        <v>19845</v>
      </c>
      <c r="K3604" t="s">
        <v>303</v>
      </c>
      <c r="L3604" t="s">
        <v>229</v>
      </c>
      <c r="M3604" t="s">
        <v>113</v>
      </c>
      <c r="R3604" t="s">
        <v>19846</v>
      </c>
      <c r="S3604" t="s">
        <v>19861</v>
      </c>
      <c r="T3604" t="s">
        <v>192</v>
      </c>
      <c r="U3604" t="s">
        <v>117</v>
      </c>
      <c r="V3604" t="str">
        <f>"140201227"</f>
        <v>140201227</v>
      </c>
      <c r="AC3604" t="s">
        <v>119</v>
      </c>
      <c r="AD3604" t="s">
        <v>113</v>
      </c>
      <c r="AE3604" t="s">
        <v>306</v>
      </c>
      <c r="AG3604" t="s">
        <v>121</v>
      </c>
    </row>
    <row r="3605" spans="1:33" x14ac:dyDescent="0.25">
      <c r="A3605" t="str">
        <f>"1225437387"</f>
        <v>1225437387</v>
      </c>
      <c r="C3605" t="s">
        <v>19862</v>
      </c>
      <c r="G3605" t="s">
        <v>19843</v>
      </c>
      <c r="H3605" t="s">
        <v>19863</v>
      </c>
      <c r="J3605" t="s">
        <v>19845</v>
      </c>
      <c r="K3605" t="s">
        <v>303</v>
      </c>
      <c r="L3605" t="s">
        <v>229</v>
      </c>
      <c r="M3605" t="s">
        <v>113</v>
      </c>
      <c r="AC3605" t="s">
        <v>119</v>
      </c>
      <c r="AD3605" t="s">
        <v>113</v>
      </c>
      <c r="AE3605" t="s">
        <v>306</v>
      </c>
      <c r="AG3605" t="s">
        <v>121</v>
      </c>
    </row>
    <row r="3606" spans="1:33" x14ac:dyDescent="0.25">
      <c r="A3606" t="str">
        <f>"1780093005"</f>
        <v>1780093005</v>
      </c>
      <c r="C3606" t="s">
        <v>19864</v>
      </c>
      <c r="G3606" t="s">
        <v>19843</v>
      </c>
      <c r="H3606" t="s">
        <v>19865</v>
      </c>
      <c r="J3606" t="s">
        <v>19845</v>
      </c>
      <c r="K3606" t="s">
        <v>303</v>
      </c>
      <c r="L3606" t="s">
        <v>229</v>
      </c>
      <c r="M3606" t="s">
        <v>113</v>
      </c>
      <c r="R3606" t="s">
        <v>19846</v>
      </c>
      <c r="S3606" t="s">
        <v>19866</v>
      </c>
      <c r="T3606" t="s">
        <v>116</v>
      </c>
      <c r="U3606" t="s">
        <v>117</v>
      </c>
      <c r="V3606" t="str">
        <f>"142121366"</f>
        <v>142121366</v>
      </c>
      <c r="AC3606" t="s">
        <v>119</v>
      </c>
      <c r="AD3606" t="s">
        <v>113</v>
      </c>
      <c r="AE3606" t="s">
        <v>306</v>
      </c>
      <c r="AG3606" t="s">
        <v>121</v>
      </c>
    </row>
    <row r="3607" spans="1:33" x14ac:dyDescent="0.25">
      <c r="A3607" t="str">
        <f>"1215346531"</f>
        <v>1215346531</v>
      </c>
      <c r="C3607" t="s">
        <v>19867</v>
      </c>
      <c r="G3607" t="s">
        <v>19843</v>
      </c>
      <c r="H3607" t="s">
        <v>19868</v>
      </c>
      <c r="J3607" t="s">
        <v>19845</v>
      </c>
      <c r="K3607" t="s">
        <v>303</v>
      </c>
      <c r="L3607" t="s">
        <v>229</v>
      </c>
      <c r="M3607" t="s">
        <v>113</v>
      </c>
      <c r="R3607" t="s">
        <v>19846</v>
      </c>
      <c r="S3607" t="s">
        <v>19869</v>
      </c>
      <c r="T3607" t="s">
        <v>14236</v>
      </c>
      <c r="U3607" t="s">
        <v>117</v>
      </c>
      <c r="V3607" t="str">
        <f>"140579526"</f>
        <v>140579526</v>
      </c>
      <c r="AC3607" t="s">
        <v>119</v>
      </c>
      <c r="AD3607" t="s">
        <v>113</v>
      </c>
      <c r="AE3607" t="s">
        <v>306</v>
      </c>
      <c r="AG3607" t="s">
        <v>121</v>
      </c>
    </row>
    <row r="3608" spans="1:33" x14ac:dyDescent="0.25">
      <c r="C3608" t="s">
        <v>19870</v>
      </c>
      <c r="G3608" t="s">
        <v>19871</v>
      </c>
      <c r="H3608" t="s">
        <v>19872</v>
      </c>
      <c r="J3608" t="s">
        <v>19873</v>
      </c>
      <c r="K3608" t="s">
        <v>303</v>
      </c>
      <c r="L3608" t="s">
        <v>3095</v>
      </c>
      <c r="M3608" t="s">
        <v>113</v>
      </c>
      <c r="N3608" t="s">
        <v>19874</v>
      </c>
      <c r="O3608" t="s">
        <v>3097</v>
      </c>
      <c r="P3608" t="s">
        <v>117</v>
      </c>
      <c r="Q3608" t="str">
        <f>"14214"</f>
        <v>14214</v>
      </c>
      <c r="AC3608" t="s">
        <v>119</v>
      </c>
      <c r="AD3608" t="s">
        <v>113</v>
      </c>
      <c r="AE3608" t="s">
        <v>3098</v>
      </c>
      <c r="AG3608" t="s">
        <v>121</v>
      </c>
    </row>
    <row r="3609" spans="1:33" x14ac:dyDescent="0.25">
      <c r="C3609" t="s">
        <v>19875</v>
      </c>
      <c r="G3609" t="s">
        <v>19876</v>
      </c>
      <c r="H3609" t="s">
        <v>19877</v>
      </c>
      <c r="I3609">
        <v>7168334019</v>
      </c>
      <c r="J3609" t="s">
        <v>19878</v>
      </c>
      <c r="K3609" t="s">
        <v>303</v>
      </c>
      <c r="L3609" t="s">
        <v>3095</v>
      </c>
      <c r="M3609" t="s">
        <v>113</v>
      </c>
      <c r="N3609" t="s">
        <v>19879</v>
      </c>
      <c r="O3609" t="s">
        <v>19880</v>
      </c>
      <c r="P3609" t="s">
        <v>117</v>
      </c>
      <c r="Q3609" t="str">
        <f>"14226"</f>
        <v>14226</v>
      </c>
      <c r="AC3609" t="s">
        <v>119</v>
      </c>
      <c r="AD3609" t="s">
        <v>113</v>
      </c>
      <c r="AE3609" t="s">
        <v>3098</v>
      </c>
      <c r="AG3609" t="s">
        <v>121</v>
      </c>
    </row>
    <row r="3610" spans="1:33" x14ac:dyDescent="0.25">
      <c r="C3610" t="s">
        <v>19881</v>
      </c>
      <c r="G3610" t="s">
        <v>19882</v>
      </c>
      <c r="H3610" t="s">
        <v>19883</v>
      </c>
      <c r="J3610" t="s">
        <v>19884</v>
      </c>
      <c r="K3610" t="s">
        <v>303</v>
      </c>
      <c r="L3610" t="s">
        <v>3095</v>
      </c>
      <c r="M3610" t="s">
        <v>113</v>
      </c>
      <c r="N3610" t="s">
        <v>19885</v>
      </c>
      <c r="O3610" t="s">
        <v>18942</v>
      </c>
      <c r="P3610" t="s">
        <v>117</v>
      </c>
      <c r="Q3610" t="str">
        <f>"14304"</f>
        <v>14304</v>
      </c>
      <c r="AC3610" t="s">
        <v>119</v>
      </c>
      <c r="AD3610" t="s">
        <v>113</v>
      </c>
      <c r="AE3610" t="s">
        <v>3098</v>
      </c>
      <c r="AG3610" t="s">
        <v>121</v>
      </c>
    </row>
    <row r="3611" spans="1:33" x14ac:dyDescent="0.25">
      <c r="C3611" t="s">
        <v>19886</v>
      </c>
      <c r="G3611" t="s">
        <v>19887</v>
      </c>
      <c r="H3611" t="s">
        <v>19888</v>
      </c>
      <c r="J3611" t="s">
        <v>19889</v>
      </c>
      <c r="K3611" t="s">
        <v>303</v>
      </c>
      <c r="L3611" t="s">
        <v>3095</v>
      </c>
      <c r="M3611" t="s">
        <v>113</v>
      </c>
      <c r="N3611" t="s">
        <v>19890</v>
      </c>
      <c r="O3611" t="s">
        <v>19891</v>
      </c>
      <c r="P3611" t="s">
        <v>117</v>
      </c>
      <c r="Q3611" t="str">
        <f>"14895"</f>
        <v>14895</v>
      </c>
      <c r="AC3611" t="s">
        <v>119</v>
      </c>
      <c r="AD3611" t="s">
        <v>113</v>
      </c>
      <c r="AE3611" t="s">
        <v>3098</v>
      </c>
      <c r="AG3611" t="s">
        <v>121</v>
      </c>
    </row>
    <row r="3612" spans="1:33" x14ac:dyDescent="0.25">
      <c r="C3612" t="s">
        <v>19892</v>
      </c>
      <c r="G3612" t="s">
        <v>19893</v>
      </c>
      <c r="H3612" t="s">
        <v>19894</v>
      </c>
      <c r="J3612" t="s">
        <v>19895</v>
      </c>
      <c r="K3612" t="s">
        <v>303</v>
      </c>
      <c r="L3612" t="s">
        <v>3095</v>
      </c>
      <c r="M3612" t="s">
        <v>113</v>
      </c>
      <c r="N3612" t="s">
        <v>19896</v>
      </c>
      <c r="O3612" t="s">
        <v>3097</v>
      </c>
      <c r="P3612" t="s">
        <v>117</v>
      </c>
      <c r="Q3612" t="str">
        <f>"14201"</f>
        <v>14201</v>
      </c>
      <c r="AC3612" t="s">
        <v>119</v>
      </c>
      <c r="AD3612" t="s">
        <v>113</v>
      </c>
      <c r="AE3612" t="s">
        <v>3098</v>
      </c>
      <c r="AG3612" t="s">
        <v>121</v>
      </c>
    </row>
    <row r="3613" spans="1:33" x14ac:dyDescent="0.25">
      <c r="C3613" t="s">
        <v>19897</v>
      </c>
      <c r="G3613" t="s">
        <v>19898</v>
      </c>
      <c r="H3613" t="s">
        <v>19899</v>
      </c>
      <c r="I3613">
        <v>201</v>
      </c>
      <c r="J3613" t="s">
        <v>19900</v>
      </c>
      <c r="K3613" t="s">
        <v>303</v>
      </c>
      <c r="L3613" t="s">
        <v>3095</v>
      </c>
      <c r="M3613" t="s">
        <v>113</v>
      </c>
      <c r="N3613" t="s">
        <v>19901</v>
      </c>
      <c r="O3613" t="s">
        <v>3097</v>
      </c>
      <c r="P3613" t="s">
        <v>117</v>
      </c>
      <c r="Q3613" t="str">
        <f>"14203"</f>
        <v>14203</v>
      </c>
      <c r="AC3613" t="s">
        <v>119</v>
      </c>
      <c r="AD3613" t="s">
        <v>113</v>
      </c>
      <c r="AE3613" t="s">
        <v>3098</v>
      </c>
      <c r="AG3613" t="s">
        <v>121</v>
      </c>
    </row>
    <row r="3614" spans="1:33" x14ac:dyDescent="0.25">
      <c r="C3614" t="s">
        <v>19902</v>
      </c>
      <c r="G3614" t="s">
        <v>19903</v>
      </c>
      <c r="H3614" t="s">
        <v>19904</v>
      </c>
      <c r="J3614" t="s">
        <v>19905</v>
      </c>
      <c r="K3614" t="s">
        <v>303</v>
      </c>
      <c r="L3614" t="s">
        <v>3095</v>
      </c>
      <c r="M3614" t="s">
        <v>113</v>
      </c>
      <c r="N3614" t="s">
        <v>19906</v>
      </c>
      <c r="O3614" t="s">
        <v>19907</v>
      </c>
      <c r="P3614" t="s">
        <v>117</v>
      </c>
      <c r="Q3614" t="str">
        <f>"14569"</f>
        <v>14569</v>
      </c>
      <c r="AC3614" t="s">
        <v>119</v>
      </c>
      <c r="AD3614" t="s">
        <v>113</v>
      </c>
      <c r="AE3614" t="s">
        <v>3098</v>
      </c>
      <c r="AG3614" t="s">
        <v>121</v>
      </c>
    </row>
    <row r="3615" spans="1:33" x14ac:dyDescent="0.25">
      <c r="C3615" t="s">
        <v>19908</v>
      </c>
      <c r="G3615" t="s">
        <v>19909</v>
      </c>
      <c r="H3615" t="s">
        <v>19910</v>
      </c>
      <c r="J3615" t="s">
        <v>19911</v>
      </c>
      <c r="K3615" t="s">
        <v>303</v>
      </c>
      <c r="L3615" t="s">
        <v>3095</v>
      </c>
      <c r="M3615" t="s">
        <v>113</v>
      </c>
      <c r="N3615" t="s">
        <v>19912</v>
      </c>
      <c r="O3615" t="s">
        <v>3097</v>
      </c>
      <c r="P3615" t="s">
        <v>117</v>
      </c>
      <c r="Q3615" t="str">
        <f>"14215"</f>
        <v>14215</v>
      </c>
      <c r="AC3615" t="s">
        <v>119</v>
      </c>
      <c r="AD3615" t="s">
        <v>113</v>
      </c>
      <c r="AE3615" t="s">
        <v>3098</v>
      </c>
      <c r="AG3615" t="s">
        <v>121</v>
      </c>
    </row>
    <row r="3616" spans="1:33" x14ac:dyDescent="0.25">
      <c r="C3616" t="s">
        <v>19913</v>
      </c>
      <c r="G3616" t="s">
        <v>19914</v>
      </c>
      <c r="H3616" t="s">
        <v>19915</v>
      </c>
      <c r="J3616" t="s">
        <v>19916</v>
      </c>
      <c r="K3616" t="s">
        <v>303</v>
      </c>
      <c r="L3616" t="s">
        <v>3095</v>
      </c>
      <c r="M3616" t="s">
        <v>113</v>
      </c>
      <c r="N3616" t="s">
        <v>19917</v>
      </c>
      <c r="O3616" t="s">
        <v>18806</v>
      </c>
      <c r="P3616" t="s">
        <v>117</v>
      </c>
      <c r="Q3616" t="str">
        <f>"14052"</f>
        <v>14052</v>
      </c>
      <c r="AC3616" t="s">
        <v>119</v>
      </c>
      <c r="AD3616" t="s">
        <v>113</v>
      </c>
      <c r="AE3616" t="s">
        <v>3098</v>
      </c>
      <c r="AG3616" t="s">
        <v>121</v>
      </c>
    </row>
    <row r="3617" spans="1:33" x14ac:dyDescent="0.25">
      <c r="C3617" t="s">
        <v>19918</v>
      </c>
      <c r="G3617" t="s">
        <v>19919</v>
      </c>
      <c r="H3617" t="s">
        <v>19920</v>
      </c>
      <c r="J3617" t="s">
        <v>19921</v>
      </c>
      <c r="K3617" t="s">
        <v>303</v>
      </c>
      <c r="L3617" t="s">
        <v>3095</v>
      </c>
      <c r="M3617" t="s">
        <v>113</v>
      </c>
      <c r="N3617" t="s">
        <v>19922</v>
      </c>
      <c r="O3617" t="s">
        <v>3097</v>
      </c>
      <c r="P3617" t="s">
        <v>117</v>
      </c>
      <c r="Q3617" t="str">
        <f>"14201"</f>
        <v>14201</v>
      </c>
      <c r="AC3617" t="s">
        <v>119</v>
      </c>
      <c r="AD3617" t="s">
        <v>113</v>
      </c>
      <c r="AE3617" t="s">
        <v>3098</v>
      </c>
      <c r="AG3617" t="s">
        <v>121</v>
      </c>
    </row>
    <row r="3618" spans="1:33" x14ac:dyDescent="0.25">
      <c r="C3618" t="s">
        <v>19923</v>
      </c>
      <c r="G3618" t="s">
        <v>19924</v>
      </c>
      <c r="H3618" t="s">
        <v>19925</v>
      </c>
      <c r="J3618" t="s">
        <v>19926</v>
      </c>
      <c r="K3618" t="s">
        <v>303</v>
      </c>
      <c r="L3618" t="s">
        <v>3095</v>
      </c>
      <c r="M3618" t="s">
        <v>113</v>
      </c>
      <c r="N3618" t="s">
        <v>19927</v>
      </c>
      <c r="O3618" t="s">
        <v>3097</v>
      </c>
      <c r="P3618" t="s">
        <v>117</v>
      </c>
      <c r="Q3618" t="str">
        <f>"14211"</f>
        <v>14211</v>
      </c>
      <c r="AC3618" t="s">
        <v>119</v>
      </c>
      <c r="AD3618" t="s">
        <v>113</v>
      </c>
      <c r="AE3618" t="s">
        <v>3098</v>
      </c>
      <c r="AG3618" t="s">
        <v>121</v>
      </c>
    </row>
    <row r="3619" spans="1:33" x14ac:dyDescent="0.25">
      <c r="C3619" t="s">
        <v>19928</v>
      </c>
      <c r="G3619" t="s">
        <v>19929</v>
      </c>
      <c r="H3619" t="s">
        <v>19930</v>
      </c>
      <c r="J3619" t="s">
        <v>19931</v>
      </c>
      <c r="K3619" t="s">
        <v>303</v>
      </c>
      <c r="L3619" t="s">
        <v>3095</v>
      </c>
      <c r="M3619" t="s">
        <v>113</v>
      </c>
      <c r="N3619" t="s">
        <v>19932</v>
      </c>
      <c r="O3619" t="s">
        <v>3097</v>
      </c>
      <c r="P3619" t="s">
        <v>117</v>
      </c>
      <c r="Q3619" t="str">
        <f>"14211"</f>
        <v>14211</v>
      </c>
      <c r="AC3619" t="s">
        <v>119</v>
      </c>
      <c r="AD3619" t="s">
        <v>113</v>
      </c>
      <c r="AE3619" t="s">
        <v>3098</v>
      </c>
      <c r="AG3619" t="s">
        <v>121</v>
      </c>
    </row>
    <row r="3620" spans="1:33" x14ac:dyDescent="0.25">
      <c r="C3620" t="s">
        <v>19933</v>
      </c>
      <c r="G3620" t="s">
        <v>19934</v>
      </c>
      <c r="H3620" t="s">
        <v>19935</v>
      </c>
      <c r="J3620" t="s">
        <v>19936</v>
      </c>
      <c r="K3620" t="s">
        <v>303</v>
      </c>
      <c r="L3620" t="s">
        <v>3095</v>
      </c>
      <c r="M3620" t="s">
        <v>113</v>
      </c>
      <c r="N3620" t="s">
        <v>19937</v>
      </c>
      <c r="O3620" t="s">
        <v>3097</v>
      </c>
      <c r="P3620" t="s">
        <v>117</v>
      </c>
      <c r="Q3620" t="str">
        <f>"14202"</f>
        <v>14202</v>
      </c>
      <c r="AC3620" t="s">
        <v>119</v>
      </c>
      <c r="AD3620" t="s">
        <v>113</v>
      </c>
      <c r="AE3620" t="s">
        <v>3098</v>
      </c>
      <c r="AG3620" t="s">
        <v>121</v>
      </c>
    </row>
    <row r="3621" spans="1:33" x14ac:dyDescent="0.25">
      <c r="C3621" t="s">
        <v>19938</v>
      </c>
      <c r="G3621" t="s">
        <v>19939</v>
      </c>
      <c r="H3621" t="s">
        <v>19940</v>
      </c>
      <c r="J3621" t="s">
        <v>19941</v>
      </c>
      <c r="K3621" t="s">
        <v>303</v>
      </c>
      <c r="L3621" t="s">
        <v>3095</v>
      </c>
      <c r="M3621" t="s">
        <v>113</v>
      </c>
      <c r="N3621" t="s">
        <v>19942</v>
      </c>
      <c r="O3621" t="s">
        <v>19943</v>
      </c>
      <c r="P3621" t="s">
        <v>117</v>
      </c>
      <c r="Q3621" t="str">
        <f>"14760"</f>
        <v>14760</v>
      </c>
      <c r="AC3621" t="s">
        <v>119</v>
      </c>
      <c r="AD3621" t="s">
        <v>113</v>
      </c>
      <c r="AE3621" t="s">
        <v>3098</v>
      </c>
      <c r="AG3621" t="s">
        <v>121</v>
      </c>
    </row>
    <row r="3622" spans="1:33" x14ac:dyDescent="0.25">
      <c r="C3622" t="s">
        <v>19944</v>
      </c>
      <c r="G3622" t="s">
        <v>19939</v>
      </c>
      <c r="H3622" t="s">
        <v>19940</v>
      </c>
      <c r="J3622" t="s">
        <v>19941</v>
      </c>
      <c r="K3622" t="s">
        <v>303</v>
      </c>
      <c r="L3622" t="s">
        <v>3095</v>
      </c>
      <c r="M3622" t="s">
        <v>113</v>
      </c>
      <c r="N3622" t="s">
        <v>19942</v>
      </c>
      <c r="O3622" t="s">
        <v>19943</v>
      </c>
      <c r="P3622" t="s">
        <v>117</v>
      </c>
      <c r="Q3622" t="str">
        <f>"14760"</f>
        <v>14760</v>
      </c>
      <c r="AC3622" t="s">
        <v>119</v>
      </c>
      <c r="AD3622" t="s">
        <v>113</v>
      </c>
      <c r="AE3622" t="s">
        <v>3098</v>
      </c>
      <c r="AG3622" t="s">
        <v>121</v>
      </c>
    </row>
    <row r="3623" spans="1:33" x14ac:dyDescent="0.25">
      <c r="C3623" t="s">
        <v>19945</v>
      </c>
      <c r="G3623" t="s">
        <v>19939</v>
      </c>
      <c r="H3623" t="s">
        <v>19940</v>
      </c>
      <c r="J3623" t="s">
        <v>19941</v>
      </c>
      <c r="K3623" t="s">
        <v>303</v>
      </c>
      <c r="L3623" t="s">
        <v>3095</v>
      </c>
      <c r="M3623" t="s">
        <v>113</v>
      </c>
      <c r="N3623" t="s">
        <v>19942</v>
      </c>
      <c r="O3623" t="s">
        <v>19943</v>
      </c>
      <c r="P3623" t="s">
        <v>117</v>
      </c>
      <c r="Q3623" t="str">
        <f>"14760"</f>
        <v>14760</v>
      </c>
      <c r="AC3623" t="s">
        <v>119</v>
      </c>
      <c r="AD3623" t="s">
        <v>113</v>
      </c>
      <c r="AE3623" t="s">
        <v>3098</v>
      </c>
      <c r="AG3623" t="s">
        <v>121</v>
      </c>
    </row>
    <row r="3624" spans="1:33" x14ac:dyDescent="0.25">
      <c r="C3624" t="s">
        <v>19946</v>
      </c>
      <c r="G3624" t="s">
        <v>19939</v>
      </c>
      <c r="H3624" t="s">
        <v>19940</v>
      </c>
      <c r="J3624" t="s">
        <v>19941</v>
      </c>
      <c r="K3624" t="s">
        <v>303</v>
      </c>
      <c r="L3624" t="s">
        <v>3095</v>
      </c>
      <c r="M3624" t="s">
        <v>113</v>
      </c>
      <c r="N3624" t="s">
        <v>19942</v>
      </c>
      <c r="O3624" t="s">
        <v>19943</v>
      </c>
      <c r="P3624" t="s">
        <v>117</v>
      </c>
      <c r="Q3624" t="str">
        <f>"14760"</f>
        <v>14760</v>
      </c>
      <c r="AC3624" t="s">
        <v>119</v>
      </c>
      <c r="AD3624" t="s">
        <v>113</v>
      </c>
      <c r="AE3624" t="s">
        <v>3098</v>
      </c>
      <c r="AG3624" t="s">
        <v>121</v>
      </c>
    </row>
    <row r="3625" spans="1:33" x14ac:dyDescent="0.25">
      <c r="C3625" t="s">
        <v>19947</v>
      </c>
      <c r="G3625" t="s">
        <v>19948</v>
      </c>
      <c r="H3625" t="s">
        <v>19949</v>
      </c>
      <c r="J3625" t="s">
        <v>19950</v>
      </c>
      <c r="K3625" t="s">
        <v>303</v>
      </c>
      <c r="L3625" t="s">
        <v>3095</v>
      </c>
      <c r="M3625" t="s">
        <v>113</v>
      </c>
      <c r="N3625" t="s">
        <v>19951</v>
      </c>
      <c r="O3625" t="s">
        <v>3097</v>
      </c>
      <c r="P3625" t="s">
        <v>117</v>
      </c>
      <c r="Q3625" t="str">
        <f>"14215"</f>
        <v>14215</v>
      </c>
      <c r="AC3625" t="s">
        <v>119</v>
      </c>
      <c r="AD3625" t="s">
        <v>113</v>
      </c>
      <c r="AE3625" t="s">
        <v>3098</v>
      </c>
      <c r="AG3625" t="s">
        <v>121</v>
      </c>
    </row>
    <row r="3626" spans="1:33" x14ac:dyDescent="0.25">
      <c r="C3626" t="s">
        <v>19952</v>
      </c>
      <c r="G3626" t="s">
        <v>19953</v>
      </c>
      <c r="H3626" t="s">
        <v>19954</v>
      </c>
      <c r="J3626" t="s">
        <v>19955</v>
      </c>
      <c r="K3626" t="s">
        <v>303</v>
      </c>
      <c r="L3626" t="s">
        <v>3095</v>
      </c>
      <c r="M3626" t="s">
        <v>113</v>
      </c>
      <c r="N3626" t="s">
        <v>19956</v>
      </c>
      <c r="O3626" t="s">
        <v>3097</v>
      </c>
      <c r="P3626" t="s">
        <v>117</v>
      </c>
      <c r="Q3626" t="str">
        <f>"14209"</f>
        <v>14209</v>
      </c>
      <c r="AC3626" t="s">
        <v>119</v>
      </c>
      <c r="AD3626" t="s">
        <v>113</v>
      </c>
      <c r="AE3626" t="s">
        <v>3098</v>
      </c>
      <c r="AG3626" t="s">
        <v>121</v>
      </c>
    </row>
    <row r="3627" spans="1:33" x14ac:dyDescent="0.25">
      <c r="C3627" t="s">
        <v>19957</v>
      </c>
      <c r="G3627" t="s">
        <v>19958</v>
      </c>
      <c r="H3627" t="s">
        <v>19959</v>
      </c>
      <c r="J3627" t="s">
        <v>19960</v>
      </c>
      <c r="K3627" t="s">
        <v>303</v>
      </c>
      <c r="L3627" t="s">
        <v>3095</v>
      </c>
      <c r="M3627" t="s">
        <v>113</v>
      </c>
      <c r="N3627" t="s">
        <v>19961</v>
      </c>
      <c r="O3627" t="s">
        <v>3097</v>
      </c>
      <c r="P3627" t="s">
        <v>117</v>
      </c>
      <c r="Q3627" t="str">
        <f>"14215"</f>
        <v>14215</v>
      </c>
      <c r="AC3627" t="s">
        <v>119</v>
      </c>
      <c r="AD3627" t="s">
        <v>113</v>
      </c>
      <c r="AE3627" t="s">
        <v>3098</v>
      </c>
      <c r="AG3627" t="s">
        <v>121</v>
      </c>
    </row>
    <row r="3628" spans="1:33" x14ac:dyDescent="0.25">
      <c r="C3628" t="s">
        <v>19962</v>
      </c>
      <c r="G3628" t="s">
        <v>19958</v>
      </c>
      <c r="H3628" t="s">
        <v>19959</v>
      </c>
      <c r="J3628" t="s">
        <v>19960</v>
      </c>
      <c r="K3628" t="s">
        <v>303</v>
      </c>
      <c r="L3628" t="s">
        <v>3095</v>
      </c>
      <c r="M3628" t="s">
        <v>113</v>
      </c>
      <c r="N3628" t="s">
        <v>19961</v>
      </c>
      <c r="O3628" t="s">
        <v>3097</v>
      </c>
      <c r="P3628" t="s">
        <v>117</v>
      </c>
      <c r="Q3628" t="str">
        <f>"14215"</f>
        <v>14215</v>
      </c>
      <c r="AC3628" t="s">
        <v>119</v>
      </c>
      <c r="AD3628" t="s">
        <v>113</v>
      </c>
      <c r="AE3628" t="s">
        <v>3098</v>
      </c>
      <c r="AG3628" t="s">
        <v>121</v>
      </c>
    </row>
    <row r="3629" spans="1:33" x14ac:dyDescent="0.25">
      <c r="C3629" t="s">
        <v>19963</v>
      </c>
      <c r="G3629" t="s">
        <v>19958</v>
      </c>
      <c r="H3629" t="s">
        <v>19959</v>
      </c>
      <c r="J3629" t="s">
        <v>19960</v>
      </c>
      <c r="K3629" t="s">
        <v>303</v>
      </c>
      <c r="L3629" t="s">
        <v>3095</v>
      </c>
      <c r="M3629" t="s">
        <v>113</v>
      </c>
      <c r="N3629" t="s">
        <v>19961</v>
      </c>
      <c r="O3629" t="s">
        <v>3097</v>
      </c>
      <c r="P3629" t="s">
        <v>117</v>
      </c>
      <c r="Q3629" t="str">
        <f>"14215"</f>
        <v>14215</v>
      </c>
      <c r="AC3629" t="s">
        <v>119</v>
      </c>
      <c r="AD3629" t="s">
        <v>113</v>
      </c>
      <c r="AE3629" t="s">
        <v>3098</v>
      </c>
      <c r="AG3629" t="s">
        <v>121</v>
      </c>
    </row>
    <row r="3630" spans="1:33" x14ac:dyDescent="0.25">
      <c r="C3630" t="s">
        <v>19964</v>
      </c>
      <c r="G3630" t="s">
        <v>19965</v>
      </c>
      <c r="H3630" t="s">
        <v>19966</v>
      </c>
      <c r="J3630" t="s">
        <v>19967</v>
      </c>
      <c r="K3630" t="s">
        <v>303</v>
      </c>
      <c r="L3630" t="s">
        <v>3095</v>
      </c>
      <c r="M3630" t="s">
        <v>113</v>
      </c>
      <c r="N3630" t="s">
        <v>19968</v>
      </c>
      <c r="O3630" t="s">
        <v>3097</v>
      </c>
      <c r="P3630" t="s">
        <v>117</v>
      </c>
      <c r="Q3630" t="str">
        <f>"14209"</f>
        <v>14209</v>
      </c>
      <c r="AC3630" t="s">
        <v>119</v>
      </c>
      <c r="AD3630" t="s">
        <v>113</v>
      </c>
      <c r="AE3630" t="s">
        <v>3098</v>
      </c>
      <c r="AG3630" t="s">
        <v>121</v>
      </c>
    </row>
    <row r="3631" spans="1:33" x14ac:dyDescent="0.25">
      <c r="A3631" t="str">
        <f>"1861417131"</f>
        <v>1861417131</v>
      </c>
      <c r="B3631" t="str">
        <f>"03500901"</f>
        <v>03500901</v>
      </c>
      <c r="C3631" t="s">
        <v>19969</v>
      </c>
      <c r="D3631" t="s">
        <v>19970</v>
      </c>
      <c r="E3631" t="s">
        <v>19971</v>
      </c>
      <c r="G3631" t="s">
        <v>19972</v>
      </c>
      <c r="H3631" t="s">
        <v>1700</v>
      </c>
      <c r="J3631" t="s">
        <v>19973</v>
      </c>
      <c r="L3631" t="s">
        <v>112</v>
      </c>
      <c r="M3631" t="s">
        <v>113</v>
      </c>
      <c r="R3631" t="s">
        <v>19974</v>
      </c>
      <c r="W3631" t="s">
        <v>19971</v>
      </c>
      <c r="X3631" t="s">
        <v>1703</v>
      </c>
      <c r="Y3631" t="s">
        <v>116</v>
      </c>
      <c r="Z3631" t="s">
        <v>117</v>
      </c>
      <c r="AA3631" t="str">
        <f>"14209-2013"</f>
        <v>14209-2013</v>
      </c>
      <c r="AB3631" t="s">
        <v>621</v>
      </c>
      <c r="AC3631" t="s">
        <v>119</v>
      </c>
      <c r="AD3631" t="s">
        <v>113</v>
      </c>
      <c r="AE3631" t="s">
        <v>120</v>
      </c>
      <c r="AG3631" t="s">
        <v>121</v>
      </c>
    </row>
    <row r="3632" spans="1:33" x14ac:dyDescent="0.25">
      <c r="A3632" t="str">
        <f>"1861437014"</f>
        <v>1861437014</v>
      </c>
      <c r="B3632" t="str">
        <f>"00901400"</f>
        <v>00901400</v>
      </c>
      <c r="C3632" t="s">
        <v>19975</v>
      </c>
      <c r="D3632" t="s">
        <v>19976</v>
      </c>
      <c r="E3632" t="s">
        <v>19977</v>
      </c>
      <c r="G3632" t="s">
        <v>4784</v>
      </c>
      <c r="H3632" t="s">
        <v>19978</v>
      </c>
      <c r="J3632" t="s">
        <v>19979</v>
      </c>
      <c r="L3632" t="s">
        <v>112</v>
      </c>
      <c r="M3632" t="s">
        <v>113</v>
      </c>
      <c r="R3632" t="s">
        <v>19980</v>
      </c>
      <c r="W3632" t="s">
        <v>19981</v>
      </c>
      <c r="X3632" t="s">
        <v>4789</v>
      </c>
      <c r="Y3632" t="s">
        <v>153</v>
      </c>
      <c r="Z3632" t="s">
        <v>117</v>
      </c>
      <c r="AA3632" t="str">
        <f>"14301-1014"</f>
        <v>14301-1014</v>
      </c>
      <c r="AB3632" t="s">
        <v>634</v>
      </c>
      <c r="AC3632" t="s">
        <v>119</v>
      </c>
      <c r="AD3632" t="s">
        <v>113</v>
      </c>
      <c r="AE3632" t="s">
        <v>120</v>
      </c>
      <c r="AG3632" t="s">
        <v>121</v>
      </c>
    </row>
    <row r="3633" spans="1:33" x14ac:dyDescent="0.25">
      <c r="A3633" t="str">
        <f>"1861439879"</f>
        <v>1861439879</v>
      </c>
      <c r="B3633" t="str">
        <f>"02335371"</f>
        <v>02335371</v>
      </c>
      <c r="C3633" t="s">
        <v>19982</v>
      </c>
      <c r="D3633" t="s">
        <v>19983</v>
      </c>
      <c r="E3633" t="s">
        <v>19984</v>
      </c>
      <c r="H3633" t="s">
        <v>19985</v>
      </c>
      <c r="L3633" t="s">
        <v>150</v>
      </c>
      <c r="M3633" t="s">
        <v>113</v>
      </c>
      <c r="R3633" t="s">
        <v>19986</v>
      </c>
      <c r="W3633" t="s">
        <v>19984</v>
      </c>
      <c r="X3633" t="s">
        <v>19987</v>
      </c>
      <c r="Y3633" t="s">
        <v>362</v>
      </c>
      <c r="Z3633" t="s">
        <v>117</v>
      </c>
      <c r="AA3633" t="str">
        <f>"14108-1203"</f>
        <v>14108-1203</v>
      </c>
      <c r="AB3633" t="s">
        <v>118</v>
      </c>
      <c r="AC3633" t="s">
        <v>119</v>
      </c>
      <c r="AD3633" t="s">
        <v>113</v>
      </c>
      <c r="AE3633" t="s">
        <v>120</v>
      </c>
      <c r="AG3633" t="s">
        <v>121</v>
      </c>
    </row>
    <row r="3634" spans="1:33" x14ac:dyDescent="0.25">
      <c r="A3634" t="str">
        <f>"1861440711"</f>
        <v>1861440711</v>
      </c>
      <c r="B3634" t="str">
        <f>"01359017"</f>
        <v>01359017</v>
      </c>
      <c r="C3634" t="s">
        <v>19988</v>
      </c>
      <c r="D3634" t="s">
        <v>19989</v>
      </c>
      <c r="E3634" t="s">
        <v>19990</v>
      </c>
      <c r="G3634" t="s">
        <v>19988</v>
      </c>
      <c r="H3634" t="s">
        <v>14733</v>
      </c>
      <c r="J3634" t="s">
        <v>19991</v>
      </c>
      <c r="L3634" t="s">
        <v>150</v>
      </c>
      <c r="M3634" t="s">
        <v>199</v>
      </c>
      <c r="R3634" t="s">
        <v>19992</v>
      </c>
      <c r="W3634" t="s">
        <v>19990</v>
      </c>
      <c r="X3634" t="s">
        <v>19993</v>
      </c>
      <c r="Y3634" t="s">
        <v>116</v>
      </c>
      <c r="Z3634" t="s">
        <v>117</v>
      </c>
      <c r="AA3634" t="str">
        <f>"14201-2135"</f>
        <v>14201-2135</v>
      </c>
      <c r="AB3634" t="s">
        <v>118</v>
      </c>
      <c r="AC3634" t="s">
        <v>119</v>
      </c>
      <c r="AD3634" t="s">
        <v>113</v>
      </c>
      <c r="AE3634" t="s">
        <v>120</v>
      </c>
      <c r="AG3634" t="s">
        <v>121</v>
      </c>
    </row>
    <row r="3635" spans="1:33" x14ac:dyDescent="0.25">
      <c r="A3635" t="str">
        <f>"1861456642"</f>
        <v>1861456642</v>
      </c>
      <c r="B3635" t="str">
        <f>"01470075"</f>
        <v>01470075</v>
      </c>
      <c r="C3635" t="s">
        <v>19994</v>
      </c>
      <c r="D3635" t="s">
        <v>19995</v>
      </c>
      <c r="E3635" t="s">
        <v>19996</v>
      </c>
      <c r="G3635" t="s">
        <v>19994</v>
      </c>
      <c r="H3635" t="s">
        <v>172</v>
      </c>
      <c r="J3635" t="s">
        <v>19997</v>
      </c>
      <c r="L3635" t="s">
        <v>150</v>
      </c>
      <c r="M3635" t="s">
        <v>113</v>
      </c>
      <c r="R3635" t="s">
        <v>19998</v>
      </c>
      <c r="W3635" t="s">
        <v>19996</v>
      </c>
      <c r="X3635" t="s">
        <v>216</v>
      </c>
      <c r="Y3635" t="s">
        <v>116</v>
      </c>
      <c r="Z3635" t="s">
        <v>117</v>
      </c>
      <c r="AA3635" t="str">
        <f>"14222-2006"</f>
        <v>14222-2006</v>
      </c>
      <c r="AB3635" t="s">
        <v>118</v>
      </c>
      <c r="AC3635" t="s">
        <v>119</v>
      </c>
      <c r="AD3635" t="s">
        <v>113</v>
      </c>
      <c r="AE3635" t="s">
        <v>120</v>
      </c>
      <c r="AG3635" t="s">
        <v>121</v>
      </c>
    </row>
    <row r="3636" spans="1:33" x14ac:dyDescent="0.25">
      <c r="C3636" t="s">
        <v>19999</v>
      </c>
      <c r="G3636" t="s">
        <v>20000</v>
      </c>
      <c r="H3636" t="s">
        <v>20001</v>
      </c>
      <c r="J3636" t="s">
        <v>20002</v>
      </c>
      <c r="K3636" t="s">
        <v>303</v>
      </c>
      <c r="L3636" t="s">
        <v>3095</v>
      </c>
      <c r="M3636" t="s">
        <v>113</v>
      </c>
      <c r="N3636" t="s">
        <v>20003</v>
      </c>
      <c r="O3636" t="s">
        <v>18812</v>
      </c>
      <c r="P3636" t="s">
        <v>117</v>
      </c>
      <c r="Q3636" t="str">
        <f>"14221"</f>
        <v>14221</v>
      </c>
      <c r="AC3636" t="s">
        <v>119</v>
      </c>
      <c r="AD3636" t="s">
        <v>113</v>
      </c>
      <c r="AE3636" t="s">
        <v>3098</v>
      </c>
      <c r="AG3636" t="s">
        <v>121</v>
      </c>
    </row>
    <row r="3637" spans="1:33" x14ac:dyDescent="0.25">
      <c r="C3637" t="s">
        <v>20004</v>
      </c>
      <c r="G3637" t="s">
        <v>20005</v>
      </c>
      <c r="J3637" t="s">
        <v>20006</v>
      </c>
      <c r="K3637" t="s">
        <v>303</v>
      </c>
      <c r="L3637" t="s">
        <v>3095</v>
      </c>
      <c r="M3637" t="s">
        <v>113</v>
      </c>
      <c r="N3637" t="s">
        <v>20007</v>
      </c>
      <c r="O3637" t="s">
        <v>3097</v>
      </c>
      <c r="P3637" t="s">
        <v>117</v>
      </c>
      <c r="Q3637" t="str">
        <f>"14209"</f>
        <v>14209</v>
      </c>
      <c r="AC3637" t="s">
        <v>119</v>
      </c>
      <c r="AD3637" t="s">
        <v>113</v>
      </c>
      <c r="AE3637" t="s">
        <v>3098</v>
      </c>
      <c r="AG3637" t="s">
        <v>121</v>
      </c>
    </row>
    <row r="3638" spans="1:33" x14ac:dyDescent="0.25">
      <c r="C3638" t="s">
        <v>20008</v>
      </c>
      <c r="G3638" t="s">
        <v>20009</v>
      </c>
      <c r="H3638" t="s">
        <v>20010</v>
      </c>
      <c r="J3638" t="s">
        <v>20011</v>
      </c>
      <c r="K3638" t="s">
        <v>303</v>
      </c>
      <c r="L3638" t="s">
        <v>3095</v>
      </c>
      <c r="M3638" t="s">
        <v>113</v>
      </c>
      <c r="N3638" t="s">
        <v>20012</v>
      </c>
      <c r="O3638" t="s">
        <v>3139</v>
      </c>
      <c r="P3638" t="s">
        <v>117</v>
      </c>
      <c r="Q3638" t="str">
        <f>"14218"</f>
        <v>14218</v>
      </c>
      <c r="AC3638" t="s">
        <v>119</v>
      </c>
      <c r="AD3638" t="s">
        <v>113</v>
      </c>
      <c r="AE3638" t="s">
        <v>3098</v>
      </c>
      <c r="AG3638" t="s">
        <v>121</v>
      </c>
    </row>
    <row r="3639" spans="1:33" x14ac:dyDescent="0.25">
      <c r="A3639" t="str">
        <f>"1316916232"</f>
        <v>1316916232</v>
      </c>
      <c r="B3639" t="str">
        <f>"00691378"</f>
        <v>00691378</v>
      </c>
      <c r="C3639" t="s">
        <v>20013</v>
      </c>
      <c r="D3639" t="s">
        <v>20014</v>
      </c>
      <c r="E3639" t="s">
        <v>20015</v>
      </c>
      <c r="G3639" t="s">
        <v>20016</v>
      </c>
      <c r="H3639" t="s">
        <v>20017</v>
      </c>
      <c r="J3639" t="s">
        <v>20018</v>
      </c>
      <c r="L3639" t="s">
        <v>20</v>
      </c>
      <c r="M3639" t="s">
        <v>113</v>
      </c>
      <c r="R3639" t="s">
        <v>20019</v>
      </c>
      <c r="W3639" t="s">
        <v>20020</v>
      </c>
      <c r="X3639" t="s">
        <v>20021</v>
      </c>
      <c r="Y3639" t="s">
        <v>348</v>
      </c>
      <c r="Z3639" t="s">
        <v>117</v>
      </c>
      <c r="AA3639" t="str">
        <f>"14043-1821"</f>
        <v>14043-1821</v>
      </c>
      <c r="AB3639" t="s">
        <v>5777</v>
      </c>
      <c r="AC3639" t="s">
        <v>119</v>
      </c>
      <c r="AD3639" t="s">
        <v>113</v>
      </c>
      <c r="AE3639" t="s">
        <v>120</v>
      </c>
      <c r="AG3639" t="s">
        <v>121</v>
      </c>
    </row>
    <row r="3640" spans="1:33" x14ac:dyDescent="0.25">
      <c r="A3640" t="str">
        <f>"1174592083"</f>
        <v>1174592083</v>
      </c>
      <c r="B3640" t="str">
        <f>"00691387"</f>
        <v>00691387</v>
      </c>
      <c r="C3640" t="s">
        <v>20013</v>
      </c>
      <c r="D3640" t="s">
        <v>20022</v>
      </c>
      <c r="E3640" t="s">
        <v>20023</v>
      </c>
      <c r="G3640" t="s">
        <v>20016</v>
      </c>
      <c r="H3640" t="s">
        <v>20017</v>
      </c>
      <c r="J3640" t="s">
        <v>20018</v>
      </c>
      <c r="L3640" t="s">
        <v>20</v>
      </c>
      <c r="M3640" t="s">
        <v>113</v>
      </c>
      <c r="R3640" t="s">
        <v>20019</v>
      </c>
      <c r="W3640" t="s">
        <v>20024</v>
      </c>
      <c r="X3640" t="s">
        <v>20025</v>
      </c>
      <c r="Y3640" t="s">
        <v>958</v>
      </c>
      <c r="Z3640" t="s">
        <v>117</v>
      </c>
      <c r="AA3640" t="str">
        <f>"14226-1140"</f>
        <v>14226-1140</v>
      </c>
      <c r="AB3640" t="s">
        <v>5777</v>
      </c>
      <c r="AC3640" t="s">
        <v>119</v>
      </c>
      <c r="AD3640" t="s">
        <v>113</v>
      </c>
      <c r="AE3640" t="s">
        <v>120</v>
      </c>
      <c r="AG3640" t="s">
        <v>121</v>
      </c>
    </row>
    <row r="3641" spans="1:33" x14ac:dyDescent="0.25">
      <c r="A3641" t="str">
        <f>"1407825441"</f>
        <v>1407825441</v>
      </c>
      <c r="B3641" t="str">
        <f>"00893316"</f>
        <v>00893316</v>
      </c>
      <c r="C3641" t="s">
        <v>20013</v>
      </c>
      <c r="D3641" t="s">
        <v>20026</v>
      </c>
      <c r="E3641" t="s">
        <v>20027</v>
      </c>
      <c r="G3641" t="s">
        <v>20016</v>
      </c>
      <c r="H3641" t="s">
        <v>20017</v>
      </c>
      <c r="J3641" t="s">
        <v>20018</v>
      </c>
      <c r="L3641" t="s">
        <v>20</v>
      </c>
      <c r="M3641" t="s">
        <v>113</v>
      </c>
      <c r="R3641" t="s">
        <v>20019</v>
      </c>
      <c r="W3641" t="s">
        <v>20028</v>
      </c>
      <c r="X3641" t="s">
        <v>20029</v>
      </c>
      <c r="Y3641" t="s">
        <v>240</v>
      </c>
      <c r="Z3641" t="s">
        <v>117</v>
      </c>
      <c r="AA3641" t="str">
        <f>"14221-3502"</f>
        <v>14221-3502</v>
      </c>
      <c r="AB3641" t="s">
        <v>5777</v>
      </c>
      <c r="AC3641" t="s">
        <v>119</v>
      </c>
      <c r="AD3641" t="s">
        <v>113</v>
      </c>
      <c r="AE3641" t="s">
        <v>120</v>
      </c>
      <c r="AG3641" t="s">
        <v>121</v>
      </c>
    </row>
    <row r="3642" spans="1:33" x14ac:dyDescent="0.25">
      <c r="A3642" t="str">
        <f>"1912976655"</f>
        <v>1912976655</v>
      </c>
      <c r="B3642" t="str">
        <f>"01074542"</f>
        <v>01074542</v>
      </c>
      <c r="C3642" t="s">
        <v>20013</v>
      </c>
      <c r="D3642" t="s">
        <v>20030</v>
      </c>
      <c r="E3642" t="s">
        <v>20031</v>
      </c>
      <c r="G3642" t="s">
        <v>20016</v>
      </c>
      <c r="H3642" t="s">
        <v>20017</v>
      </c>
      <c r="J3642" t="s">
        <v>20018</v>
      </c>
      <c r="L3642" t="s">
        <v>20</v>
      </c>
      <c r="M3642" t="s">
        <v>113</v>
      </c>
      <c r="R3642" t="s">
        <v>20019</v>
      </c>
      <c r="W3642" t="s">
        <v>20032</v>
      </c>
      <c r="X3642" t="s">
        <v>20033</v>
      </c>
      <c r="Y3642" t="s">
        <v>9792</v>
      </c>
      <c r="Z3642" t="s">
        <v>117</v>
      </c>
      <c r="AA3642" t="str">
        <f>"14219-2660"</f>
        <v>14219-2660</v>
      </c>
      <c r="AB3642" t="s">
        <v>5777</v>
      </c>
      <c r="AC3642" t="s">
        <v>119</v>
      </c>
      <c r="AD3642" t="s">
        <v>113</v>
      </c>
      <c r="AE3642" t="s">
        <v>120</v>
      </c>
      <c r="AG3642" t="s">
        <v>121</v>
      </c>
    </row>
    <row r="3643" spans="1:33" x14ac:dyDescent="0.25">
      <c r="A3643" t="str">
        <f>"1780653485"</f>
        <v>1780653485</v>
      </c>
      <c r="B3643" t="str">
        <f>"01482562"</f>
        <v>01482562</v>
      </c>
      <c r="C3643" t="s">
        <v>20013</v>
      </c>
      <c r="D3643" t="s">
        <v>20034</v>
      </c>
      <c r="E3643" t="s">
        <v>20035</v>
      </c>
      <c r="G3643" t="s">
        <v>20016</v>
      </c>
      <c r="H3643" t="s">
        <v>20017</v>
      </c>
      <c r="J3643" t="s">
        <v>20018</v>
      </c>
      <c r="L3643" t="s">
        <v>20</v>
      </c>
      <c r="M3643" t="s">
        <v>113</v>
      </c>
      <c r="R3643" t="s">
        <v>20019</v>
      </c>
      <c r="W3643" t="s">
        <v>20036</v>
      </c>
      <c r="X3643" t="s">
        <v>20037</v>
      </c>
      <c r="Y3643" t="s">
        <v>958</v>
      </c>
      <c r="Z3643" t="s">
        <v>117</v>
      </c>
      <c r="AA3643" t="str">
        <f>"14228-1640"</f>
        <v>14228-1640</v>
      </c>
      <c r="AB3643" t="s">
        <v>5777</v>
      </c>
      <c r="AC3643" t="s">
        <v>119</v>
      </c>
      <c r="AD3643" t="s">
        <v>113</v>
      </c>
      <c r="AE3643" t="s">
        <v>120</v>
      </c>
      <c r="AG3643" t="s">
        <v>121</v>
      </c>
    </row>
    <row r="3644" spans="1:33" x14ac:dyDescent="0.25">
      <c r="A3644" t="str">
        <f>"1548239783"</f>
        <v>1548239783</v>
      </c>
      <c r="B3644" t="str">
        <f>"01534849"</f>
        <v>01534849</v>
      </c>
      <c r="C3644" t="s">
        <v>20013</v>
      </c>
      <c r="D3644" t="s">
        <v>20038</v>
      </c>
      <c r="E3644" t="s">
        <v>20039</v>
      </c>
      <c r="G3644" t="s">
        <v>20016</v>
      </c>
      <c r="H3644" t="s">
        <v>20017</v>
      </c>
      <c r="J3644" t="s">
        <v>20018</v>
      </c>
      <c r="L3644" t="s">
        <v>20</v>
      </c>
      <c r="M3644" t="s">
        <v>113</v>
      </c>
      <c r="R3644" t="s">
        <v>20019</v>
      </c>
      <c r="W3644" t="s">
        <v>20040</v>
      </c>
      <c r="X3644" t="s">
        <v>20041</v>
      </c>
      <c r="Y3644" t="s">
        <v>348</v>
      </c>
      <c r="Z3644" t="s">
        <v>117</v>
      </c>
      <c r="AA3644" t="str">
        <f>"14043-4616"</f>
        <v>14043-4616</v>
      </c>
      <c r="AB3644" t="s">
        <v>5777</v>
      </c>
      <c r="AC3644" t="s">
        <v>119</v>
      </c>
      <c r="AD3644" t="s">
        <v>113</v>
      </c>
      <c r="AE3644" t="s">
        <v>120</v>
      </c>
      <c r="AG3644" t="s">
        <v>121</v>
      </c>
    </row>
    <row r="3645" spans="1:33" x14ac:dyDescent="0.25">
      <c r="A3645" t="str">
        <f>"1447229117"</f>
        <v>1447229117</v>
      </c>
      <c r="B3645" t="str">
        <f>"01552336"</f>
        <v>01552336</v>
      </c>
      <c r="C3645" t="s">
        <v>20013</v>
      </c>
      <c r="D3645" t="s">
        <v>20042</v>
      </c>
      <c r="E3645" t="s">
        <v>20043</v>
      </c>
      <c r="G3645" t="s">
        <v>20016</v>
      </c>
      <c r="H3645" t="s">
        <v>20017</v>
      </c>
      <c r="J3645" t="s">
        <v>20018</v>
      </c>
      <c r="L3645" t="s">
        <v>20</v>
      </c>
      <c r="M3645" t="s">
        <v>113</v>
      </c>
      <c r="R3645" t="s">
        <v>20019</v>
      </c>
      <c r="W3645" t="s">
        <v>20044</v>
      </c>
      <c r="X3645" t="s">
        <v>20045</v>
      </c>
      <c r="Y3645" t="s">
        <v>986</v>
      </c>
      <c r="Z3645" t="s">
        <v>117</v>
      </c>
      <c r="AA3645" t="str">
        <f>"14701-2454"</f>
        <v>14701-2454</v>
      </c>
      <c r="AB3645" t="s">
        <v>5777</v>
      </c>
      <c r="AC3645" t="s">
        <v>119</v>
      </c>
      <c r="AD3645" t="s">
        <v>113</v>
      </c>
      <c r="AE3645" t="s">
        <v>120</v>
      </c>
      <c r="AG3645" t="s">
        <v>121</v>
      </c>
    </row>
    <row r="3646" spans="1:33" x14ac:dyDescent="0.25">
      <c r="A3646" t="str">
        <f>"1932178647"</f>
        <v>1932178647</v>
      </c>
      <c r="B3646" t="str">
        <f>"00691396"</f>
        <v>00691396</v>
      </c>
      <c r="C3646" t="s">
        <v>20013</v>
      </c>
      <c r="D3646" t="s">
        <v>20046</v>
      </c>
      <c r="E3646" t="s">
        <v>20047</v>
      </c>
      <c r="G3646" t="s">
        <v>20016</v>
      </c>
      <c r="H3646" t="s">
        <v>20017</v>
      </c>
      <c r="J3646" t="s">
        <v>20018</v>
      </c>
      <c r="L3646" t="s">
        <v>20</v>
      </c>
      <c r="M3646" t="s">
        <v>113</v>
      </c>
      <c r="R3646" t="s">
        <v>20019</v>
      </c>
      <c r="W3646" t="s">
        <v>20048</v>
      </c>
      <c r="X3646" t="s">
        <v>20049</v>
      </c>
      <c r="Y3646" t="s">
        <v>129</v>
      </c>
      <c r="Z3646" t="s">
        <v>117</v>
      </c>
      <c r="AA3646" t="str">
        <f>"14224-2666"</f>
        <v>14224-2666</v>
      </c>
      <c r="AB3646" t="s">
        <v>5777</v>
      </c>
      <c r="AC3646" t="s">
        <v>119</v>
      </c>
      <c r="AD3646" t="s">
        <v>113</v>
      </c>
      <c r="AE3646" t="s">
        <v>120</v>
      </c>
      <c r="AG3646" t="s">
        <v>121</v>
      </c>
    </row>
    <row r="3647" spans="1:33" x14ac:dyDescent="0.25">
      <c r="A3647" t="str">
        <f>"1710956008"</f>
        <v>1710956008</v>
      </c>
      <c r="B3647" t="str">
        <f>"01686268"</f>
        <v>01686268</v>
      </c>
      <c r="C3647" t="s">
        <v>20013</v>
      </c>
      <c r="D3647" t="s">
        <v>20050</v>
      </c>
      <c r="E3647" t="s">
        <v>20051</v>
      </c>
      <c r="G3647" t="s">
        <v>20016</v>
      </c>
      <c r="H3647" t="s">
        <v>20017</v>
      </c>
      <c r="J3647" t="s">
        <v>20018</v>
      </c>
      <c r="L3647" t="s">
        <v>20</v>
      </c>
      <c r="M3647" t="s">
        <v>113</v>
      </c>
      <c r="R3647" t="s">
        <v>20019</v>
      </c>
      <c r="W3647" t="s">
        <v>20052</v>
      </c>
      <c r="X3647" t="s">
        <v>20053</v>
      </c>
      <c r="Y3647" t="s">
        <v>240</v>
      </c>
      <c r="Z3647" t="s">
        <v>117</v>
      </c>
      <c r="AA3647" t="str">
        <f>"14221-2820"</f>
        <v>14221-2820</v>
      </c>
      <c r="AB3647" t="s">
        <v>5777</v>
      </c>
      <c r="AC3647" t="s">
        <v>119</v>
      </c>
      <c r="AD3647" t="s">
        <v>113</v>
      </c>
      <c r="AE3647" t="s">
        <v>120</v>
      </c>
      <c r="AG3647" t="s">
        <v>121</v>
      </c>
    </row>
    <row r="3648" spans="1:33" x14ac:dyDescent="0.25">
      <c r="A3648" t="str">
        <f>"1295704088"</f>
        <v>1295704088</v>
      </c>
      <c r="B3648" t="str">
        <f>"01786098"</f>
        <v>01786098</v>
      </c>
      <c r="C3648" t="s">
        <v>20013</v>
      </c>
      <c r="D3648" t="s">
        <v>20054</v>
      </c>
      <c r="E3648" t="s">
        <v>20055</v>
      </c>
      <c r="G3648" t="s">
        <v>20016</v>
      </c>
      <c r="H3648" t="s">
        <v>20017</v>
      </c>
      <c r="J3648" t="s">
        <v>20018</v>
      </c>
      <c r="L3648" t="s">
        <v>20</v>
      </c>
      <c r="M3648" t="s">
        <v>113</v>
      </c>
      <c r="R3648" t="s">
        <v>20056</v>
      </c>
      <c r="W3648" t="s">
        <v>20057</v>
      </c>
      <c r="X3648" t="s">
        <v>20058</v>
      </c>
      <c r="Y3648" t="s">
        <v>116</v>
      </c>
      <c r="Z3648" t="s">
        <v>117</v>
      </c>
      <c r="AA3648" t="str">
        <f>"14207-2901"</f>
        <v>14207-2901</v>
      </c>
      <c r="AB3648" t="s">
        <v>5777</v>
      </c>
      <c r="AC3648" t="s">
        <v>119</v>
      </c>
      <c r="AD3648" t="s">
        <v>113</v>
      </c>
      <c r="AE3648" t="s">
        <v>120</v>
      </c>
      <c r="AG3648" t="s">
        <v>121</v>
      </c>
    </row>
    <row r="3649" spans="1:33" x14ac:dyDescent="0.25">
      <c r="C3649" t="s">
        <v>20059</v>
      </c>
      <c r="G3649" t="s">
        <v>20060</v>
      </c>
      <c r="H3649" t="s">
        <v>20061</v>
      </c>
      <c r="J3649" t="s">
        <v>20062</v>
      </c>
      <c r="K3649" t="s">
        <v>303</v>
      </c>
      <c r="L3649" t="s">
        <v>3095</v>
      </c>
      <c r="M3649" t="s">
        <v>113</v>
      </c>
      <c r="N3649" t="s">
        <v>20063</v>
      </c>
      <c r="O3649" t="s">
        <v>3097</v>
      </c>
      <c r="P3649" t="s">
        <v>117</v>
      </c>
      <c r="Q3649" t="str">
        <f>"14215"</f>
        <v>14215</v>
      </c>
      <c r="AC3649" t="s">
        <v>119</v>
      </c>
      <c r="AD3649" t="s">
        <v>113</v>
      </c>
      <c r="AE3649" t="s">
        <v>3098</v>
      </c>
      <c r="AG3649" t="s">
        <v>121</v>
      </c>
    </row>
    <row r="3650" spans="1:33" x14ac:dyDescent="0.25">
      <c r="C3650" t="s">
        <v>20064</v>
      </c>
      <c r="G3650" t="s">
        <v>20065</v>
      </c>
      <c r="H3650" t="s">
        <v>20066</v>
      </c>
      <c r="J3650" t="s">
        <v>20067</v>
      </c>
      <c r="K3650" t="s">
        <v>303</v>
      </c>
      <c r="L3650" t="s">
        <v>3095</v>
      </c>
      <c r="M3650" t="s">
        <v>113</v>
      </c>
      <c r="N3650" t="s">
        <v>20068</v>
      </c>
      <c r="O3650" t="s">
        <v>3097</v>
      </c>
      <c r="P3650" t="s">
        <v>117</v>
      </c>
      <c r="Q3650" t="str">
        <f>"14208"</f>
        <v>14208</v>
      </c>
      <c r="AC3650" t="s">
        <v>119</v>
      </c>
      <c r="AD3650" t="s">
        <v>113</v>
      </c>
      <c r="AE3650" t="s">
        <v>3098</v>
      </c>
      <c r="AG3650" t="s">
        <v>121</v>
      </c>
    </row>
    <row r="3651" spans="1:33" x14ac:dyDescent="0.25">
      <c r="C3651" t="s">
        <v>20069</v>
      </c>
      <c r="G3651" t="s">
        <v>20070</v>
      </c>
      <c r="H3651" t="s">
        <v>20071</v>
      </c>
      <c r="J3651" t="s">
        <v>20072</v>
      </c>
      <c r="K3651" t="s">
        <v>303</v>
      </c>
      <c r="L3651" t="s">
        <v>3095</v>
      </c>
      <c r="M3651" t="s">
        <v>113</v>
      </c>
      <c r="N3651" t="s">
        <v>20073</v>
      </c>
      <c r="O3651" t="s">
        <v>3097</v>
      </c>
      <c r="P3651" t="s">
        <v>117</v>
      </c>
      <c r="Q3651" t="str">
        <f>"14068"</f>
        <v>14068</v>
      </c>
      <c r="AC3651" t="s">
        <v>119</v>
      </c>
      <c r="AD3651" t="s">
        <v>113</v>
      </c>
      <c r="AE3651" t="s">
        <v>3098</v>
      </c>
      <c r="AG3651" t="s">
        <v>121</v>
      </c>
    </row>
    <row r="3652" spans="1:33" x14ac:dyDescent="0.25">
      <c r="A3652" t="str">
        <f>"1841265816"</f>
        <v>1841265816</v>
      </c>
      <c r="B3652" t="str">
        <f>"01189826"</f>
        <v>01189826</v>
      </c>
      <c r="C3652" t="s">
        <v>20074</v>
      </c>
      <c r="D3652" t="s">
        <v>20075</v>
      </c>
      <c r="E3652" t="s">
        <v>20076</v>
      </c>
      <c r="G3652" t="s">
        <v>20074</v>
      </c>
      <c r="H3652" t="s">
        <v>14783</v>
      </c>
      <c r="L3652" t="s">
        <v>150</v>
      </c>
      <c r="M3652" t="s">
        <v>113</v>
      </c>
      <c r="R3652" t="s">
        <v>20077</v>
      </c>
      <c r="W3652" t="s">
        <v>20076</v>
      </c>
      <c r="X3652" t="s">
        <v>20078</v>
      </c>
      <c r="Y3652" t="s">
        <v>153</v>
      </c>
      <c r="Z3652" t="s">
        <v>117</v>
      </c>
      <c r="AA3652" t="str">
        <f>"14304-1225"</f>
        <v>14304-1225</v>
      </c>
      <c r="AB3652" t="s">
        <v>118</v>
      </c>
      <c r="AC3652" t="s">
        <v>119</v>
      </c>
      <c r="AD3652" t="s">
        <v>113</v>
      </c>
      <c r="AE3652" t="s">
        <v>120</v>
      </c>
      <c r="AG3652" t="s">
        <v>121</v>
      </c>
    </row>
    <row r="3653" spans="1:33" x14ac:dyDescent="0.25">
      <c r="A3653" t="str">
        <f>"1609058072"</f>
        <v>1609058072</v>
      </c>
      <c r="B3653" t="str">
        <f>"01227178"</f>
        <v>01227178</v>
      </c>
      <c r="C3653" t="s">
        <v>20079</v>
      </c>
      <c r="D3653" t="s">
        <v>20080</v>
      </c>
      <c r="E3653" t="s">
        <v>20081</v>
      </c>
      <c r="F3653">
        <v>160975538</v>
      </c>
      <c r="G3653" t="s">
        <v>20082</v>
      </c>
      <c r="H3653" t="s">
        <v>1600</v>
      </c>
      <c r="J3653" t="s">
        <v>20083</v>
      </c>
      <c r="L3653" t="s">
        <v>69</v>
      </c>
      <c r="M3653" t="s">
        <v>199</v>
      </c>
      <c r="R3653" t="s">
        <v>1578</v>
      </c>
      <c r="W3653" t="s">
        <v>20081</v>
      </c>
      <c r="X3653" t="s">
        <v>20084</v>
      </c>
      <c r="Y3653" t="s">
        <v>2946</v>
      </c>
      <c r="Z3653" t="s">
        <v>117</v>
      </c>
      <c r="AA3653" t="str">
        <f>"14075-7308"</f>
        <v>14075-7308</v>
      </c>
      <c r="AB3653" t="s">
        <v>282</v>
      </c>
      <c r="AC3653" t="s">
        <v>119</v>
      </c>
      <c r="AD3653" t="s">
        <v>113</v>
      </c>
      <c r="AE3653" t="s">
        <v>120</v>
      </c>
      <c r="AG3653" t="s">
        <v>121</v>
      </c>
    </row>
    <row r="3654" spans="1:33" x14ac:dyDescent="0.25">
      <c r="A3654" t="str">
        <f>"1922246420"</f>
        <v>1922246420</v>
      </c>
      <c r="B3654" t="str">
        <f>"03258615"</f>
        <v>03258615</v>
      </c>
      <c r="C3654" t="s">
        <v>6038</v>
      </c>
      <c r="D3654" t="s">
        <v>20085</v>
      </c>
      <c r="E3654" t="s">
        <v>20086</v>
      </c>
      <c r="F3654">
        <v>160786061</v>
      </c>
      <c r="H3654" t="s">
        <v>6042</v>
      </c>
      <c r="L3654" t="s">
        <v>1143</v>
      </c>
      <c r="M3654" t="s">
        <v>199</v>
      </c>
      <c r="R3654" t="s">
        <v>6038</v>
      </c>
      <c r="W3654" t="s">
        <v>20086</v>
      </c>
      <c r="X3654" t="s">
        <v>1459</v>
      </c>
      <c r="Y3654" t="s">
        <v>305</v>
      </c>
      <c r="Z3654" t="s">
        <v>117</v>
      </c>
      <c r="AA3654" t="str">
        <f>"14760-1100"</f>
        <v>14760-1100</v>
      </c>
      <c r="AB3654" t="s">
        <v>1460</v>
      </c>
      <c r="AC3654" t="s">
        <v>119</v>
      </c>
      <c r="AD3654" t="s">
        <v>113</v>
      </c>
      <c r="AE3654" t="s">
        <v>120</v>
      </c>
      <c r="AG3654" t="s">
        <v>121</v>
      </c>
    </row>
    <row r="3655" spans="1:33" x14ac:dyDescent="0.25">
      <c r="A3655" t="str">
        <f>"1881664969"</f>
        <v>1881664969</v>
      </c>
      <c r="B3655" t="str">
        <f>"03058028"</f>
        <v>03058028</v>
      </c>
      <c r="C3655" t="s">
        <v>20087</v>
      </c>
      <c r="D3655" t="s">
        <v>20088</v>
      </c>
      <c r="E3655" t="s">
        <v>20089</v>
      </c>
      <c r="G3655" t="s">
        <v>20087</v>
      </c>
      <c r="H3655" t="s">
        <v>1964</v>
      </c>
      <c r="J3655" t="s">
        <v>20090</v>
      </c>
      <c r="L3655" t="s">
        <v>142</v>
      </c>
      <c r="M3655" t="s">
        <v>113</v>
      </c>
      <c r="R3655" t="s">
        <v>20091</v>
      </c>
      <c r="W3655" t="s">
        <v>20089</v>
      </c>
      <c r="X3655" t="s">
        <v>136</v>
      </c>
      <c r="Y3655" t="s">
        <v>116</v>
      </c>
      <c r="Z3655" t="s">
        <v>117</v>
      </c>
      <c r="AA3655" t="str">
        <f>"14209-1120"</f>
        <v>14209-1120</v>
      </c>
      <c r="AB3655" t="s">
        <v>118</v>
      </c>
      <c r="AC3655" t="s">
        <v>119</v>
      </c>
      <c r="AD3655" t="s">
        <v>113</v>
      </c>
      <c r="AE3655" t="s">
        <v>120</v>
      </c>
      <c r="AG3655" t="s">
        <v>121</v>
      </c>
    </row>
    <row r="3656" spans="1:33" x14ac:dyDescent="0.25">
      <c r="A3656" t="str">
        <f>"1881671238"</f>
        <v>1881671238</v>
      </c>
      <c r="B3656" t="str">
        <f>"03470353"</f>
        <v>03470353</v>
      </c>
      <c r="C3656" t="s">
        <v>20092</v>
      </c>
      <c r="D3656" t="s">
        <v>20093</v>
      </c>
      <c r="E3656" t="s">
        <v>20094</v>
      </c>
      <c r="G3656" t="s">
        <v>20092</v>
      </c>
      <c r="H3656" t="s">
        <v>20095</v>
      </c>
      <c r="J3656" t="s">
        <v>20096</v>
      </c>
      <c r="L3656" t="s">
        <v>142</v>
      </c>
      <c r="M3656" t="s">
        <v>113</v>
      </c>
      <c r="R3656" t="s">
        <v>20097</v>
      </c>
      <c r="W3656" t="s">
        <v>20094</v>
      </c>
      <c r="X3656" t="s">
        <v>4702</v>
      </c>
      <c r="Y3656" t="s">
        <v>240</v>
      </c>
      <c r="Z3656" t="s">
        <v>117</v>
      </c>
      <c r="AA3656" t="str">
        <f>"14221-7800"</f>
        <v>14221-7800</v>
      </c>
      <c r="AB3656" t="s">
        <v>118</v>
      </c>
      <c r="AC3656" t="s">
        <v>119</v>
      </c>
      <c r="AD3656" t="s">
        <v>113</v>
      </c>
      <c r="AE3656" t="s">
        <v>120</v>
      </c>
      <c r="AG3656" t="s">
        <v>121</v>
      </c>
    </row>
    <row r="3657" spans="1:33" x14ac:dyDescent="0.25">
      <c r="C3657" t="s">
        <v>20098</v>
      </c>
      <c r="G3657" t="s">
        <v>18939</v>
      </c>
      <c r="H3657" t="s">
        <v>17930</v>
      </c>
      <c r="J3657" t="s">
        <v>18940</v>
      </c>
      <c r="K3657" t="s">
        <v>303</v>
      </c>
      <c r="L3657" t="s">
        <v>3095</v>
      </c>
      <c r="M3657" t="s">
        <v>113</v>
      </c>
      <c r="N3657" t="s">
        <v>18941</v>
      </c>
      <c r="O3657" t="s">
        <v>18942</v>
      </c>
      <c r="P3657" t="s">
        <v>117</v>
      </c>
      <c r="Q3657" t="str">
        <f>"14301"</f>
        <v>14301</v>
      </c>
      <c r="AC3657" t="s">
        <v>119</v>
      </c>
      <c r="AD3657" t="s">
        <v>113</v>
      </c>
      <c r="AE3657" t="s">
        <v>3098</v>
      </c>
      <c r="AG3657" t="s">
        <v>121</v>
      </c>
    </row>
    <row r="3658" spans="1:33" x14ac:dyDescent="0.25">
      <c r="A3658" t="str">
        <f>"1467628552"</f>
        <v>1467628552</v>
      </c>
      <c r="C3658" t="s">
        <v>20099</v>
      </c>
      <c r="G3658" t="s">
        <v>18939</v>
      </c>
      <c r="H3658" t="s">
        <v>17930</v>
      </c>
      <c r="J3658" t="s">
        <v>18940</v>
      </c>
      <c r="K3658" t="s">
        <v>303</v>
      </c>
      <c r="L3658" t="s">
        <v>229</v>
      </c>
      <c r="M3658" t="s">
        <v>113</v>
      </c>
      <c r="R3658" t="s">
        <v>20100</v>
      </c>
      <c r="S3658" t="s">
        <v>6742</v>
      </c>
      <c r="T3658" t="s">
        <v>153</v>
      </c>
      <c r="U3658" t="s">
        <v>117</v>
      </c>
      <c r="V3658" t="str">
        <f>"143011201"</f>
        <v>143011201</v>
      </c>
      <c r="AC3658" t="s">
        <v>119</v>
      </c>
      <c r="AD3658" t="s">
        <v>113</v>
      </c>
      <c r="AE3658" t="s">
        <v>306</v>
      </c>
      <c r="AG3658" t="s">
        <v>121</v>
      </c>
    </row>
    <row r="3659" spans="1:33" x14ac:dyDescent="0.25">
      <c r="C3659" t="s">
        <v>20101</v>
      </c>
      <c r="G3659" t="s">
        <v>18939</v>
      </c>
      <c r="H3659" t="s">
        <v>17930</v>
      </c>
      <c r="J3659" t="s">
        <v>18940</v>
      </c>
      <c r="K3659" t="s">
        <v>303</v>
      </c>
      <c r="L3659" t="s">
        <v>3095</v>
      </c>
      <c r="M3659" t="s">
        <v>113</v>
      </c>
      <c r="N3659" t="s">
        <v>18941</v>
      </c>
      <c r="O3659" t="s">
        <v>18942</v>
      </c>
      <c r="P3659" t="s">
        <v>117</v>
      </c>
      <c r="Q3659" t="str">
        <f>"14301"</f>
        <v>14301</v>
      </c>
      <c r="AC3659" t="s">
        <v>119</v>
      </c>
      <c r="AD3659" t="s">
        <v>113</v>
      </c>
      <c r="AE3659" t="s">
        <v>3098</v>
      </c>
      <c r="AG3659" t="s">
        <v>121</v>
      </c>
    </row>
    <row r="3660" spans="1:33" x14ac:dyDescent="0.25">
      <c r="C3660" t="s">
        <v>20102</v>
      </c>
      <c r="G3660" t="s">
        <v>18939</v>
      </c>
      <c r="H3660" t="s">
        <v>17930</v>
      </c>
      <c r="J3660" t="s">
        <v>18940</v>
      </c>
      <c r="K3660" t="s">
        <v>303</v>
      </c>
      <c r="L3660" t="s">
        <v>3095</v>
      </c>
      <c r="M3660" t="s">
        <v>113</v>
      </c>
      <c r="N3660" t="s">
        <v>18941</v>
      </c>
      <c r="O3660" t="s">
        <v>18942</v>
      </c>
      <c r="P3660" t="s">
        <v>117</v>
      </c>
      <c r="Q3660" t="str">
        <f>"14301"</f>
        <v>14301</v>
      </c>
      <c r="AC3660" t="s">
        <v>119</v>
      </c>
      <c r="AD3660" t="s">
        <v>113</v>
      </c>
      <c r="AE3660" t="s">
        <v>3098</v>
      </c>
      <c r="AG3660" t="s">
        <v>121</v>
      </c>
    </row>
    <row r="3661" spans="1:33" x14ac:dyDescent="0.25">
      <c r="A3661" t="str">
        <f>"1588069983"</f>
        <v>1588069983</v>
      </c>
      <c r="C3661" t="s">
        <v>20103</v>
      </c>
      <c r="G3661" t="s">
        <v>18939</v>
      </c>
      <c r="H3661" t="s">
        <v>17930</v>
      </c>
      <c r="J3661" t="s">
        <v>18940</v>
      </c>
      <c r="K3661" t="s">
        <v>303</v>
      </c>
      <c r="L3661" t="s">
        <v>229</v>
      </c>
      <c r="M3661" t="s">
        <v>113</v>
      </c>
      <c r="R3661" t="s">
        <v>20104</v>
      </c>
      <c r="S3661" t="s">
        <v>6742</v>
      </c>
      <c r="T3661" t="s">
        <v>153</v>
      </c>
      <c r="U3661" t="s">
        <v>117</v>
      </c>
      <c r="V3661" t="str">
        <f>"143011201"</f>
        <v>143011201</v>
      </c>
      <c r="AC3661" t="s">
        <v>119</v>
      </c>
      <c r="AD3661" t="s">
        <v>113</v>
      </c>
      <c r="AE3661" t="s">
        <v>306</v>
      </c>
      <c r="AG3661" t="s">
        <v>121</v>
      </c>
    </row>
    <row r="3662" spans="1:33" x14ac:dyDescent="0.25">
      <c r="C3662" t="s">
        <v>20105</v>
      </c>
      <c r="G3662" t="s">
        <v>18939</v>
      </c>
      <c r="H3662" t="s">
        <v>17930</v>
      </c>
      <c r="J3662" t="s">
        <v>18940</v>
      </c>
      <c r="K3662" t="s">
        <v>303</v>
      </c>
      <c r="L3662" t="s">
        <v>3095</v>
      </c>
      <c r="M3662" t="s">
        <v>113</v>
      </c>
      <c r="N3662" t="s">
        <v>18941</v>
      </c>
      <c r="O3662" t="s">
        <v>18942</v>
      </c>
      <c r="P3662" t="s">
        <v>117</v>
      </c>
      <c r="Q3662" t="str">
        <f>"14301"</f>
        <v>14301</v>
      </c>
      <c r="AC3662" t="s">
        <v>119</v>
      </c>
      <c r="AD3662" t="s">
        <v>113</v>
      </c>
      <c r="AE3662" t="s">
        <v>3098</v>
      </c>
      <c r="AG3662" t="s">
        <v>121</v>
      </c>
    </row>
    <row r="3663" spans="1:33" x14ac:dyDescent="0.25">
      <c r="A3663" t="str">
        <f>"1679978308"</f>
        <v>1679978308</v>
      </c>
      <c r="C3663" t="s">
        <v>20106</v>
      </c>
      <c r="G3663" t="s">
        <v>18939</v>
      </c>
      <c r="H3663" t="s">
        <v>17930</v>
      </c>
      <c r="J3663" t="s">
        <v>18940</v>
      </c>
      <c r="K3663" t="s">
        <v>303</v>
      </c>
      <c r="L3663" t="s">
        <v>112</v>
      </c>
      <c r="M3663" t="s">
        <v>113</v>
      </c>
      <c r="R3663" t="s">
        <v>20107</v>
      </c>
      <c r="S3663" t="s">
        <v>6742</v>
      </c>
      <c r="T3663" t="s">
        <v>153</v>
      </c>
      <c r="U3663" t="s">
        <v>117</v>
      </c>
      <c r="V3663" t="str">
        <f>"143011201"</f>
        <v>143011201</v>
      </c>
      <c r="AC3663" t="s">
        <v>119</v>
      </c>
      <c r="AD3663" t="s">
        <v>113</v>
      </c>
      <c r="AE3663" t="s">
        <v>306</v>
      </c>
      <c r="AG3663" t="s">
        <v>121</v>
      </c>
    </row>
    <row r="3664" spans="1:33" x14ac:dyDescent="0.25">
      <c r="C3664" t="s">
        <v>20108</v>
      </c>
      <c r="G3664" t="s">
        <v>18939</v>
      </c>
      <c r="H3664" t="s">
        <v>17930</v>
      </c>
      <c r="J3664" t="s">
        <v>18940</v>
      </c>
      <c r="K3664" t="s">
        <v>303</v>
      </c>
      <c r="L3664" t="s">
        <v>3095</v>
      </c>
      <c r="M3664" t="s">
        <v>113</v>
      </c>
      <c r="N3664" t="s">
        <v>18941</v>
      </c>
      <c r="O3664" t="s">
        <v>18942</v>
      </c>
      <c r="P3664" t="s">
        <v>117</v>
      </c>
      <c r="Q3664" t="str">
        <f t="shared" ref="Q3664:Q3670" si="1">"14301"</f>
        <v>14301</v>
      </c>
      <c r="AC3664" t="s">
        <v>119</v>
      </c>
      <c r="AD3664" t="s">
        <v>113</v>
      </c>
      <c r="AE3664" t="s">
        <v>3098</v>
      </c>
      <c r="AG3664" t="s">
        <v>121</v>
      </c>
    </row>
    <row r="3665" spans="1:33" x14ac:dyDescent="0.25">
      <c r="C3665" t="s">
        <v>20109</v>
      </c>
      <c r="G3665" t="s">
        <v>18939</v>
      </c>
      <c r="H3665" t="s">
        <v>17930</v>
      </c>
      <c r="J3665" t="s">
        <v>18940</v>
      </c>
      <c r="K3665" t="s">
        <v>303</v>
      </c>
      <c r="L3665" t="s">
        <v>3095</v>
      </c>
      <c r="M3665" t="s">
        <v>113</v>
      </c>
      <c r="N3665" t="s">
        <v>18941</v>
      </c>
      <c r="O3665" t="s">
        <v>18942</v>
      </c>
      <c r="P3665" t="s">
        <v>117</v>
      </c>
      <c r="Q3665" t="str">
        <f t="shared" si="1"/>
        <v>14301</v>
      </c>
      <c r="AC3665" t="s">
        <v>119</v>
      </c>
      <c r="AD3665" t="s">
        <v>113</v>
      </c>
      <c r="AE3665" t="s">
        <v>3098</v>
      </c>
      <c r="AG3665" t="s">
        <v>121</v>
      </c>
    </row>
    <row r="3666" spans="1:33" x14ac:dyDescent="0.25">
      <c r="C3666" t="s">
        <v>20110</v>
      </c>
      <c r="G3666" t="s">
        <v>18939</v>
      </c>
      <c r="H3666" t="s">
        <v>17930</v>
      </c>
      <c r="J3666" t="s">
        <v>18940</v>
      </c>
      <c r="K3666" t="s">
        <v>303</v>
      </c>
      <c r="L3666" t="s">
        <v>3095</v>
      </c>
      <c r="M3666" t="s">
        <v>113</v>
      </c>
      <c r="N3666" t="s">
        <v>18941</v>
      </c>
      <c r="O3666" t="s">
        <v>18942</v>
      </c>
      <c r="P3666" t="s">
        <v>117</v>
      </c>
      <c r="Q3666" t="str">
        <f t="shared" si="1"/>
        <v>14301</v>
      </c>
      <c r="AC3666" t="s">
        <v>119</v>
      </c>
      <c r="AD3666" t="s">
        <v>113</v>
      </c>
      <c r="AE3666" t="s">
        <v>3098</v>
      </c>
      <c r="AG3666" t="s">
        <v>121</v>
      </c>
    </row>
    <row r="3667" spans="1:33" x14ac:dyDescent="0.25">
      <c r="C3667" t="s">
        <v>20111</v>
      </c>
      <c r="G3667" t="s">
        <v>18939</v>
      </c>
      <c r="H3667" t="s">
        <v>17930</v>
      </c>
      <c r="J3667" t="s">
        <v>18940</v>
      </c>
      <c r="K3667" t="s">
        <v>303</v>
      </c>
      <c r="L3667" t="s">
        <v>3095</v>
      </c>
      <c r="M3667" t="s">
        <v>113</v>
      </c>
      <c r="N3667" t="s">
        <v>18941</v>
      </c>
      <c r="O3667" t="s">
        <v>18942</v>
      </c>
      <c r="P3667" t="s">
        <v>117</v>
      </c>
      <c r="Q3667" t="str">
        <f t="shared" si="1"/>
        <v>14301</v>
      </c>
      <c r="AC3667" t="s">
        <v>119</v>
      </c>
      <c r="AD3667" t="s">
        <v>113</v>
      </c>
      <c r="AE3667" t="s">
        <v>3098</v>
      </c>
      <c r="AG3667" t="s">
        <v>121</v>
      </c>
    </row>
    <row r="3668" spans="1:33" x14ac:dyDescent="0.25">
      <c r="C3668" t="s">
        <v>20112</v>
      </c>
      <c r="G3668" t="s">
        <v>18939</v>
      </c>
      <c r="H3668" t="s">
        <v>17930</v>
      </c>
      <c r="J3668" t="s">
        <v>18940</v>
      </c>
      <c r="K3668" t="s">
        <v>303</v>
      </c>
      <c r="L3668" t="s">
        <v>3095</v>
      </c>
      <c r="M3668" t="s">
        <v>113</v>
      </c>
      <c r="N3668" t="s">
        <v>18941</v>
      </c>
      <c r="O3668" t="s">
        <v>18942</v>
      </c>
      <c r="P3668" t="s">
        <v>117</v>
      </c>
      <c r="Q3668" t="str">
        <f t="shared" si="1"/>
        <v>14301</v>
      </c>
      <c r="AC3668" t="s">
        <v>119</v>
      </c>
      <c r="AD3668" t="s">
        <v>113</v>
      </c>
      <c r="AE3668" t="s">
        <v>3098</v>
      </c>
      <c r="AG3668" t="s">
        <v>121</v>
      </c>
    </row>
    <row r="3669" spans="1:33" x14ac:dyDescent="0.25">
      <c r="C3669" t="s">
        <v>20113</v>
      </c>
      <c r="G3669" t="s">
        <v>18939</v>
      </c>
      <c r="H3669" t="s">
        <v>17930</v>
      </c>
      <c r="J3669" t="s">
        <v>18940</v>
      </c>
      <c r="K3669" t="s">
        <v>303</v>
      </c>
      <c r="L3669" t="s">
        <v>3095</v>
      </c>
      <c r="M3669" t="s">
        <v>113</v>
      </c>
      <c r="N3669" t="s">
        <v>18941</v>
      </c>
      <c r="O3669" t="s">
        <v>18942</v>
      </c>
      <c r="P3669" t="s">
        <v>117</v>
      </c>
      <c r="Q3669" t="str">
        <f t="shared" si="1"/>
        <v>14301</v>
      </c>
      <c r="AC3669" t="s">
        <v>119</v>
      </c>
      <c r="AD3669" t="s">
        <v>113</v>
      </c>
      <c r="AE3669" t="s">
        <v>3098</v>
      </c>
      <c r="AG3669" t="s">
        <v>121</v>
      </c>
    </row>
    <row r="3670" spans="1:33" x14ac:dyDescent="0.25">
      <c r="C3670" t="s">
        <v>20114</v>
      </c>
      <c r="G3670" t="s">
        <v>18939</v>
      </c>
      <c r="H3670" t="s">
        <v>17930</v>
      </c>
      <c r="J3670" t="s">
        <v>18940</v>
      </c>
      <c r="K3670" t="s">
        <v>303</v>
      </c>
      <c r="L3670" t="s">
        <v>3095</v>
      </c>
      <c r="M3670" t="s">
        <v>113</v>
      </c>
      <c r="N3670" t="s">
        <v>18941</v>
      </c>
      <c r="O3670" t="s">
        <v>18942</v>
      </c>
      <c r="P3670" t="s">
        <v>117</v>
      </c>
      <c r="Q3670" t="str">
        <f t="shared" si="1"/>
        <v>14301</v>
      </c>
      <c r="AC3670" t="s">
        <v>119</v>
      </c>
      <c r="AD3670" t="s">
        <v>113</v>
      </c>
      <c r="AE3670" t="s">
        <v>3098</v>
      </c>
      <c r="AG3670" t="s">
        <v>121</v>
      </c>
    </row>
    <row r="3671" spans="1:33" x14ac:dyDescent="0.25">
      <c r="A3671" t="str">
        <f>"1417155193"</f>
        <v>1417155193</v>
      </c>
      <c r="C3671" t="s">
        <v>20115</v>
      </c>
      <c r="G3671" t="s">
        <v>18939</v>
      </c>
      <c r="H3671" t="s">
        <v>17930</v>
      </c>
      <c r="J3671" t="s">
        <v>18940</v>
      </c>
      <c r="K3671" t="s">
        <v>303</v>
      </c>
      <c r="L3671" t="s">
        <v>112</v>
      </c>
      <c r="M3671" t="s">
        <v>113</v>
      </c>
      <c r="R3671" t="s">
        <v>20116</v>
      </c>
      <c r="S3671" t="s">
        <v>16423</v>
      </c>
      <c r="T3671" t="s">
        <v>663</v>
      </c>
      <c r="U3671" t="s">
        <v>117</v>
      </c>
      <c r="V3671" t="str">
        <f>"140941421"</f>
        <v>140941421</v>
      </c>
      <c r="AC3671" t="s">
        <v>119</v>
      </c>
      <c r="AD3671" t="s">
        <v>113</v>
      </c>
      <c r="AE3671" t="s">
        <v>306</v>
      </c>
      <c r="AG3671" t="s">
        <v>121</v>
      </c>
    </row>
    <row r="3672" spans="1:33" x14ac:dyDescent="0.25">
      <c r="C3672" t="s">
        <v>20117</v>
      </c>
      <c r="G3672" t="s">
        <v>18939</v>
      </c>
      <c r="H3672" t="s">
        <v>17930</v>
      </c>
      <c r="J3672" t="s">
        <v>18940</v>
      </c>
      <c r="K3672" t="s">
        <v>303</v>
      </c>
      <c r="L3672" t="s">
        <v>3095</v>
      </c>
      <c r="M3672" t="s">
        <v>113</v>
      </c>
      <c r="N3672" t="s">
        <v>18941</v>
      </c>
      <c r="O3672" t="s">
        <v>18942</v>
      </c>
      <c r="P3672" t="s">
        <v>117</v>
      </c>
      <c r="Q3672" t="str">
        <f t="shared" ref="Q3672:Q3684" si="2">"14301"</f>
        <v>14301</v>
      </c>
      <c r="AC3672" t="s">
        <v>119</v>
      </c>
      <c r="AD3672" t="s">
        <v>113</v>
      </c>
      <c r="AE3672" t="s">
        <v>3098</v>
      </c>
      <c r="AG3672" t="s">
        <v>121</v>
      </c>
    </row>
    <row r="3673" spans="1:33" x14ac:dyDescent="0.25">
      <c r="C3673" t="s">
        <v>20118</v>
      </c>
      <c r="G3673" t="s">
        <v>18939</v>
      </c>
      <c r="H3673" t="s">
        <v>17930</v>
      </c>
      <c r="J3673" t="s">
        <v>18940</v>
      </c>
      <c r="K3673" t="s">
        <v>303</v>
      </c>
      <c r="L3673" t="s">
        <v>3095</v>
      </c>
      <c r="M3673" t="s">
        <v>113</v>
      </c>
      <c r="N3673" t="s">
        <v>18941</v>
      </c>
      <c r="O3673" t="s">
        <v>18942</v>
      </c>
      <c r="P3673" t="s">
        <v>117</v>
      </c>
      <c r="Q3673" t="str">
        <f t="shared" si="2"/>
        <v>14301</v>
      </c>
      <c r="AC3673" t="s">
        <v>119</v>
      </c>
      <c r="AD3673" t="s">
        <v>113</v>
      </c>
      <c r="AE3673" t="s">
        <v>3098</v>
      </c>
      <c r="AG3673" t="s">
        <v>121</v>
      </c>
    </row>
    <row r="3674" spans="1:33" x14ac:dyDescent="0.25">
      <c r="C3674" t="s">
        <v>20119</v>
      </c>
      <c r="G3674" t="s">
        <v>18939</v>
      </c>
      <c r="H3674" t="s">
        <v>17930</v>
      </c>
      <c r="J3674" t="s">
        <v>18940</v>
      </c>
      <c r="K3674" t="s">
        <v>303</v>
      </c>
      <c r="L3674" t="s">
        <v>3095</v>
      </c>
      <c r="M3674" t="s">
        <v>113</v>
      </c>
      <c r="N3674" t="s">
        <v>18941</v>
      </c>
      <c r="O3674" t="s">
        <v>18942</v>
      </c>
      <c r="P3674" t="s">
        <v>117</v>
      </c>
      <c r="Q3674" t="str">
        <f t="shared" si="2"/>
        <v>14301</v>
      </c>
      <c r="AC3674" t="s">
        <v>119</v>
      </c>
      <c r="AD3674" t="s">
        <v>113</v>
      </c>
      <c r="AE3674" t="s">
        <v>3098</v>
      </c>
      <c r="AG3674" t="s">
        <v>121</v>
      </c>
    </row>
    <row r="3675" spans="1:33" x14ac:dyDescent="0.25">
      <c r="C3675" t="s">
        <v>20120</v>
      </c>
      <c r="G3675" t="s">
        <v>18939</v>
      </c>
      <c r="H3675" t="s">
        <v>17930</v>
      </c>
      <c r="J3675" t="s">
        <v>18940</v>
      </c>
      <c r="K3675" t="s">
        <v>303</v>
      </c>
      <c r="L3675" t="s">
        <v>3095</v>
      </c>
      <c r="M3675" t="s">
        <v>113</v>
      </c>
      <c r="N3675" t="s">
        <v>18941</v>
      </c>
      <c r="O3675" t="s">
        <v>18942</v>
      </c>
      <c r="P3675" t="s">
        <v>117</v>
      </c>
      <c r="Q3675" t="str">
        <f t="shared" si="2"/>
        <v>14301</v>
      </c>
      <c r="AC3675" t="s">
        <v>119</v>
      </c>
      <c r="AD3675" t="s">
        <v>113</v>
      </c>
      <c r="AE3675" t="s">
        <v>3098</v>
      </c>
      <c r="AG3675" t="s">
        <v>121</v>
      </c>
    </row>
    <row r="3676" spans="1:33" x14ac:dyDescent="0.25">
      <c r="C3676" t="s">
        <v>20121</v>
      </c>
      <c r="G3676" t="s">
        <v>18939</v>
      </c>
      <c r="H3676" t="s">
        <v>17930</v>
      </c>
      <c r="J3676" t="s">
        <v>18940</v>
      </c>
      <c r="K3676" t="s">
        <v>303</v>
      </c>
      <c r="L3676" t="s">
        <v>3095</v>
      </c>
      <c r="M3676" t="s">
        <v>113</v>
      </c>
      <c r="N3676" t="s">
        <v>18941</v>
      </c>
      <c r="O3676" t="s">
        <v>18942</v>
      </c>
      <c r="P3676" t="s">
        <v>117</v>
      </c>
      <c r="Q3676" t="str">
        <f t="shared" si="2"/>
        <v>14301</v>
      </c>
      <c r="AC3676" t="s">
        <v>119</v>
      </c>
      <c r="AD3676" t="s">
        <v>113</v>
      </c>
      <c r="AE3676" t="s">
        <v>3098</v>
      </c>
      <c r="AG3676" t="s">
        <v>121</v>
      </c>
    </row>
    <row r="3677" spans="1:33" x14ac:dyDescent="0.25">
      <c r="C3677" t="s">
        <v>20122</v>
      </c>
      <c r="G3677" t="s">
        <v>18939</v>
      </c>
      <c r="H3677" t="s">
        <v>17930</v>
      </c>
      <c r="J3677" t="s">
        <v>18940</v>
      </c>
      <c r="K3677" t="s">
        <v>303</v>
      </c>
      <c r="L3677" t="s">
        <v>3095</v>
      </c>
      <c r="M3677" t="s">
        <v>113</v>
      </c>
      <c r="N3677" t="s">
        <v>18941</v>
      </c>
      <c r="O3677" t="s">
        <v>18942</v>
      </c>
      <c r="P3677" t="s">
        <v>117</v>
      </c>
      <c r="Q3677" t="str">
        <f t="shared" si="2"/>
        <v>14301</v>
      </c>
      <c r="AC3677" t="s">
        <v>119</v>
      </c>
      <c r="AD3677" t="s">
        <v>113</v>
      </c>
      <c r="AE3677" t="s">
        <v>3098</v>
      </c>
      <c r="AG3677" t="s">
        <v>121</v>
      </c>
    </row>
    <row r="3678" spans="1:33" x14ac:dyDescent="0.25">
      <c r="C3678" t="s">
        <v>20123</v>
      </c>
      <c r="G3678" t="s">
        <v>18939</v>
      </c>
      <c r="H3678" t="s">
        <v>17930</v>
      </c>
      <c r="J3678" t="s">
        <v>18940</v>
      </c>
      <c r="K3678" t="s">
        <v>303</v>
      </c>
      <c r="L3678" t="s">
        <v>3095</v>
      </c>
      <c r="M3678" t="s">
        <v>113</v>
      </c>
      <c r="N3678" t="s">
        <v>18941</v>
      </c>
      <c r="O3678" t="s">
        <v>18942</v>
      </c>
      <c r="P3678" t="s">
        <v>117</v>
      </c>
      <c r="Q3678" t="str">
        <f t="shared" si="2"/>
        <v>14301</v>
      </c>
      <c r="AC3678" t="s">
        <v>119</v>
      </c>
      <c r="AD3678" t="s">
        <v>113</v>
      </c>
      <c r="AE3678" t="s">
        <v>3098</v>
      </c>
      <c r="AG3678" t="s">
        <v>121</v>
      </c>
    </row>
    <row r="3679" spans="1:33" x14ac:dyDescent="0.25">
      <c r="C3679" t="s">
        <v>20124</v>
      </c>
      <c r="G3679" t="s">
        <v>18939</v>
      </c>
      <c r="H3679" t="s">
        <v>17930</v>
      </c>
      <c r="J3679" t="s">
        <v>18940</v>
      </c>
      <c r="K3679" t="s">
        <v>303</v>
      </c>
      <c r="L3679" t="s">
        <v>3095</v>
      </c>
      <c r="M3679" t="s">
        <v>113</v>
      </c>
      <c r="N3679" t="s">
        <v>18941</v>
      </c>
      <c r="O3679" t="s">
        <v>18942</v>
      </c>
      <c r="P3679" t="s">
        <v>117</v>
      </c>
      <c r="Q3679" t="str">
        <f t="shared" si="2"/>
        <v>14301</v>
      </c>
      <c r="AC3679" t="s">
        <v>119</v>
      </c>
      <c r="AD3679" t="s">
        <v>113</v>
      </c>
      <c r="AE3679" t="s">
        <v>3098</v>
      </c>
      <c r="AG3679" t="s">
        <v>121</v>
      </c>
    </row>
    <row r="3680" spans="1:33" x14ac:dyDescent="0.25">
      <c r="C3680" t="s">
        <v>20125</v>
      </c>
      <c r="G3680" t="s">
        <v>18939</v>
      </c>
      <c r="H3680" t="s">
        <v>17930</v>
      </c>
      <c r="J3680" t="s">
        <v>18940</v>
      </c>
      <c r="K3680" t="s">
        <v>303</v>
      </c>
      <c r="L3680" t="s">
        <v>3095</v>
      </c>
      <c r="M3680" t="s">
        <v>113</v>
      </c>
      <c r="N3680" t="s">
        <v>18941</v>
      </c>
      <c r="O3680" t="s">
        <v>18942</v>
      </c>
      <c r="P3680" t="s">
        <v>117</v>
      </c>
      <c r="Q3680" t="str">
        <f t="shared" si="2"/>
        <v>14301</v>
      </c>
      <c r="AC3680" t="s">
        <v>119</v>
      </c>
      <c r="AD3680" t="s">
        <v>113</v>
      </c>
      <c r="AE3680" t="s">
        <v>3098</v>
      </c>
      <c r="AG3680" t="s">
        <v>121</v>
      </c>
    </row>
    <row r="3681" spans="1:33" x14ac:dyDescent="0.25">
      <c r="C3681" t="s">
        <v>20126</v>
      </c>
      <c r="G3681" t="s">
        <v>18939</v>
      </c>
      <c r="H3681" t="s">
        <v>17930</v>
      </c>
      <c r="J3681" t="s">
        <v>18940</v>
      </c>
      <c r="K3681" t="s">
        <v>303</v>
      </c>
      <c r="L3681" t="s">
        <v>3095</v>
      </c>
      <c r="M3681" t="s">
        <v>113</v>
      </c>
      <c r="N3681" t="s">
        <v>18941</v>
      </c>
      <c r="O3681" t="s">
        <v>18942</v>
      </c>
      <c r="P3681" t="s">
        <v>117</v>
      </c>
      <c r="Q3681" t="str">
        <f t="shared" si="2"/>
        <v>14301</v>
      </c>
      <c r="AC3681" t="s">
        <v>119</v>
      </c>
      <c r="AD3681" t="s">
        <v>113</v>
      </c>
      <c r="AE3681" t="s">
        <v>3098</v>
      </c>
      <c r="AG3681" t="s">
        <v>121</v>
      </c>
    </row>
    <row r="3682" spans="1:33" x14ac:dyDescent="0.25">
      <c r="C3682" t="s">
        <v>20127</v>
      </c>
      <c r="G3682" t="s">
        <v>18939</v>
      </c>
      <c r="H3682" t="s">
        <v>17930</v>
      </c>
      <c r="J3682" t="s">
        <v>18940</v>
      </c>
      <c r="K3682" t="s">
        <v>303</v>
      </c>
      <c r="L3682" t="s">
        <v>3095</v>
      </c>
      <c r="M3682" t="s">
        <v>113</v>
      </c>
      <c r="N3682" t="s">
        <v>18941</v>
      </c>
      <c r="O3682" t="s">
        <v>18942</v>
      </c>
      <c r="P3682" t="s">
        <v>117</v>
      </c>
      <c r="Q3682" t="str">
        <f t="shared" si="2"/>
        <v>14301</v>
      </c>
      <c r="AC3682" t="s">
        <v>119</v>
      </c>
      <c r="AD3682" t="s">
        <v>113</v>
      </c>
      <c r="AE3682" t="s">
        <v>3098</v>
      </c>
      <c r="AG3682" t="s">
        <v>121</v>
      </c>
    </row>
    <row r="3683" spans="1:33" x14ac:dyDescent="0.25">
      <c r="C3683" t="s">
        <v>20128</v>
      </c>
      <c r="G3683" t="s">
        <v>18939</v>
      </c>
      <c r="H3683" t="s">
        <v>17930</v>
      </c>
      <c r="J3683" t="s">
        <v>18940</v>
      </c>
      <c r="K3683" t="s">
        <v>303</v>
      </c>
      <c r="L3683" t="s">
        <v>3095</v>
      </c>
      <c r="M3683" t="s">
        <v>113</v>
      </c>
      <c r="N3683" t="s">
        <v>18941</v>
      </c>
      <c r="O3683" t="s">
        <v>18942</v>
      </c>
      <c r="P3683" t="s">
        <v>117</v>
      </c>
      <c r="Q3683" t="str">
        <f t="shared" si="2"/>
        <v>14301</v>
      </c>
      <c r="AC3683" t="s">
        <v>119</v>
      </c>
      <c r="AD3683" t="s">
        <v>113</v>
      </c>
      <c r="AE3683" t="s">
        <v>3098</v>
      </c>
      <c r="AG3683" t="s">
        <v>121</v>
      </c>
    </row>
    <row r="3684" spans="1:33" x14ac:dyDescent="0.25">
      <c r="C3684" t="s">
        <v>20129</v>
      </c>
      <c r="G3684" t="s">
        <v>18939</v>
      </c>
      <c r="H3684" t="s">
        <v>17930</v>
      </c>
      <c r="J3684" t="s">
        <v>18940</v>
      </c>
      <c r="K3684" t="s">
        <v>303</v>
      </c>
      <c r="L3684" t="s">
        <v>3095</v>
      </c>
      <c r="M3684" t="s">
        <v>113</v>
      </c>
      <c r="N3684" t="s">
        <v>18941</v>
      </c>
      <c r="O3684" t="s">
        <v>18942</v>
      </c>
      <c r="P3684" t="s">
        <v>117</v>
      </c>
      <c r="Q3684" t="str">
        <f t="shared" si="2"/>
        <v>14301</v>
      </c>
      <c r="AC3684" t="s">
        <v>119</v>
      </c>
      <c r="AD3684" t="s">
        <v>113</v>
      </c>
      <c r="AE3684" t="s">
        <v>3098</v>
      </c>
      <c r="AG3684" t="s">
        <v>121</v>
      </c>
    </row>
    <row r="3685" spans="1:33" x14ac:dyDescent="0.25">
      <c r="A3685" t="str">
        <f>"1720373392"</f>
        <v>1720373392</v>
      </c>
      <c r="C3685" t="s">
        <v>20130</v>
      </c>
      <c r="G3685" t="s">
        <v>18939</v>
      </c>
      <c r="H3685" t="s">
        <v>17930</v>
      </c>
      <c r="J3685" t="s">
        <v>18940</v>
      </c>
      <c r="K3685" t="s">
        <v>303</v>
      </c>
      <c r="L3685" t="s">
        <v>229</v>
      </c>
      <c r="M3685" t="s">
        <v>113</v>
      </c>
      <c r="R3685" t="s">
        <v>20131</v>
      </c>
      <c r="S3685" t="s">
        <v>6742</v>
      </c>
      <c r="T3685" t="s">
        <v>153</v>
      </c>
      <c r="U3685" t="s">
        <v>117</v>
      </c>
      <c r="V3685" t="str">
        <f>"143011201"</f>
        <v>143011201</v>
      </c>
      <c r="AC3685" t="s">
        <v>119</v>
      </c>
      <c r="AD3685" t="s">
        <v>113</v>
      </c>
      <c r="AE3685" t="s">
        <v>306</v>
      </c>
      <c r="AG3685" t="s">
        <v>121</v>
      </c>
    </row>
    <row r="3686" spans="1:33" x14ac:dyDescent="0.25">
      <c r="C3686" t="s">
        <v>20132</v>
      </c>
      <c r="G3686" t="s">
        <v>18939</v>
      </c>
      <c r="H3686" t="s">
        <v>17930</v>
      </c>
      <c r="J3686" t="s">
        <v>18940</v>
      </c>
      <c r="K3686" t="s">
        <v>303</v>
      </c>
      <c r="L3686" t="s">
        <v>3095</v>
      </c>
      <c r="M3686" t="s">
        <v>113</v>
      </c>
      <c r="N3686" t="s">
        <v>18941</v>
      </c>
      <c r="O3686" t="s">
        <v>18942</v>
      </c>
      <c r="P3686" t="s">
        <v>117</v>
      </c>
      <c r="Q3686" t="str">
        <f>"14301"</f>
        <v>14301</v>
      </c>
      <c r="AC3686" t="s">
        <v>119</v>
      </c>
      <c r="AD3686" t="s">
        <v>113</v>
      </c>
      <c r="AE3686" t="s">
        <v>3098</v>
      </c>
      <c r="AG3686" t="s">
        <v>121</v>
      </c>
    </row>
    <row r="3687" spans="1:33" x14ac:dyDescent="0.25">
      <c r="C3687" t="s">
        <v>20133</v>
      </c>
      <c r="G3687" t="s">
        <v>18939</v>
      </c>
      <c r="H3687" t="s">
        <v>17930</v>
      </c>
      <c r="J3687" t="s">
        <v>18940</v>
      </c>
      <c r="K3687" t="s">
        <v>303</v>
      </c>
      <c r="L3687" t="s">
        <v>3095</v>
      </c>
      <c r="M3687" t="s">
        <v>113</v>
      </c>
      <c r="N3687" t="s">
        <v>18941</v>
      </c>
      <c r="O3687" t="s">
        <v>18942</v>
      </c>
      <c r="P3687" t="s">
        <v>117</v>
      </c>
      <c r="Q3687" t="str">
        <f>"14301"</f>
        <v>14301</v>
      </c>
      <c r="AC3687" t="s">
        <v>119</v>
      </c>
      <c r="AD3687" t="s">
        <v>113</v>
      </c>
      <c r="AE3687" t="s">
        <v>3098</v>
      </c>
      <c r="AG3687" t="s">
        <v>121</v>
      </c>
    </row>
    <row r="3688" spans="1:33" x14ac:dyDescent="0.25">
      <c r="C3688" t="s">
        <v>20134</v>
      </c>
      <c r="G3688" t="s">
        <v>18939</v>
      </c>
      <c r="H3688" t="s">
        <v>17930</v>
      </c>
      <c r="J3688" t="s">
        <v>18940</v>
      </c>
      <c r="K3688" t="s">
        <v>303</v>
      </c>
      <c r="L3688" t="s">
        <v>3095</v>
      </c>
      <c r="M3688" t="s">
        <v>113</v>
      </c>
      <c r="N3688" t="s">
        <v>18941</v>
      </c>
      <c r="O3688" t="s">
        <v>18942</v>
      </c>
      <c r="P3688" t="s">
        <v>117</v>
      </c>
      <c r="Q3688" t="str">
        <f>"14301"</f>
        <v>14301</v>
      </c>
      <c r="AC3688" t="s">
        <v>119</v>
      </c>
      <c r="AD3688" t="s">
        <v>113</v>
      </c>
      <c r="AE3688" t="s">
        <v>3098</v>
      </c>
      <c r="AG3688" t="s">
        <v>121</v>
      </c>
    </row>
    <row r="3689" spans="1:33" x14ac:dyDescent="0.25">
      <c r="C3689" t="s">
        <v>20135</v>
      </c>
      <c r="G3689" t="s">
        <v>18939</v>
      </c>
      <c r="H3689" t="s">
        <v>17930</v>
      </c>
      <c r="J3689" t="s">
        <v>18940</v>
      </c>
      <c r="K3689" t="s">
        <v>303</v>
      </c>
      <c r="L3689" t="s">
        <v>3095</v>
      </c>
      <c r="M3689" t="s">
        <v>113</v>
      </c>
      <c r="N3689" t="s">
        <v>18941</v>
      </c>
      <c r="O3689" t="s">
        <v>18942</v>
      </c>
      <c r="P3689" t="s">
        <v>117</v>
      </c>
      <c r="Q3689" t="str">
        <f>"14301"</f>
        <v>14301</v>
      </c>
      <c r="AC3689" t="s">
        <v>119</v>
      </c>
      <c r="AD3689" t="s">
        <v>113</v>
      </c>
      <c r="AE3689" t="s">
        <v>3098</v>
      </c>
      <c r="AG3689" t="s">
        <v>121</v>
      </c>
    </row>
    <row r="3690" spans="1:33" x14ac:dyDescent="0.25">
      <c r="C3690" t="s">
        <v>20136</v>
      </c>
      <c r="G3690" t="s">
        <v>18939</v>
      </c>
      <c r="H3690" t="s">
        <v>17930</v>
      </c>
      <c r="J3690" t="s">
        <v>18940</v>
      </c>
      <c r="K3690" t="s">
        <v>303</v>
      </c>
      <c r="L3690" t="s">
        <v>3095</v>
      </c>
      <c r="M3690" t="s">
        <v>113</v>
      </c>
      <c r="N3690" t="s">
        <v>18941</v>
      </c>
      <c r="O3690" t="s">
        <v>18942</v>
      </c>
      <c r="P3690" t="s">
        <v>117</v>
      </c>
      <c r="Q3690" t="str">
        <f>"14301"</f>
        <v>14301</v>
      </c>
      <c r="AC3690" t="s">
        <v>119</v>
      </c>
      <c r="AD3690" t="s">
        <v>113</v>
      </c>
      <c r="AE3690" t="s">
        <v>3098</v>
      </c>
      <c r="AG3690" t="s">
        <v>121</v>
      </c>
    </row>
    <row r="3691" spans="1:33" x14ac:dyDescent="0.25">
      <c r="A3691" t="str">
        <f>"1437213857"</f>
        <v>1437213857</v>
      </c>
      <c r="B3691" t="str">
        <f>"02407234"</f>
        <v>02407234</v>
      </c>
      <c r="C3691" t="s">
        <v>20137</v>
      </c>
      <c r="D3691" t="s">
        <v>20138</v>
      </c>
      <c r="E3691" t="s">
        <v>20139</v>
      </c>
      <c r="G3691" t="s">
        <v>20140</v>
      </c>
      <c r="H3691" t="s">
        <v>20141</v>
      </c>
      <c r="J3691" t="s">
        <v>20142</v>
      </c>
      <c r="L3691" t="s">
        <v>142</v>
      </c>
      <c r="M3691" t="s">
        <v>113</v>
      </c>
      <c r="R3691" t="s">
        <v>20143</v>
      </c>
      <c r="W3691" t="s">
        <v>20139</v>
      </c>
      <c r="X3691" t="s">
        <v>20144</v>
      </c>
      <c r="Y3691" t="s">
        <v>541</v>
      </c>
      <c r="Z3691" t="s">
        <v>117</v>
      </c>
      <c r="AA3691" t="str">
        <f>"14048-2514"</f>
        <v>14048-2514</v>
      </c>
      <c r="AB3691" t="s">
        <v>118</v>
      </c>
      <c r="AC3691" t="s">
        <v>119</v>
      </c>
      <c r="AD3691" t="s">
        <v>113</v>
      </c>
      <c r="AE3691" t="s">
        <v>120</v>
      </c>
      <c r="AG3691" t="s">
        <v>121</v>
      </c>
    </row>
    <row r="3692" spans="1:33" x14ac:dyDescent="0.25">
      <c r="A3692" t="str">
        <f>"1366532194"</f>
        <v>1366532194</v>
      </c>
      <c r="B3692" t="str">
        <f>"03547519"</f>
        <v>03547519</v>
      </c>
      <c r="C3692" t="s">
        <v>20145</v>
      </c>
      <c r="D3692" t="s">
        <v>20146</v>
      </c>
      <c r="E3692" t="s">
        <v>20147</v>
      </c>
      <c r="G3692" t="s">
        <v>20140</v>
      </c>
      <c r="H3692" t="s">
        <v>20141</v>
      </c>
      <c r="J3692" t="s">
        <v>20142</v>
      </c>
      <c r="L3692" t="s">
        <v>112</v>
      </c>
      <c r="M3692" t="s">
        <v>113</v>
      </c>
      <c r="R3692" t="s">
        <v>20148</v>
      </c>
      <c r="W3692" t="s">
        <v>20147</v>
      </c>
      <c r="X3692" t="s">
        <v>20149</v>
      </c>
      <c r="Y3692" t="s">
        <v>305</v>
      </c>
      <c r="Z3692" t="s">
        <v>117</v>
      </c>
      <c r="AA3692" t="str">
        <f>"14760-1532"</f>
        <v>14760-1532</v>
      </c>
      <c r="AB3692" t="s">
        <v>634</v>
      </c>
      <c r="AC3692" t="s">
        <v>119</v>
      </c>
      <c r="AD3692" t="s">
        <v>113</v>
      </c>
      <c r="AE3692" t="s">
        <v>120</v>
      </c>
      <c r="AG3692" t="s">
        <v>121</v>
      </c>
    </row>
    <row r="3693" spans="1:33" x14ac:dyDescent="0.25">
      <c r="A3693" t="str">
        <f>"1861456758"</f>
        <v>1861456758</v>
      </c>
      <c r="B3693" t="str">
        <f>"02429183"</f>
        <v>02429183</v>
      </c>
      <c r="C3693" t="s">
        <v>20150</v>
      </c>
      <c r="D3693" t="s">
        <v>20151</v>
      </c>
      <c r="E3693" t="s">
        <v>20152</v>
      </c>
      <c r="H3693" t="s">
        <v>8377</v>
      </c>
      <c r="L3693" t="s">
        <v>142</v>
      </c>
      <c r="M3693" t="s">
        <v>113</v>
      </c>
      <c r="R3693" t="s">
        <v>20153</v>
      </c>
      <c r="W3693" t="s">
        <v>20154</v>
      </c>
      <c r="X3693" t="s">
        <v>11272</v>
      </c>
      <c r="Y3693" t="s">
        <v>663</v>
      </c>
      <c r="Z3693" t="s">
        <v>117</v>
      </c>
      <c r="AA3693" t="str">
        <f>"14094-9497"</f>
        <v>14094-9497</v>
      </c>
      <c r="AB3693" t="s">
        <v>118</v>
      </c>
      <c r="AC3693" t="s">
        <v>119</v>
      </c>
      <c r="AD3693" t="s">
        <v>113</v>
      </c>
      <c r="AE3693" t="s">
        <v>120</v>
      </c>
      <c r="AG3693" t="s">
        <v>121</v>
      </c>
    </row>
    <row r="3694" spans="1:33" x14ac:dyDescent="0.25">
      <c r="A3694" t="str">
        <f>"1861457848"</f>
        <v>1861457848</v>
      </c>
      <c r="B3694" t="str">
        <f>"01129602"</f>
        <v>01129602</v>
      </c>
      <c r="C3694" t="s">
        <v>20155</v>
      </c>
      <c r="D3694" t="s">
        <v>20156</v>
      </c>
      <c r="E3694" t="s">
        <v>20157</v>
      </c>
      <c r="G3694" t="s">
        <v>20155</v>
      </c>
      <c r="H3694" t="s">
        <v>213</v>
      </c>
      <c r="J3694" t="s">
        <v>20158</v>
      </c>
      <c r="L3694" t="s">
        <v>112</v>
      </c>
      <c r="M3694" t="s">
        <v>199</v>
      </c>
      <c r="R3694" t="s">
        <v>20159</v>
      </c>
      <c r="W3694" t="s">
        <v>20157</v>
      </c>
      <c r="X3694" t="s">
        <v>216</v>
      </c>
      <c r="Y3694" t="s">
        <v>116</v>
      </c>
      <c r="Z3694" t="s">
        <v>117</v>
      </c>
      <c r="AA3694" t="str">
        <f>"14222-2006"</f>
        <v>14222-2006</v>
      </c>
      <c r="AB3694" t="s">
        <v>118</v>
      </c>
      <c r="AC3694" t="s">
        <v>119</v>
      </c>
      <c r="AD3694" t="s">
        <v>113</v>
      </c>
      <c r="AE3694" t="s">
        <v>120</v>
      </c>
      <c r="AG3694" t="s">
        <v>121</v>
      </c>
    </row>
    <row r="3695" spans="1:33" x14ac:dyDescent="0.25">
      <c r="A3695" t="str">
        <f>"1861461238"</f>
        <v>1861461238</v>
      </c>
      <c r="B3695" t="str">
        <f>"02040568"</f>
        <v>02040568</v>
      </c>
      <c r="C3695" t="s">
        <v>20160</v>
      </c>
      <c r="D3695" t="s">
        <v>20161</v>
      </c>
      <c r="E3695" t="s">
        <v>20162</v>
      </c>
      <c r="G3695" t="s">
        <v>20163</v>
      </c>
      <c r="H3695" t="s">
        <v>579</v>
      </c>
      <c r="J3695" t="s">
        <v>20164</v>
      </c>
      <c r="L3695" t="s">
        <v>142</v>
      </c>
      <c r="M3695" t="s">
        <v>113</v>
      </c>
      <c r="R3695" t="s">
        <v>20165</v>
      </c>
      <c r="W3695" t="s">
        <v>20162</v>
      </c>
      <c r="X3695" t="s">
        <v>838</v>
      </c>
      <c r="Y3695" t="s">
        <v>240</v>
      </c>
      <c r="Z3695" t="s">
        <v>117</v>
      </c>
      <c r="AA3695" t="str">
        <f>"14221-3647"</f>
        <v>14221-3647</v>
      </c>
      <c r="AB3695" t="s">
        <v>118</v>
      </c>
      <c r="AC3695" t="s">
        <v>119</v>
      </c>
      <c r="AD3695" t="s">
        <v>113</v>
      </c>
      <c r="AE3695" t="s">
        <v>120</v>
      </c>
      <c r="AG3695" t="s">
        <v>121</v>
      </c>
    </row>
    <row r="3696" spans="1:33" x14ac:dyDescent="0.25">
      <c r="A3696" t="str">
        <f>"1861463390"</f>
        <v>1861463390</v>
      </c>
      <c r="B3696" t="str">
        <f>"03105346"</f>
        <v>03105346</v>
      </c>
      <c r="C3696" t="s">
        <v>20166</v>
      </c>
      <c r="D3696" t="s">
        <v>20167</v>
      </c>
      <c r="E3696" t="s">
        <v>20168</v>
      </c>
      <c r="G3696" t="s">
        <v>20166</v>
      </c>
      <c r="H3696" t="s">
        <v>20169</v>
      </c>
      <c r="J3696" t="s">
        <v>20170</v>
      </c>
      <c r="L3696" t="s">
        <v>142</v>
      </c>
      <c r="M3696" t="s">
        <v>113</v>
      </c>
      <c r="R3696" t="s">
        <v>20171</v>
      </c>
      <c r="W3696" t="s">
        <v>20168</v>
      </c>
      <c r="X3696" t="s">
        <v>216</v>
      </c>
      <c r="Y3696" t="s">
        <v>116</v>
      </c>
      <c r="Z3696" t="s">
        <v>117</v>
      </c>
      <c r="AA3696" t="str">
        <f>"14222-2006"</f>
        <v>14222-2006</v>
      </c>
      <c r="AB3696" t="s">
        <v>118</v>
      </c>
      <c r="AC3696" t="s">
        <v>119</v>
      </c>
      <c r="AD3696" t="s">
        <v>113</v>
      </c>
      <c r="AE3696" t="s">
        <v>120</v>
      </c>
      <c r="AG3696" t="s">
        <v>121</v>
      </c>
    </row>
    <row r="3697" spans="1:33" x14ac:dyDescent="0.25">
      <c r="A3697" t="str">
        <f>"1861478018"</f>
        <v>1861478018</v>
      </c>
      <c r="B3697" t="str">
        <f>"02462206"</f>
        <v>02462206</v>
      </c>
      <c r="C3697" t="s">
        <v>20172</v>
      </c>
      <c r="D3697" t="s">
        <v>20173</v>
      </c>
      <c r="E3697" t="s">
        <v>20174</v>
      </c>
      <c r="G3697" t="s">
        <v>20175</v>
      </c>
      <c r="H3697" t="s">
        <v>20176</v>
      </c>
      <c r="J3697" t="s">
        <v>20177</v>
      </c>
      <c r="L3697" t="s">
        <v>142</v>
      </c>
      <c r="M3697" t="s">
        <v>113</v>
      </c>
      <c r="R3697" t="s">
        <v>20178</v>
      </c>
      <c r="W3697" t="s">
        <v>20174</v>
      </c>
      <c r="X3697" t="s">
        <v>6680</v>
      </c>
      <c r="Y3697" t="s">
        <v>512</v>
      </c>
      <c r="Z3697" t="s">
        <v>117</v>
      </c>
      <c r="AA3697" t="str">
        <f>"14092-2218"</f>
        <v>14092-2218</v>
      </c>
      <c r="AB3697" t="s">
        <v>118</v>
      </c>
      <c r="AC3697" t="s">
        <v>119</v>
      </c>
      <c r="AD3697" t="s">
        <v>113</v>
      </c>
      <c r="AE3697" t="s">
        <v>120</v>
      </c>
      <c r="AG3697" t="s">
        <v>121</v>
      </c>
    </row>
    <row r="3698" spans="1:33" x14ac:dyDescent="0.25">
      <c r="A3698" t="str">
        <f>"1861498750"</f>
        <v>1861498750</v>
      </c>
      <c r="B3698" t="str">
        <f>"01436011"</f>
        <v>01436011</v>
      </c>
      <c r="C3698" t="s">
        <v>20179</v>
      </c>
      <c r="D3698" t="s">
        <v>20180</v>
      </c>
      <c r="E3698" t="s">
        <v>20181</v>
      </c>
      <c r="G3698" t="s">
        <v>20179</v>
      </c>
      <c r="H3698" t="s">
        <v>707</v>
      </c>
      <c r="J3698" t="s">
        <v>20182</v>
      </c>
      <c r="L3698" t="s">
        <v>142</v>
      </c>
      <c r="M3698" t="s">
        <v>113</v>
      </c>
      <c r="R3698" t="s">
        <v>20183</v>
      </c>
      <c r="W3698" t="s">
        <v>20181</v>
      </c>
      <c r="X3698" t="s">
        <v>16392</v>
      </c>
      <c r="Y3698" t="s">
        <v>116</v>
      </c>
      <c r="Z3698" t="s">
        <v>117</v>
      </c>
      <c r="AA3698" t="str">
        <f>"14263-0001"</f>
        <v>14263-0001</v>
      </c>
      <c r="AB3698" t="s">
        <v>118</v>
      </c>
      <c r="AC3698" t="s">
        <v>119</v>
      </c>
      <c r="AD3698" t="s">
        <v>113</v>
      </c>
      <c r="AE3698" t="s">
        <v>120</v>
      </c>
      <c r="AG3698" t="s">
        <v>121</v>
      </c>
    </row>
    <row r="3699" spans="1:33" x14ac:dyDescent="0.25">
      <c r="A3699" t="str">
        <f>"1861521072"</f>
        <v>1861521072</v>
      </c>
      <c r="B3699" t="str">
        <f>"03003954"</f>
        <v>03003954</v>
      </c>
      <c r="C3699" t="s">
        <v>13227</v>
      </c>
      <c r="D3699" t="s">
        <v>10666</v>
      </c>
      <c r="E3699" t="s">
        <v>10667</v>
      </c>
      <c r="H3699" t="s">
        <v>13230</v>
      </c>
      <c r="L3699" t="s">
        <v>1143</v>
      </c>
      <c r="M3699" t="s">
        <v>199</v>
      </c>
      <c r="R3699" t="s">
        <v>13227</v>
      </c>
      <c r="W3699" t="s">
        <v>10667</v>
      </c>
      <c r="X3699" t="s">
        <v>10670</v>
      </c>
      <c r="Y3699" t="s">
        <v>116</v>
      </c>
      <c r="Z3699" t="s">
        <v>117</v>
      </c>
      <c r="AA3699" t="str">
        <f>"14202-3925"</f>
        <v>14202-3925</v>
      </c>
      <c r="AB3699" t="s">
        <v>1146</v>
      </c>
      <c r="AC3699" t="s">
        <v>119</v>
      </c>
      <c r="AD3699" t="s">
        <v>113</v>
      </c>
      <c r="AE3699" t="s">
        <v>120</v>
      </c>
      <c r="AG3699" t="s">
        <v>121</v>
      </c>
    </row>
    <row r="3700" spans="1:33" x14ac:dyDescent="0.25">
      <c r="B3700" t="str">
        <f>"02632915"</f>
        <v>02632915</v>
      </c>
      <c r="C3700" t="s">
        <v>13096</v>
      </c>
      <c r="D3700" t="s">
        <v>13097</v>
      </c>
      <c r="E3700" t="s">
        <v>13096</v>
      </c>
      <c r="F3700">
        <v>160975538</v>
      </c>
      <c r="H3700" t="s">
        <v>1600</v>
      </c>
      <c r="L3700" t="s">
        <v>69</v>
      </c>
      <c r="M3700" t="s">
        <v>199</v>
      </c>
      <c r="W3700" t="s">
        <v>13096</v>
      </c>
      <c r="X3700" t="s">
        <v>13098</v>
      </c>
      <c r="Y3700" t="s">
        <v>240</v>
      </c>
      <c r="Z3700" t="s">
        <v>117</v>
      </c>
      <c r="AA3700" t="str">
        <f>"14221-3230"</f>
        <v>14221-3230</v>
      </c>
      <c r="AB3700" t="s">
        <v>291</v>
      </c>
      <c r="AC3700" t="s">
        <v>119</v>
      </c>
      <c r="AD3700" t="s">
        <v>113</v>
      </c>
      <c r="AE3700" t="s">
        <v>120</v>
      </c>
      <c r="AG3700" t="s">
        <v>121</v>
      </c>
    </row>
    <row r="3701" spans="1:33" x14ac:dyDescent="0.25">
      <c r="A3701" t="str">
        <f>"1861551798"</f>
        <v>1861551798</v>
      </c>
      <c r="B3701" t="str">
        <f>"01712734"</f>
        <v>01712734</v>
      </c>
      <c r="C3701" t="s">
        <v>20186</v>
      </c>
      <c r="D3701" t="s">
        <v>20187</v>
      </c>
      <c r="E3701" t="s">
        <v>20188</v>
      </c>
      <c r="H3701" t="s">
        <v>20189</v>
      </c>
      <c r="L3701" t="s">
        <v>20190</v>
      </c>
      <c r="M3701" t="s">
        <v>199</v>
      </c>
      <c r="R3701" t="s">
        <v>20186</v>
      </c>
      <c r="W3701" t="s">
        <v>20188</v>
      </c>
      <c r="X3701" t="s">
        <v>20191</v>
      </c>
      <c r="Y3701" t="s">
        <v>116</v>
      </c>
      <c r="Z3701" t="s">
        <v>117</v>
      </c>
      <c r="AA3701" t="str">
        <f>"14214-8006"</f>
        <v>14214-8006</v>
      </c>
      <c r="AB3701" t="s">
        <v>1146</v>
      </c>
      <c r="AC3701" t="s">
        <v>119</v>
      </c>
      <c r="AD3701" t="s">
        <v>113</v>
      </c>
      <c r="AE3701" t="s">
        <v>120</v>
      </c>
      <c r="AG3701" t="s">
        <v>121</v>
      </c>
    </row>
    <row r="3702" spans="1:33" x14ac:dyDescent="0.25">
      <c r="C3702" t="s">
        <v>17434</v>
      </c>
      <c r="G3702" t="s">
        <v>17434</v>
      </c>
      <c r="J3702" t="s">
        <v>352</v>
      </c>
      <c r="K3702" t="s">
        <v>303</v>
      </c>
      <c r="L3702" t="s">
        <v>3095</v>
      </c>
      <c r="M3702" t="s">
        <v>113</v>
      </c>
      <c r="AC3702" t="s">
        <v>119</v>
      </c>
      <c r="AD3702" t="s">
        <v>113</v>
      </c>
      <c r="AE3702" t="s">
        <v>3098</v>
      </c>
      <c r="AG3702" t="s">
        <v>121</v>
      </c>
    </row>
    <row r="3703" spans="1:33" x14ac:dyDescent="0.25">
      <c r="C3703" t="s">
        <v>20192</v>
      </c>
      <c r="G3703" t="s">
        <v>20192</v>
      </c>
      <c r="J3703" t="s">
        <v>352</v>
      </c>
      <c r="K3703" t="s">
        <v>303</v>
      </c>
      <c r="L3703" t="s">
        <v>3095</v>
      </c>
      <c r="M3703" t="s">
        <v>113</v>
      </c>
      <c r="AC3703" t="s">
        <v>119</v>
      </c>
      <c r="AD3703" t="s">
        <v>113</v>
      </c>
      <c r="AE3703" t="s">
        <v>3098</v>
      </c>
      <c r="AG3703" t="s">
        <v>121</v>
      </c>
    </row>
    <row r="3704" spans="1:33" x14ac:dyDescent="0.25">
      <c r="C3704" t="s">
        <v>7666</v>
      </c>
      <c r="G3704" t="s">
        <v>7666</v>
      </c>
      <c r="J3704" t="s">
        <v>352</v>
      </c>
      <c r="K3704" t="s">
        <v>303</v>
      </c>
      <c r="L3704" t="s">
        <v>3095</v>
      </c>
      <c r="M3704" t="s">
        <v>113</v>
      </c>
      <c r="AC3704" t="s">
        <v>119</v>
      </c>
      <c r="AD3704" t="s">
        <v>113</v>
      </c>
      <c r="AE3704" t="s">
        <v>3098</v>
      </c>
      <c r="AG3704" t="s">
        <v>121</v>
      </c>
    </row>
    <row r="3705" spans="1:33" x14ac:dyDescent="0.25">
      <c r="C3705" t="s">
        <v>350</v>
      </c>
      <c r="G3705" t="s">
        <v>350</v>
      </c>
      <c r="J3705" t="s">
        <v>352</v>
      </c>
      <c r="K3705" t="s">
        <v>303</v>
      </c>
      <c r="L3705" t="s">
        <v>3095</v>
      </c>
      <c r="M3705" t="s">
        <v>113</v>
      </c>
      <c r="AC3705" t="s">
        <v>119</v>
      </c>
      <c r="AD3705" t="s">
        <v>113</v>
      </c>
      <c r="AE3705" t="s">
        <v>3098</v>
      </c>
      <c r="AG3705" t="s">
        <v>121</v>
      </c>
    </row>
    <row r="3706" spans="1:33" x14ac:dyDescent="0.25">
      <c r="C3706" t="s">
        <v>5005</v>
      </c>
      <c r="G3706" t="s">
        <v>5005</v>
      </c>
      <c r="J3706" t="s">
        <v>352</v>
      </c>
      <c r="K3706" t="s">
        <v>303</v>
      </c>
      <c r="L3706" t="s">
        <v>3095</v>
      </c>
      <c r="M3706" t="s">
        <v>113</v>
      </c>
      <c r="AC3706" t="s">
        <v>119</v>
      </c>
      <c r="AD3706" t="s">
        <v>113</v>
      </c>
      <c r="AE3706" t="s">
        <v>3098</v>
      </c>
      <c r="AG3706" t="s">
        <v>121</v>
      </c>
    </row>
    <row r="3707" spans="1:33" x14ac:dyDescent="0.25">
      <c r="C3707" t="s">
        <v>11019</v>
      </c>
      <c r="G3707" t="s">
        <v>11019</v>
      </c>
      <c r="J3707" t="s">
        <v>352</v>
      </c>
      <c r="K3707" t="s">
        <v>303</v>
      </c>
      <c r="L3707" t="s">
        <v>3095</v>
      </c>
      <c r="M3707" t="s">
        <v>113</v>
      </c>
      <c r="AC3707" t="s">
        <v>119</v>
      </c>
      <c r="AD3707" t="s">
        <v>113</v>
      </c>
      <c r="AE3707" t="s">
        <v>3098</v>
      </c>
      <c r="AG3707" t="s">
        <v>121</v>
      </c>
    </row>
    <row r="3708" spans="1:33" x14ac:dyDescent="0.25">
      <c r="C3708" t="s">
        <v>14564</v>
      </c>
      <c r="G3708" t="s">
        <v>14564</v>
      </c>
      <c r="J3708" t="s">
        <v>352</v>
      </c>
      <c r="K3708" t="s">
        <v>303</v>
      </c>
      <c r="L3708" t="s">
        <v>3095</v>
      </c>
      <c r="M3708" t="s">
        <v>113</v>
      </c>
      <c r="AC3708" t="s">
        <v>119</v>
      </c>
      <c r="AD3708" t="s">
        <v>113</v>
      </c>
      <c r="AE3708" t="s">
        <v>3098</v>
      </c>
      <c r="AG3708" t="s">
        <v>121</v>
      </c>
    </row>
    <row r="3709" spans="1:33" x14ac:dyDescent="0.25">
      <c r="C3709" t="s">
        <v>9172</v>
      </c>
      <c r="G3709" t="s">
        <v>9172</v>
      </c>
      <c r="J3709" t="s">
        <v>352</v>
      </c>
      <c r="K3709" t="s">
        <v>303</v>
      </c>
      <c r="L3709" t="s">
        <v>3095</v>
      </c>
      <c r="M3709" t="s">
        <v>113</v>
      </c>
      <c r="AC3709" t="s">
        <v>119</v>
      </c>
      <c r="AD3709" t="s">
        <v>113</v>
      </c>
      <c r="AE3709" t="s">
        <v>3098</v>
      </c>
      <c r="AG3709" t="s">
        <v>121</v>
      </c>
    </row>
    <row r="3710" spans="1:33" x14ac:dyDescent="0.25">
      <c r="C3710" t="s">
        <v>6246</v>
      </c>
      <c r="G3710" t="s">
        <v>6246</v>
      </c>
      <c r="J3710" t="s">
        <v>352</v>
      </c>
      <c r="K3710" t="s">
        <v>303</v>
      </c>
      <c r="L3710" t="s">
        <v>3095</v>
      </c>
      <c r="M3710" t="s">
        <v>113</v>
      </c>
      <c r="AC3710" t="s">
        <v>119</v>
      </c>
      <c r="AD3710" t="s">
        <v>113</v>
      </c>
      <c r="AE3710" t="s">
        <v>3098</v>
      </c>
      <c r="AG3710" t="s">
        <v>121</v>
      </c>
    </row>
    <row r="3711" spans="1:33" x14ac:dyDescent="0.25">
      <c r="C3711" t="s">
        <v>3436</v>
      </c>
      <c r="G3711" t="s">
        <v>3436</v>
      </c>
      <c r="J3711" t="s">
        <v>352</v>
      </c>
      <c r="K3711" t="s">
        <v>303</v>
      </c>
      <c r="L3711" t="s">
        <v>3095</v>
      </c>
      <c r="M3711" t="s">
        <v>113</v>
      </c>
      <c r="AC3711" t="s">
        <v>119</v>
      </c>
      <c r="AD3711" t="s">
        <v>113</v>
      </c>
      <c r="AE3711" t="s">
        <v>3098</v>
      </c>
      <c r="AG3711" t="s">
        <v>121</v>
      </c>
    </row>
    <row r="3712" spans="1:33" x14ac:dyDescent="0.25">
      <c r="C3712" t="s">
        <v>13495</v>
      </c>
      <c r="G3712" t="s">
        <v>13495</v>
      </c>
      <c r="J3712" t="s">
        <v>352</v>
      </c>
      <c r="K3712" t="s">
        <v>303</v>
      </c>
      <c r="L3712" t="s">
        <v>3095</v>
      </c>
      <c r="M3712" t="s">
        <v>113</v>
      </c>
      <c r="AC3712" t="s">
        <v>119</v>
      </c>
      <c r="AD3712" t="s">
        <v>113</v>
      </c>
      <c r="AE3712" t="s">
        <v>3098</v>
      </c>
      <c r="AG3712" t="s">
        <v>121</v>
      </c>
    </row>
    <row r="3713" spans="1:33" x14ac:dyDescent="0.25">
      <c r="C3713" t="s">
        <v>8194</v>
      </c>
      <c r="G3713" t="s">
        <v>8194</v>
      </c>
      <c r="J3713" t="s">
        <v>352</v>
      </c>
      <c r="K3713" t="s">
        <v>303</v>
      </c>
      <c r="L3713" t="s">
        <v>3095</v>
      </c>
      <c r="M3713" t="s">
        <v>113</v>
      </c>
      <c r="AC3713" t="s">
        <v>119</v>
      </c>
      <c r="AD3713" t="s">
        <v>113</v>
      </c>
      <c r="AE3713" t="s">
        <v>3098</v>
      </c>
      <c r="AG3713" t="s">
        <v>121</v>
      </c>
    </row>
    <row r="3714" spans="1:33" x14ac:dyDescent="0.25">
      <c r="C3714" t="s">
        <v>20193</v>
      </c>
      <c r="G3714" t="s">
        <v>20193</v>
      </c>
      <c r="J3714" t="s">
        <v>352</v>
      </c>
      <c r="K3714" t="s">
        <v>303</v>
      </c>
      <c r="L3714" t="s">
        <v>3095</v>
      </c>
      <c r="M3714" t="s">
        <v>113</v>
      </c>
      <c r="AC3714" t="s">
        <v>119</v>
      </c>
      <c r="AD3714" t="s">
        <v>113</v>
      </c>
      <c r="AE3714" t="s">
        <v>3098</v>
      </c>
      <c r="AG3714" t="s">
        <v>121</v>
      </c>
    </row>
    <row r="3715" spans="1:33" x14ac:dyDescent="0.25">
      <c r="C3715" t="s">
        <v>17143</v>
      </c>
      <c r="G3715" t="s">
        <v>17143</v>
      </c>
      <c r="J3715" t="s">
        <v>352</v>
      </c>
      <c r="K3715" t="s">
        <v>303</v>
      </c>
      <c r="L3715" t="s">
        <v>3095</v>
      </c>
      <c r="M3715" t="s">
        <v>113</v>
      </c>
      <c r="AC3715" t="s">
        <v>119</v>
      </c>
      <c r="AD3715" t="s">
        <v>113</v>
      </c>
      <c r="AE3715" t="s">
        <v>3098</v>
      </c>
      <c r="AG3715" t="s">
        <v>121</v>
      </c>
    </row>
    <row r="3716" spans="1:33" x14ac:dyDescent="0.25">
      <c r="C3716" t="s">
        <v>17086</v>
      </c>
      <c r="G3716" t="s">
        <v>17086</v>
      </c>
      <c r="J3716" t="s">
        <v>352</v>
      </c>
      <c r="K3716" t="s">
        <v>303</v>
      </c>
      <c r="L3716" t="s">
        <v>3095</v>
      </c>
      <c r="M3716" t="s">
        <v>113</v>
      </c>
      <c r="AC3716" t="s">
        <v>119</v>
      </c>
      <c r="AD3716" t="s">
        <v>113</v>
      </c>
      <c r="AE3716" t="s">
        <v>3098</v>
      </c>
      <c r="AG3716" t="s">
        <v>121</v>
      </c>
    </row>
    <row r="3717" spans="1:33" x14ac:dyDescent="0.25">
      <c r="A3717" t="str">
        <f>"1477707552"</f>
        <v>1477707552</v>
      </c>
      <c r="B3717" t="str">
        <f>"03116089"</f>
        <v>03116089</v>
      </c>
      <c r="C3717" t="s">
        <v>20194</v>
      </c>
      <c r="D3717" t="s">
        <v>20195</v>
      </c>
      <c r="E3717" t="s">
        <v>20196</v>
      </c>
      <c r="G3717" t="s">
        <v>19537</v>
      </c>
      <c r="H3717" t="s">
        <v>20197</v>
      </c>
      <c r="J3717" t="s">
        <v>8860</v>
      </c>
      <c r="L3717" t="s">
        <v>142</v>
      </c>
      <c r="M3717" t="s">
        <v>113</v>
      </c>
      <c r="R3717" t="s">
        <v>20198</v>
      </c>
      <c r="W3717" t="s">
        <v>20199</v>
      </c>
      <c r="X3717" t="s">
        <v>20200</v>
      </c>
      <c r="Y3717" t="s">
        <v>20201</v>
      </c>
      <c r="Z3717" t="s">
        <v>117</v>
      </c>
      <c r="AA3717" t="str">
        <f>"12801-4349"</f>
        <v>12801-4349</v>
      </c>
      <c r="AB3717" t="s">
        <v>118</v>
      </c>
      <c r="AC3717" t="s">
        <v>119</v>
      </c>
      <c r="AD3717" t="s">
        <v>113</v>
      </c>
      <c r="AE3717" t="s">
        <v>120</v>
      </c>
      <c r="AG3717" t="s">
        <v>121</v>
      </c>
    </row>
    <row r="3718" spans="1:33" x14ac:dyDescent="0.25">
      <c r="C3718" t="s">
        <v>20202</v>
      </c>
      <c r="G3718" t="s">
        <v>19537</v>
      </c>
      <c r="H3718" t="s">
        <v>20203</v>
      </c>
      <c r="J3718" t="s">
        <v>8860</v>
      </c>
      <c r="K3718" t="s">
        <v>303</v>
      </c>
      <c r="L3718" t="s">
        <v>3095</v>
      </c>
      <c r="M3718" t="s">
        <v>113</v>
      </c>
      <c r="N3718" t="s">
        <v>19538</v>
      </c>
      <c r="O3718" t="s">
        <v>19539</v>
      </c>
      <c r="P3718" t="s">
        <v>117</v>
      </c>
      <c r="Q3718" t="str">
        <f>"11734"</f>
        <v>11734</v>
      </c>
      <c r="AC3718" t="s">
        <v>119</v>
      </c>
      <c r="AD3718" t="s">
        <v>113</v>
      </c>
      <c r="AE3718" t="s">
        <v>3098</v>
      </c>
      <c r="AG3718" t="s">
        <v>121</v>
      </c>
    </row>
    <row r="3719" spans="1:33" x14ac:dyDescent="0.25">
      <c r="A3719" t="str">
        <f>"1114244787"</f>
        <v>1114244787</v>
      </c>
      <c r="B3719" t="str">
        <f>"04561473"</f>
        <v>04561473</v>
      </c>
      <c r="C3719" t="s">
        <v>20204</v>
      </c>
      <c r="D3719" t="s">
        <v>20205</v>
      </c>
      <c r="E3719" t="s">
        <v>20206</v>
      </c>
      <c r="G3719" t="s">
        <v>19537</v>
      </c>
      <c r="H3719" t="s">
        <v>20207</v>
      </c>
      <c r="J3719" t="s">
        <v>8860</v>
      </c>
      <c r="L3719" t="s">
        <v>112</v>
      </c>
      <c r="M3719" t="s">
        <v>113</v>
      </c>
      <c r="R3719" t="s">
        <v>20208</v>
      </c>
      <c r="W3719" t="s">
        <v>20206</v>
      </c>
      <c r="AB3719" t="s">
        <v>118</v>
      </c>
      <c r="AC3719" t="s">
        <v>119</v>
      </c>
      <c r="AD3719" t="s">
        <v>113</v>
      </c>
      <c r="AE3719" t="s">
        <v>120</v>
      </c>
      <c r="AG3719" t="s">
        <v>121</v>
      </c>
    </row>
    <row r="3720" spans="1:33" x14ac:dyDescent="0.25">
      <c r="C3720" t="s">
        <v>20209</v>
      </c>
      <c r="G3720" t="s">
        <v>19537</v>
      </c>
      <c r="H3720" t="s">
        <v>20210</v>
      </c>
      <c r="J3720" t="s">
        <v>8860</v>
      </c>
      <c r="K3720" t="s">
        <v>303</v>
      </c>
      <c r="L3720" t="s">
        <v>3095</v>
      </c>
      <c r="M3720" t="s">
        <v>113</v>
      </c>
      <c r="N3720" t="s">
        <v>19538</v>
      </c>
      <c r="O3720" t="s">
        <v>19539</v>
      </c>
      <c r="P3720" t="s">
        <v>117</v>
      </c>
      <c r="Q3720" t="str">
        <f>"11736"</f>
        <v>11736</v>
      </c>
      <c r="AC3720" t="s">
        <v>119</v>
      </c>
      <c r="AD3720" t="s">
        <v>113</v>
      </c>
      <c r="AE3720" t="s">
        <v>3098</v>
      </c>
      <c r="AG3720" t="s">
        <v>121</v>
      </c>
    </row>
    <row r="3721" spans="1:33" x14ac:dyDescent="0.25">
      <c r="A3721" t="str">
        <f>"1588801559"</f>
        <v>1588801559</v>
      </c>
      <c r="B3721" t="str">
        <f>"03138612"</f>
        <v>03138612</v>
      </c>
      <c r="C3721" t="s">
        <v>20211</v>
      </c>
      <c r="D3721" t="s">
        <v>20212</v>
      </c>
      <c r="E3721" t="s">
        <v>20213</v>
      </c>
      <c r="G3721" t="s">
        <v>19537</v>
      </c>
      <c r="H3721" t="s">
        <v>20214</v>
      </c>
      <c r="J3721" t="s">
        <v>8860</v>
      </c>
      <c r="L3721" t="s">
        <v>142</v>
      </c>
      <c r="M3721" t="s">
        <v>113</v>
      </c>
      <c r="R3721" t="s">
        <v>20215</v>
      </c>
      <c r="W3721" t="s">
        <v>20216</v>
      </c>
      <c r="X3721" t="s">
        <v>10040</v>
      </c>
      <c r="Y3721" t="s">
        <v>10041</v>
      </c>
      <c r="Z3721" t="s">
        <v>117</v>
      </c>
      <c r="AA3721" t="str">
        <f>"11795-4927"</f>
        <v>11795-4927</v>
      </c>
      <c r="AB3721" t="s">
        <v>118</v>
      </c>
      <c r="AC3721" t="s">
        <v>119</v>
      </c>
      <c r="AD3721" t="s">
        <v>113</v>
      </c>
      <c r="AE3721" t="s">
        <v>120</v>
      </c>
      <c r="AG3721" t="s">
        <v>121</v>
      </c>
    </row>
    <row r="3722" spans="1:33" x14ac:dyDescent="0.25">
      <c r="C3722" t="s">
        <v>20217</v>
      </c>
      <c r="G3722" t="s">
        <v>19537</v>
      </c>
      <c r="H3722" t="s">
        <v>20218</v>
      </c>
      <c r="J3722" t="s">
        <v>8860</v>
      </c>
      <c r="K3722" t="s">
        <v>303</v>
      </c>
      <c r="L3722" t="s">
        <v>3095</v>
      </c>
      <c r="M3722" t="s">
        <v>113</v>
      </c>
      <c r="N3722" t="s">
        <v>19538</v>
      </c>
      <c r="O3722" t="s">
        <v>19539</v>
      </c>
      <c r="P3722" t="s">
        <v>117</v>
      </c>
      <c r="Q3722" t="str">
        <f>"11738"</f>
        <v>11738</v>
      </c>
      <c r="AC3722" t="s">
        <v>119</v>
      </c>
      <c r="AD3722" t="s">
        <v>113</v>
      </c>
      <c r="AE3722" t="s">
        <v>3098</v>
      </c>
      <c r="AG3722" t="s">
        <v>121</v>
      </c>
    </row>
    <row r="3723" spans="1:33" x14ac:dyDescent="0.25">
      <c r="A3723" t="str">
        <f>"1922261080"</f>
        <v>1922261080</v>
      </c>
      <c r="B3723" t="str">
        <f>"03431303"</f>
        <v>03431303</v>
      </c>
      <c r="C3723" t="s">
        <v>20219</v>
      </c>
      <c r="D3723" t="s">
        <v>20220</v>
      </c>
      <c r="E3723" t="s">
        <v>20221</v>
      </c>
      <c r="G3723" t="s">
        <v>20222</v>
      </c>
      <c r="H3723" t="s">
        <v>7479</v>
      </c>
      <c r="L3723" t="s">
        <v>1033</v>
      </c>
      <c r="M3723" t="s">
        <v>113</v>
      </c>
      <c r="R3723" t="s">
        <v>20222</v>
      </c>
      <c r="W3723" t="s">
        <v>20221</v>
      </c>
      <c r="X3723" t="s">
        <v>10477</v>
      </c>
      <c r="Y3723" t="s">
        <v>978</v>
      </c>
      <c r="Z3723" t="s">
        <v>117</v>
      </c>
      <c r="AA3723" t="str">
        <f>"14081"</f>
        <v>14081</v>
      </c>
      <c r="AB3723" t="s">
        <v>118</v>
      </c>
      <c r="AC3723" t="s">
        <v>119</v>
      </c>
      <c r="AD3723" t="s">
        <v>113</v>
      </c>
      <c r="AE3723" t="s">
        <v>120</v>
      </c>
      <c r="AG3723" t="s">
        <v>121</v>
      </c>
    </row>
    <row r="3724" spans="1:33" x14ac:dyDescent="0.25">
      <c r="C3724" t="s">
        <v>10171</v>
      </c>
      <c r="G3724" t="s">
        <v>10171</v>
      </c>
      <c r="J3724" t="s">
        <v>352</v>
      </c>
      <c r="K3724" t="s">
        <v>303</v>
      </c>
      <c r="L3724" t="s">
        <v>3095</v>
      </c>
      <c r="M3724" t="s">
        <v>113</v>
      </c>
      <c r="AC3724" t="s">
        <v>119</v>
      </c>
      <c r="AD3724" t="s">
        <v>113</v>
      </c>
      <c r="AE3724" t="s">
        <v>3098</v>
      </c>
      <c r="AG3724" t="s">
        <v>121</v>
      </c>
    </row>
    <row r="3725" spans="1:33" x14ac:dyDescent="0.25">
      <c r="C3725" t="s">
        <v>17174</v>
      </c>
      <c r="G3725" t="s">
        <v>17174</v>
      </c>
      <c r="J3725" t="s">
        <v>352</v>
      </c>
      <c r="K3725" t="s">
        <v>303</v>
      </c>
      <c r="L3725" t="s">
        <v>3095</v>
      </c>
      <c r="M3725" t="s">
        <v>113</v>
      </c>
      <c r="AC3725" t="s">
        <v>119</v>
      </c>
      <c r="AD3725" t="s">
        <v>113</v>
      </c>
      <c r="AE3725" t="s">
        <v>3098</v>
      </c>
      <c r="AG3725" t="s">
        <v>121</v>
      </c>
    </row>
    <row r="3726" spans="1:33" x14ac:dyDescent="0.25">
      <c r="C3726" t="s">
        <v>403</v>
      </c>
      <c r="G3726" t="s">
        <v>403</v>
      </c>
      <c r="J3726" t="s">
        <v>352</v>
      </c>
      <c r="K3726" t="s">
        <v>303</v>
      </c>
      <c r="L3726" t="s">
        <v>3095</v>
      </c>
      <c r="M3726" t="s">
        <v>113</v>
      </c>
      <c r="AC3726" t="s">
        <v>119</v>
      </c>
      <c r="AD3726" t="s">
        <v>113</v>
      </c>
      <c r="AE3726" t="s">
        <v>3098</v>
      </c>
      <c r="AG3726" t="s">
        <v>121</v>
      </c>
    </row>
    <row r="3727" spans="1:33" x14ac:dyDescent="0.25">
      <c r="C3727" t="s">
        <v>12277</v>
      </c>
      <c r="G3727" t="s">
        <v>12277</v>
      </c>
      <c r="J3727" t="s">
        <v>352</v>
      </c>
      <c r="K3727" t="s">
        <v>303</v>
      </c>
      <c r="L3727" t="s">
        <v>3095</v>
      </c>
      <c r="M3727" t="s">
        <v>113</v>
      </c>
      <c r="AC3727" t="s">
        <v>119</v>
      </c>
      <c r="AD3727" t="s">
        <v>113</v>
      </c>
      <c r="AE3727" t="s">
        <v>3098</v>
      </c>
      <c r="AG3727" t="s">
        <v>121</v>
      </c>
    </row>
    <row r="3728" spans="1:33" x14ac:dyDescent="0.25">
      <c r="C3728" t="s">
        <v>15713</v>
      </c>
      <c r="G3728" t="s">
        <v>15713</v>
      </c>
      <c r="J3728" t="s">
        <v>352</v>
      </c>
      <c r="K3728" t="s">
        <v>303</v>
      </c>
      <c r="L3728" t="s">
        <v>3095</v>
      </c>
      <c r="M3728" t="s">
        <v>113</v>
      </c>
      <c r="AC3728" t="s">
        <v>119</v>
      </c>
      <c r="AD3728" t="s">
        <v>113</v>
      </c>
      <c r="AE3728" t="s">
        <v>3098</v>
      </c>
      <c r="AG3728" t="s">
        <v>121</v>
      </c>
    </row>
    <row r="3729" spans="1:33" x14ac:dyDescent="0.25">
      <c r="C3729" t="s">
        <v>8580</v>
      </c>
      <c r="G3729" t="s">
        <v>8580</v>
      </c>
      <c r="J3729" t="s">
        <v>352</v>
      </c>
      <c r="K3729" t="s">
        <v>303</v>
      </c>
      <c r="L3729" t="s">
        <v>3095</v>
      </c>
      <c r="M3729" t="s">
        <v>113</v>
      </c>
      <c r="AC3729" t="s">
        <v>119</v>
      </c>
      <c r="AD3729" t="s">
        <v>113</v>
      </c>
      <c r="AE3729" t="s">
        <v>3098</v>
      </c>
      <c r="AG3729" t="s">
        <v>121</v>
      </c>
    </row>
    <row r="3730" spans="1:33" x14ac:dyDescent="0.25">
      <c r="C3730" t="s">
        <v>2110</v>
      </c>
      <c r="G3730" t="s">
        <v>2110</v>
      </c>
      <c r="J3730" t="s">
        <v>352</v>
      </c>
      <c r="K3730" t="s">
        <v>303</v>
      </c>
      <c r="L3730" t="s">
        <v>3095</v>
      </c>
      <c r="M3730" t="s">
        <v>113</v>
      </c>
      <c r="AC3730" t="s">
        <v>119</v>
      </c>
      <c r="AD3730" t="s">
        <v>113</v>
      </c>
      <c r="AE3730" t="s">
        <v>3098</v>
      </c>
      <c r="AG3730" t="s">
        <v>121</v>
      </c>
    </row>
    <row r="3731" spans="1:33" x14ac:dyDescent="0.25">
      <c r="A3731" t="str">
        <f>"1871564369"</f>
        <v>1871564369</v>
      </c>
      <c r="B3731" t="str">
        <f>"01144045"</f>
        <v>01144045</v>
      </c>
      <c r="C3731" t="s">
        <v>20223</v>
      </c>
      <c r="D3731" t="s">
        <v>20224</v>
      </c>
      <c r="E3731" t="s">
        <v>20225</v>
      </c>
      <c r="G3731" t="s">
        <v>20223</v>
      </c>
      <c r="H3731" t="s">
        <v>4189</v>
      </c>
      <c r="J3731" t="s">
        <v>20226</v>
      </c>
      <c r="L3731" t="s">
        <v>150</v>
      </c>
      <c r="M3731" t="s">
        <v>113</v>
      </c>
      <c r="R3731" t="s">
        <v>20227</v>
      </c>
      <c r="W3731" t="s">
        <v>20225</v>
      </c>
      <c r="X3731" t="s">
        <v>20228</v>
      </c>
      <c r="Y3731" t="s">
        <v>326</v>
      </c>
      <c r="Z3731" t="s">
        <v>117</v>
      </c>
      <c r="AA3731" t="str">
        <f>"14127-1777"</f>
        <v>14127-1777</v>
      </c>
      <c r="AB3731" t="s">
        <v>118</v>
      </c>
      <c r="AC3731" t="s">
        <v>119</v>
      </c>
      <c r="AD3731" t="s">
        <v>113</v>
      </c>
      <c r="AE3731" t="s">
        <v>120</v>
      </c>
      <c r="AG3731" t="s">
        <v>121</v>
      </c>
    </row>
    <row r="3732" spans="1:33" x14ac:dyDescent="0.25">
      <c r="A3732" t="str">
        <f>"1871570689"</f>
        <v>1871570689</v>
      </c>
      <c r="B3732" t="str">
        <f>"02429647"</f>
        <v>02429647</v>
      </c>
      <c r="C3732" t="s">
        <v>20229</v>
      </c>
      <c r="D3732" t="s">
        <v>20230</v>
      </c>
      <c r="E3732" t="s">
        <v>20231</v>
      </c>
      <c r="L3732" t="s">
        <v>150</v>
      </c>
      <c r="M3732" t="s">
        <v>113</v>
      </c>
      <c r="R3732" t="s">
        <v>20229</v>
      </c>
      <c r="W3732" t="s">
        <v>20231</v>
      </c>
      <c r="X3732" t="s">
        <v>2221</v>
      </c>
      <c r="Y3732" t="s">
        <v>192</v>
      </c>
      <c r="Z3732" t="s">
        <v>117</v>
      </c>
      <c r="AA3732" t="str">
        <f>"14020-2107"</f>
        <v>14020-2107</v>
      </c>
      <c r="AB3732" t="s">
        <v>118</v>
      </c>
      <c r="AC3732" t="s">
        <v>119</v>
      </c>
      <c r="AD3732" t="s">
        <v>113</v>
      </c>
      <c r="AE3732" t="s">
        <v>120</v>
      </c>
      <c r="AG3732" t="s">
        <v>121</v>
      </c>
    </row>
    <row r="3733" spans="1:33" x14ac:dyDescent="0.25">
      <c r="A3733" t="str">
        <f>"1871573378"</f>
        <v>1871573378</v>
      </c>
      <c r="B3733" t="str">
        <f>"00711064"</f>
        <v>00711064</v>
      </c>
      <c r="C3733" t="s">
        <v>20232</v>
      </c>
      <c r="D3733" t="s">
        <v>20233</v>
      </c>
      <c r="E3733" t="s">
        <v>20234</v>
      </c>
      <c r="G3733" t="s">
        <v>330</v>
      </c>
      <c r="H3733" t="s">
        <v>20235</v>
      </c>
      <c r="J3733" t="s">
        <v>332</v>
      </c>
      <c r="L3733" t="s">
        <v>150</v>
      </c>
      <c r="M3733" t="s">
        <v>113</v>
      </c>
      <c r="R3733" t="s">
        <v>20236</v>
      </c>
      <c r="W3733" t="s">
        <v>20237</v>
      </c>
      <c r="X3733" t="s">
        <v>20238</v>
      </c>
      <c r="Y3733" t="s">
        <v>2683</v>
      </c>
      <c r="Z3733" t="s">
        <v>117</v>
      </c>
      <c r="AA3733" t="str">
        <f>"14009-1113"</f>
        <v>14009-1113</v>
      </c>
      <c r="AB3733" t="s">
        <v>118</v>
      </c>
      <c r="AC3733" t="s">
        <v>119</v>
      </c>
      <c r="AD3733" t="s">
        <v>113</v>
      </c>
      <c r="AE3733" t="s">
        <v>120</v>
      </c>
      <c r="AG3733" t="s">
        <v>121</v>
      </c>
    </row>
    <row r="3734" spans="1:33" x14ac:dyDescent="0.25">
      <c r="A3734" t="str">
        <f>"1871576967"</f>
        <v>1871576967</v>
      </c>
      <c r="B3734" t="str">
        <f>"02516925"</f>
        <v>02516925</v>
      </c>
      <c r="C3734" t="s">
        <v>20239</v>
      </c>
      <c r="D3734" t="s">
        <v>20240</v>
      </c>
      <c r="E3734" t="s">
        <v>20241</v>
      </c>
      <c r="G3734" t="s">
        <v>20239</v>
      </c>
      <c r="H3734" t="s">
        <v>1013</v>
      </c>
      <c r="J3734" t="s">
        <v>20242</v>
      </c>
      <c r="L3734" t="s">
        <v>142</v>
      </c>
      <c r="M3734" t="s">
        <v>113</v>
      </c>
      <c r="R3734" t="s">
        <v>20243</v>
      </c>
      <c r="W3734" t="s">
        <v>20241</v>
      </c>
      <c r="X3734" t="s">
        <v>20244</v>
      </c>
      <c r="Y3734" t="s">
        <v>2762</v>
      </c>
      <c r="Z3734" t="s">
        <v>117</v>
      </c>
      <c r="AA3734" t="str">
        <f>"14642-0001"</f>
        <v>14642-0001</v>
      </c>
      <c r="AB3734" t="s">
        <v>118</v>
      </c>
      <c r="AC3734" t="s">
        <v>119</v>
      </c>
      <c r="AD3734" t="s">
        <v>113</v>
      </c>
      <c r="AE3734" t="s">
        <v>120</v>
      </c>
      <c r="AG3734" t="s">
        <v>121</v>
      </c>
    </row>
    <row r="3735" spans="1:33" x14ac:dyDescent="0.25">
      <c r="A3735" t="str">
        <f>"1992735344"</f>
        <v>1992735344</v>
      </c>
      <c r="B3735" t="str">
        <f>"01971851"</f>
        <v>01971851</v>
      </c>
      <c r="C3735" t="s">
        <v>20245</v>
      </c>
      <c r="D3735" t="s">
        <v>20246</v>
      </c>
      <c r="E3735" t="s">
        <v>20247</v>
      </c>
      <c r="G3735" t="s">
        <v>20245</v>
      </c>
      <c r="H3735" t="s">
        <v>20248</v>
      </c>
      <c r="J3735" t="s">
        <v>20249</v>
      </c>
      <c r="L3735" t="s">
        <v>112</v>
      </c>
      <c r="M3735" t="s">
        <v>113</v>
      </c>
      <c r="R3735" t="s">
        <v>20250</v>
      </c>
      <c r="W3735" t="s">
        <v>20247</v>
      </c>
      <c r="X3735" t="s">
        <v>1648</v>
      </c>
      <c r="Y3735" t="s">
        <v>116</v>
      </c>
      <c r="Z3735" t="s">
        <v>117</v>
      </c>
      <c r="AA3735" t="str">
        <f>"14214-2648"</f>
        <v>14214-2648</v>
      </c>
      <c r="AB3735" t="s">
        <v>118</v>
      </c>
      <c r="AC3735" t="s">
        <v>119</v>
      </c>
      <c r="AD3735" t="s">
        <v>113</v>
      </c>
      <c r="AE3735" t="s">
        <v>120</v>
      </c>
      <c r="AG3735" t="s">
        <v>121</v>
      </c>
    </row>
    <row r="3736" spans="1:33" x14ac:dyDescent="0.25">
      <c r="A3736" t="str">
        <f>"1992739569"</f>
        <v>1992739569</v>
      </c>
      <c r="B3736" t="str">
        <f>"03721193"</f>
        <v>03721193</v>
      </c>
      <c r="C3736" t="s">
        <v>20251</v>
      </c>
      <c r="D3736" t="s">
        <v>20252</v>
      </c>
      <c r="E3736" t="s">
        <v>20253</v>
      </c>
      <c r="G3736" t="s">
        <v>20254</v>
      </c>
      <c r="H3736" t="s">
        <v>944</v>
      </c>
      <c r="J3736" t="s">
        <v>20255</v>
      </c>
      <c r="L3736" t="s">
        <v>112</v>
      </c>
      <c r="M3736" t="s">
        <v>113</v>
      </c>
      <c r="R3736" t="s">
        <v>20256</v>
      </c>
      <c r="W3736" t="s">
        <v>20253</v>
      </c>
      <c r="X3736" t="s">
        <v>1433</v>
      </c>
      <c r="Y3736" t="s">
        <v>129</v>
      </c>
      <c r="Z3736" t="s">
        <v>117</v>
      </c>
      <c r="AA3736" t="str">
        <f>"14224-2635"</f>
        <v>14224-2635</v>
      </c>
      <c r="AB3736" t="s">
        <v>621</v>
      </c>
      <c r="AC3736" t="s">
        <v>119</v>
      </c>
      <c r="AD3736" t="s">
        <v>113</v>
      </c>
      <c r="AE3736" t="s">
        <v>120</v>
      </c>
      <c r="AG3736" t="s">
        <v>121</v>
      </c>
    </row>
    <row r="3737" spans="1:33" x14ac:dyDescent="0.25">
      <c r="A3737" t="str">
        <f>"1992742621"</f>
        <v>1992742621</v>
      </c>
      <c r="B3737" t="str">
        <f>"03130614"</f>
        <v>03130614</v>
      </c>
      <c r="C3737" t="s">
        <v>20257</v>
      </c>
      <c r="D3737" t="s">
        <v>20258</v>
      </c>
      <c r="E3737" t="s">
        <v>20259</v>
      </c>
      <c r="G3737" t="s">
        <v>20257</v>
      </c>
      <c r="H3737" t="s">
        <v>227</v>
      </c>
      <c r="J3737" t="s">
        <v>20260</v>
      </c>
      <c r="L3737" t="s">
        <v>142</v>
      </c>
      <c r="M3737" t="s">
        <v>113</v>
      </c>
      <c r="R3737" t="s">
        <v>20261</v>
      </c>
      <c r="W3737" t="s">
        <v>20259</v>
      </c>
      <c r="X3737" t="s">
        <v>20262</v>
      </c>
      <c r="Y3737" t="s">
        <v>20263</v>
      </c>
      <c r="Z3737" t="s">
        <v>3045</v>
      </c>
      <c r="AA3737" t="str">
        <f>"98144-4247"</f>
        <v>98144-4247</v>
      </c>
      <c r="AB3737" t="s">
        <v>118</v>
      </c>
      <c r="AC3737" t="s">
        <v>119</v>
      </c>
      <c r="AD3737" t="s">
        <v>113</v>
      </c>
      <c r="AE3737" t="s">
        <v>120</v>
      </c>
      <c r="AG3737" t="s">
        <v>121</v>
      </c>
    </row>
    <row r="3738" spans="1:33" x14ac:dyDescent="0.25">
      <c r="A3738" t="str">
        <f>"1992745194"</f>
        <v>1992745194</v>
      </c>
      <c r="B3738" t="str">
        <f>"01354425"</f>
        <v>01354425</v>
      </c>
      <c r="C3738" t="s">
        <v>20264</v>
      </c>
      <c r="D3738" t="s">
        <v>20265</v>
      </c>
      <c r="E3738" t="s">
        <v>20266</v>
      </c>
      <c r="G3738" t="s">
        <v>20264</v>
      </c>
      <c r="H3738" t="s">
        <v>5624</v>
      </c>
      <c r="J3738" t="s">
        <v>20267</v>
      </c>
      <c r="L3738" t="s">
        <v>150</v>
      </c>
      <c r="M3738" t="s">
        <v>113</v>
      </c>
      <c r="R3738" t="s">
        <v>20268</v>
      </c>
      <c r="W3738" t="s">
        <v>20266</v>
      </c>
      <c r="X3738" t="s">
        <v>176</v>
      </c>
      <c r="Y3738" t="s">
        <v>116</v>
      </c>
      <c r="Z3738" t="s">
        <v>117</v>
      </c>
      <c r="AA3738" t="str">
        <f>"14203-1126"</f>
        <v>14203-1126</v>
      </c>
      <c r="AB3738" t="s">
        <v>118</v>
      </c>
      <c r="AC3738" t="s">
        <v>119</v>
      </c>
      <c r="AD3738" t="s">
        <v>113</v>
      </c>
      <c r="AE3738" t="s">
        <v>120</v>
      </c>
      <c r="AG3738" t="s">
        <v>121</v>
      </c>
    </row>
    <row r="3739" spans="1:33" x14ac:dyDescent="0.25">
      <c r="A3739" t="str">
        <f>"1992761704"</f>
        <v>1992761704</v>
      </c>
      <c r="B3739" t="str">
        <f>"02345884"</f>
        <v>02345884</v>
      </c>
      <c r="C3739" t="s">
        <v>20269</v>
      </c>
      <c r="D3739" t="s">
        <v>20270</v>
      </c>
      <c r="E3739" t="s">
        <v>20271</v>
      </c>
      <c r="G3739" t="s">
        <v>20272</v>
      </c>
      <c r="H3739" t="s">
        <v>20273</v>
      </c>
      <c r="J3739" t="s">
        <v>20274</v>
      </c>
      <c r="L3739" t="s">
        <v>112</v>
      </c>
      <c r="M3739" t="s">
        <v>113</v>
      </c>
      <c r="R3739" t="s">
        <v>20275</v>
      </c>
      <c r="W3739" t="s">
        <v>20271</v>
      </c>
      <c r="X3739" t="s">
        <v>176</v>
      </c>
      <c r="Y3739" t="s">
        <v>116</v>
      </c>
      <c r="Z3739" t="s">
        <v>117</v>
      </c>
      <c r="AA3739" t="str">
        <f>"14203-1126"</f>
        <v>14203-1126</v>
      </c>
      <c r="AB3739" t="s">
        <v>118</v>
      </c>
      <c r="AC3739" t="s">
        <v>119</v>
      </c>
      <c r="AD3739" t="s">
        <v>113</v>
      </c>
      <c r="AE3739" t="s">
        <v>120</v>
      </c>
      <c r="AG3739" t="s">
        <v>121</v>
      </c>
    </row>
    <row r="3740" spans="1:33" x14ac:dyDescent="0.25">
      <c r="A3740" t="str">
        <f>"1992763247"</f>
        <v>1992763247</v>
      </c>
      <c r="B3740" t="str">
        <f>"02045976"</f>
        <v>02045976</v>
      </c>
      <c r="C3740" t="s">
        <v>20276</v>
      </c>
      <c r="D3740" t="s">
        <v>20277</v>
      </c>
      <c r="E3740" t="s">
        <v>20278</v>
      </c>
      <c r="G3740" t="s">
        <v>20279</v>
      </c>
      <c r="H3740" t="s">
        <v>20280</v>
      </c>
      <c r="J3740" t="s">
        <v>20281</v>
      </c>
      <c r="L3740" t="s">
        <v>142</v>
      </c>
      <c r="M3740" t="s">
        <v>113</v>
      </c>
      <c r="R3740" t="s">
        <v>20282</v>
      </c>
      <c r="W3740" t="s">
        <v>20278</v>
      </c>
      <c r="X3740" t="s">
        <v>1024</v>
      </c>
      <c r="Y3740" t="s">
        <v>116</v>
      </c>
      <c r="Z3740" t="s">
        <v>117</v>
      </c>
      <c r="AA3740" t="str">
        <f>"14209-2412"</f>
        <v>14209-2412</v>
      </c>
      <c r="AB3740" t="s">
        <v>118</v>
      </c>
      <c r="AC3740" t="s">
        <v>119</v>
      </c>
      <c r="AD3740" t="s">
        <v>113</v>
      </c>
      <c r="AE3740" t="s">
        <v>120</v>
      </c>
      <c r="AG3740" t="s">
        <v>121</v>
      </c>
    </row>
    <row r="3741" spans="1:33" x14ac:dyDescent="0.25">
      <c r="A3741" t="str">
        <f>"1992763700"</f>
        <v>1992763700</v>
      </c>
      <c r="B3741" t="str">
        <f>"02388181"</f>
        <v>02388181</v>
      </c>
      <c r="C3741" t="s">
        <v>20283</v>
      </c>
      <c r="D3741" t="s">
        <v>20284</v>
      </c>
      <c r="E3741" t="s">
        <v>20285</v>
      </c>
      <c r="G3741" t="s">
        <v>20286</v>
      </c>
      <c r="H3741" t="s">
        <v>5151</v>
      </c>
      <c r="J3741" t="s">
        <v>20287</v>
      </c>
      <c r="L3741" t="s">
        <v>112</v>
      </c>
      <c r="M3741" t="s">
        <v>199</v>
      </c>
      <c r="R3741" t="s">
        <v>20288</v>
      </c>
      <c r="W3741" t="s">
        <v>20285</v>
      </c>
      <c r="X3741" t="s">
        <v>20289</v>
      </c>
      <c r="Y3741" t="s">
        <v>116</v>
      </c>
      <c r="Z3741" t="s">
        <v>117</v>
      </c>
      <c r="AA3741" t="str">
        <f>"14222-2099"</f>
        <v>14222-2099</v>
      </c>
      <c r="AB3741" t="s">
        <v>118</v>
      </c>
      <c r="AC3741" t="s">
        <v>119</v>
      </c>
      <c r="AD3741" t="s">
        <v>113</v>
      </c>
      <c r="AE3741" t="s">
        <v>120</v>
      </c>
      <c r="AG3741" t="s">
        <v>121</v>
      </c>
    </row>
    <row r="3742" spans="1:33" x14ac:dyDescent="0.25">
      <c r="A3742" t="str">
        <f>"1992766265"</f>
        <v>1992766265</v>
      </c>
      <c r="C3742" t="s">
        <v>20290</v>
      </c>
      <c r="G3742" t="s">
        <v>20291</v>
      </c>
      <c r="H3742" t="s">
        <v>9180</v>
      </c>
      <c r="K3742" t="s">
        <v>303</v>
      </c>
      <c r="L3742" t="s">
        <v>229</v>
      </c>
      <c r="M3742" t="s">
        <v>113</v>
      </c>
      <c r="R3742" t="s">
        <v>20290</v>
      </c>
      <c r="S3742" t="s">
        <v>20292</v>
      </c>
      <c r="T3742" t="s">
        <v>116</v>
      </c>
      <c r="U3742" t="s">
        <v>117</v>
      </c>
      <c r="V3742" t="str">
        <f>"142081327"</f>
        <v>142081327</v>
      </c>
      <c r="AC3742" t="s">
        <v>119</v>
      </c>
      <c r="AD3742" t="s">
        <v>113</v>
      </c>
      <c r="AE3742" t="s">
        <v>306</v>
      </c>
      <c r="AG3742" t="s">
        <v>121</v>
      </c>
    </row>
    <row r="3743" spans="1:33" x14ac:dyDescent="0.25">
      <c r="A3743" t="str">
        <f>"1992771794"</f>
        <v>1992771794</v>
      </c>
      <c r="B3743" t="str">
        <f>"00686939"</f>
        <v>00686939</v>
      </c>
      <c r="C3743" t="s">
        <v>20293</v>
      </c>
      <c r="D3743" t="s">
        <v>20294</v>
      </c>
      <c r="E3743" t="s">
        <v>20295</v>
      </c>
      <c r="G3743" t="s">
        <v>20293</v>
      </c>
      <c r="H3743" t="s">
        <v>20296</v>
      </c>
      <c r="J3743" t="s">
        <v>20297</v>
      </c>
      <c r="L3743" t="s">
        <v>150</v>
      </c>
      <c r="M3743" t="s">
        <v>113</v>
      </c>
      <c r="R3743" t="s">
        <v>20298</v>
      </c>
      <c r="W3743" t="s">
        <v>20295</v>
      </c>
      <c r="X3743" t="s">
        <v>20299</v>
      </c>
      <c r="Y3743" t="s">
        <v>268</v>
      </c>
      <c r="Z3743" t="s">
        <v>117</v>
      </c>
      <c r="AA3743" t="str">
        <f>"14150-5300"</f>
        <v>14150-5300</v>
      </c>
      <c r="AB3743" t="s">
        <v>118</v>
      </c>
      <c r="AC3743" t="s">
        <v>119</v>
      </c>
      <c r="AD3743" t="s">
        <v>113</v>
      </c>
      <c r="AE3743" t="s">
        <v>120</v>
      </c>
      <c r="AG3743" t="s">
        <v>121</v>
      </c>
    </row>
    <row r="3744" spans="1:33" x14ac:dyDescent="0.25">
      <c r="A3744" t="str">
        <f>"1992771935"</f>
        <v>1992771935</v>
      </c>
      <c r="B3744" t="str">
        <f>"01227641"</f>
        <v>01227641</v>
      </c>
      <c r="C3744" t="s">
        <v>20300</v>
      </c>
      <c r="D3744" t="s">
        <v>20301</v>
      </c>
      <c r="E3744" t="s">
        <v>20302</v>
      </c>
      <c r="G3744" t="s">
        <v>20303</v>
      </c>
      <c r="H3744" t="s">
        <v>1659</v>
      </c>
      <c r="J3744" t="s">
        <v>1660</v>
      </c>
      <c r="L3744" t="s">
        <v>150</v>
      </c>
      <c r="M3744" t="s">
        <v>113</v>
      </c>
      <c r="R3744" t="s">
        <v>20304</v>
      </c>
      <c r="W3744" t="s">
        <v>20305</v>
      </c>
      <c r="X3744" t="s">
        <v>1663</v>
      </c>
      <c r="Y3744" t="s">
        <v>1381</v>
      </c>
      <c r="Z3744" t="s">
        <v>117</v>
      </c>
      <c r="AA3744" t="str">
        <f>"14063-1769"</f>
        <v>14063-1769</v>
      </c>
      <c r="AB3744" t="s">
        <v>118</v>
      </c>
      <c r="AC3744" t="s">
        <v>119</v>
      </c>
      <c r="AD3744" t="s">
        <v>113</v>
      </c>
      <c r="AE3744" t="s">
        <v>120</v>
      </c>
      <c r="AG3744" t="s">
        <v>121</v>
      </c>
    </row>
    <row r="3745" spans="1:33" x14ac:dyDescent="0.25">
      <c r="A3745" t="str">
        <f>"1992774400"</f>
        <v>1992774400</v>
      </c>
      <c r="B3745" t="str">
        <f>"00588601"</f>
        <v>00588601</v>
      </c>
      <c r="C3745" t="s">
        <v>20306</v>
      </c>
      <c r="D3745" t="s">
        <v>20307</v>
      </c>
      <c r="E3745" t="s">
        <v>20308</v>
      </c>
      <c r="G3745" t="s">
        <v>20306</v>
      </c>
      <c r="J3745" t="s">
        <v>20309</v>
      </c>
      <c r="L3745" t="s">
        <v>142</v>
      </c>
      <c r="M3745" t="s">
        <v>113</v>
      </c>
      <c r="R3745" t="s">
        <v>20310</v>
      </c>
      <c r="W3745" t="s">
        <v>20308</v>
      </c>
      <c r="X3745" t="s">
        <v>809</v>
      </c>
      <c r="Y3745" t="s">
        <v>116</v>
      </c>
      <c r="Z3745" t="s">
        <v>117</v>
      </c>
      <c r="AA3745" t="str">
        <f>"14203-1154"</f>
        <v>14203-1154</v>
      </c>
      <c r="AB3745" t="s">
        <v>118</v>
      </c>
      <c r="AC3745" t="s">
        <v>119</v>
      </c>
      <c r="AD3745" t="s">
        <v>113</v>
      </c>
      <c r="AE3745" t="s">
        <v>120</v>
      </c>
      <c r="AG3745" t="s">
        <v>121</v>
      </c>
    </row>
    <row r="3746" spans="1:33" x14ac:dyDescent="0.25">
      <c r="A3746" t="str">
        <f>"1992774764"</f>
        <v>1992774764</v>
      </c>
      <c r="B3746" t="str">
        <f>"01084344"</f>
        <v>01084344</v>
      </c>
      <c r="C3746" t="s">
        <v>20311</v>
      </c>
      <c r="D3746" t="s">
        <v>20312</v>
      </c>
      <c r="E3746" t="s">
        <v>20313</v>
      </c>
      <c r="G3746" t="s">
        <v>20314</v>
      </c>
      <c r="H3746" t="s">
        <v>213</v>
      </c>
      <c r="J3746" t="s">
        <v>20315</v>
      </c>
      <c r="L3746" t="s">
        <v>142</v>
      </c>
      <c r="M3746" t="s">
        <v>113</v>
      </c>
      <c r="R3746" t="s">
        <v>20316</v>
      </c>
      <c r="W3746" t="s">
        <v>20313</v>
      </c>
      <c r="Y3746" t="s">
        <v>116</v>
      </c>
      <c r="Z3746" t="s">
        <v>117</v>
      </c>
      <c r="AA3746" t="str">
        <f>"14222-2099"</f>
        <v>14222-2099</v>
      </c>
      <c r="AB3746" t="s">
        <v>118</v>
      </c>
      <c r="AC3746" t="s">
        <v>119</v>
      </c>
      <c r="AD3746" t="s">
        <v>113</v>
      </c>
      <c r="AE3746" t="s">
        <v>120</v>
      </c>
      <c r="AG3746" t="s">
        <v>121</v>
      </c>
    </row>
    <row r="3747" spans="1:33" x14ac:dyDescent="0.25">
      <c r="A3747" t="str">
        <f>"1992778674"</f>
        <v>1992778674</v>
      </c>
      <c r="B3747" t="str">
        <f>"01346689"</f>
        <v>01346689</v>
      </c>
      <c r="C3747" t="s">
        <v>20317</v>
      </c>
      <c r="D3747" t="s">
        <v>20318</v>
      </c>
      <c r="E3747" t="s">
        <v>20319</v>
      </c>
      <c r="G3747" t="s">
        <v>20317</v>
      </c>
      <c r="H3747" t="s">
        <v>20320</v>
      </c>
      <c r="J3747" t="s">
        <v>20321</v>
      </c>
      <c r="L3747" t="s">
        <v>150</v>
      </c>
      <c r="M3747" t="s">
        <v>113</v>
      </c>
      <c r="R3747" t="s">
        <v>20322</v>
      </c>
      <c r="W3747" t="s">
        <v>20319</v>
      </c>
      <c r="X3747" t="s">
        <v>20323</v>
      </c>
      <c r="Y3747" t="s">
        <v>1545</v>
      </c>
      <c r="Z3747" t="s">
        <v>117</v>
      </c>
      <c r="AA3747" t="str">
        <f>"14218-1658"</f>
        <v>14218-1658</v>
      </c>
      <c r="AB3747" t="s">
        <v>118</v>
      </c>
      <c r="AC3747" t="s">
        <v>119</v>
      </c>
      <c r="AD3747" t="s">
        <v>113</v>
      </c>
      <c r="AE3747" t="s">
        <v>120</v>
      </c>
      <c r="AG3747" t="s">
        <v>121</v>
      </c>
    </row>
    <row r="3748" spans="1:33" x14ac:dyDescent="0.25">
      <c r="A3748" t="str">
        <f>"1992782601"</f>
        <v>1992782601</v>
      </c>
      <c r="B3748" t="str">
        <f>"00839318"</f>
        <v>00839318</v>
      </c>
      <c r="C3748" t="s">
        <v>20324</v>
      </c>
      <c r="D3748" t="s">
        <v>20325</v>
      </c>
      <c r="E3748" t="s">
        <v>20326</v>
      </c>
      <c r="G3748" t="s">
        <v>20324</v>
      </c>
      <c r="H3748" t="s">
        <v>20327</v>
      </c>
      <c r="J3748" t="s">
        <v>20328</v>
      </c>
      <c r="L3748" t="s">
        <v>150</v>
      </c>
      <c r="M3748" t="s">
        <v>199</v>
      </c>
      <c r="R3748" t="s">
        <v>20329</v>
      </c>
      <c r="W3748" t="s">
        <v>20330</v>
      </c>
      <c r="X3748" t="s">
        <v>3566</v>
      </c>
      <c r="Y3748" t="s">
        <v>377</v>
      </c>
      <c r="Z3748" t="s">
        <v>117</v>
      </c>
      <c r="AA3748" t="str">
        <f>"14217-1390"</f>
        <v>14217-1390</v>
      </c>
      <c r="AB3748" t="s">
        <v>118</v>
      </c>
      <c r="AC3748" t="s">
        <v>119</v>
      </c>
      <c r="AD3748" t="s">
        <v>113</v>
      </c>
      <c r="AE3748" t="s">
        <v>120</v>
      </c>
      <c r="AG3748" t="s">
        <v>121</v>
      </c>
    </row>
    <row r="3749" spans="1:33" x14ac:dyDescent="0.25">
      <c r="A3749" t="str">
        <f>"1992788657"</f>
        <v>1992788657</v>
      </c>
      <c r="B3749" t="str">
        <f>"02430486"</f>
        <v>02430486</v>
      </c>
      <c r="C3749" t="s">
        <v>20331</v>
      </c>
      <c r="D3749" t="s">
        <v>20332</v>
      </c>
      <c r="E3749" t="s">
        <v>20333</v>
      </c>
      <c r="G3749" t="s">
        <v>20331</v>
      </c>
      <c r="H3749" t="s">
        <v>1013</v>
      </c>
      <c r="J3749" t="s">
        <v>20334</v>
      </c>
      <c r="L3749" t="s">
        <v>142</v>
      </c>
      <c r="M3749" t="s">
        <v>113</v>
      </c>
      <c r="R3749" t="s">
        <v>20335</v>
      </c>
      <c r="W3749" t="s">
        <v>20333</v>
      </c>
      <c r="X3749" t="s">
        <v>2892</v>
      </c>
      <c r="Y3749" t="s">
        <v>240</v>
      </c>
      <c r="Z3749" t="s">
        <v>117</v>
      </c>
      <c r="AA3749" t="str">
        <f>"14221-5838"</f>
        <v>14221-5838</v>
      </c>
      <c r="AB3749" t="s">
        <v>118</v>
      </c>
      <c r="AC3749" t="s">
        <v>119</v>
      </c>
      <c r="AD3749" t="s">
        <v>113</v>
      </c>
      <c r="AE3749" t="s">
        <v>120</v>
      </c>
      <c r="AG3749" t="s">
        <v>121</v>
      </c>
    </row>
    <row r="3750" spans="1:33" x14ac:dyDescent="0.25">
      <c r="A3750" t="str">
        <f>"1992790026"</f>
        <v>1992790026</v>
      </c>
      <c r="B3750" t="str">
        <f>"01098755"</f>
        <v>01098755</v>
      </c>
      <c r="C3750" t="s">
        <v>20336</v>
      </c>
      <c r="D3750" t="s">
        <v>20337</v>
      </c>
      <c r="E3750" t="s">
        <v>20338</v>
      </c>
      <c r="G3750" t="s">
        <v>20336</v>
      </c>
      <c r="H3750" t="s">
        <v>20339</v>
      </c>
      <c r="J3750" t="s">
        <v>20340</v>
      </c>
      <c r="L3750" t="s">
        <v>142</v>
      </c>
      <c r="M3750" t="s">
        <v>113</v>
      </c>
      <c r="R3750" t="s">
        <v>20341</v>
      </c>
      <c r="W3750" t="s">
        <v>20338</v>
      </c>
      <c r="X3750" t="s">
        <v>20342</v>
      </c>
      <c r="Y3750" t="s">
        <v>116</v>
      </c>
      <c r="Z3750" t="s">
        <v>117</v>
      </c>
      <c r="AA3750" t="str">
        <f>"14203"</f>
        <v>14203</v>
      </c>
      <c r="AB3750" t="s">
        <v>118</v>
      </c>
      <c r="AC3750" t="s">
        <v>119</v>
      </c>
      <c r="AD3750" t="s">
        <v>113</v>
      </c>
      <c r="AE3750" t="s">
        <v>120</v>
      </c>
      <c r="AG3750" t="s">
        <v>121</v>
      </c>
    </row>
    <row r="3751" spans="1:33" x14ac:dyDescent="0.25">
      <c r="A3751" t="str">
        <f>"1992804884"</f>
        <v>1992804884</v>
      </c>
      <c r="B3751" t="str">
        <f>"00603301"</f>
        <v>00603301</v>
      </c>
      <c r="C3751" t="s">
        <v>20343</v>
      </c>
      <c r="D3751" t="s">
        <v>20344</v>
      </c>
      <c r="E3751" t="s">
        <v>20345</v>
      </c>
      <c r="G3751" t="s">
        <v>20343</v>
      </c>
      <c r="H3751" t="s">
        <v>213</v>
      </c>
      <c r="J3751" t="s">
        <v>20346</v>
      </c>
      <c r="L3751" t="s">
        <v>20347</v>
      </c>
      <c r="M3751" t="s">
        <v>113</v>
      </c>
      <c r="R3751" t="s">
        <v>20348</v>
      </c>
      <c r="W3751" t="s">
        <v>20345</v>
      </c>
      <c r="X3751" t="s">
        <v>216</v>
      </c>
      <c r="Y3751" t="s">
        <v>116</v>
      </c>
      <c r="Z3751" t="s">
        <v>117</v>
      </c>
      <c r="AA3751" t="str">
        <f>"14222-2006"</f>
        <v>14222-2006</v>
      </c>
      <c r="AB3751" t="s">
        <v>118</v>
      </c>
      <c r="AC3751" t="s">
        <v>119</v>
      </c>
      <c r="AD3751" t="s">
        <v>113</v>
      </c>
      <c r="AE3751" t="s">
        <v>120</v>
      </c>
      <c r="AG3751" t="s">
        <v>121</v>
      </c>
    </row>
    <row r="3752" spans="1:33" x14ac:dyDescent="0.25">
      <c r="A3752" t="str">
        <f>"1720046253"</f>
        <v>1720046253</v>
      </c>
      <c r="B3752" t="str">
        <f>"00762881"</f>
        <v>00762881</v>
      </c>
      <c r="C3752" t="s">
        <v>20349</v>
      </c>
      <c r="D3752" t="s">
        <v>20350</v>
      </c>
      <c r="E3752" t="s">
        <v>20351</v>
      </c>
      <c r="G3752" t="s">
        <v>20352</v>
      </c>
      <c r="H3752" t="s">
        <v>20353</v>
      </c>
      <c r="J3752" t="s">
        <v>20354</v>
      </c>
      <c r="L3752" t="s">
        <v>142</v>
      </c>
      <c r="M3752" t="s">
        <v>113</v>
      </c>
      <c r="R3752" t="s">
        <v>20355</v>
      </c>
      <c r="W3752" t="s">
        <v>20351</v>
      </c>
      <c r="X3752" t="s">
        <v>14735</v>
      </c>
      <c r="Y3752" t="s">
        <v>116</v>
      </c>
      <c r="Z3752" t="s">
        <v>117</v>
      </c>
      <c r="AA3752" t="str">
        <f>"14201-1108"</f>
        <v>14201-1108</v>
      </c>
      <c r="AB3752" t="s">
        <v>1755</v>
      </c>
      <c r="AC3752" t="s">
        <v>119</v>
      </c>
      <c r="AD3752" t="s">
        <v>113</v>
      </c>
      <c r="AE3752" t="s">
        <v>120</v>
      </c>
      <c r="AG3752" t="s">
        <v>121</v>
      </c>
    </row>
    <row r="3753" spans="1:33" x14ac:dyDescent="0.25">
      <c r="A3753" t="str">
        <f>"1780025544"</f>
        <v>1780025544</v>
      </c>
      <c r="B3753" t="str">
        <f>"03971042"</f>
        <v>03971042</v>
      </c>
      <c r="C3753" t="s">
        <v>20356</v>
      </c>
      <c r="D3753" t="s">
        <v>20357</v>
      </c>
      <c r="E3753" t="s">
        <v>20358</v>
      </c>
      <c r="G3753" t="s">
        <v>20140</v>
      </c>
      <c r="H3753" t="s">
        <v>20141</v>
      </c>
      <c r="J3753" t="s">
        <v>20142</v>
      </c>
      <c r="L3753" t="s">
        <v>112</v>
      </c>
      <c r="M3753" t="s">
        <v>113</v>
      </c>
      <c r="R3753" t="s">
        <v>20359</v>
      </c>
      <c r="W3753" t="s">
        <v>20358</v>
      </c>
      <c r="X3753" t="s">
        <v>20149</v>
      </c>
      <c r="Y3753" t="s">
        <v>305</v>
      </c>
      <c r="Z3753" t="s">
        <v>117</v>
      </c>
      <c r="AA3753" t="str">
        <f>"14760-1532"</f>
        <v>14760-1532</v>
      </c>
      <c r="AB3753" t="s">
        <v>634</v>
      </c>
      <c r="AC3753" t="s">
        <v>119</v>
      </c>
      <c r="AD3753" t="s">
        <v>113</v>
      </c>
      <c r="AE3753" t="s">
        <v>120</v>
      </c>
      <c r="AG3753" t="s">
        <v>121</v>
      </c>
    </row>
    <row r="3754" spans="1:33" x14ac:dyDescent="0.25">
      <c r="A3754" t="str">
        <f>"1659583649"</f>
        <v>1659583649</v>
      </c>
      <c r="B3754" t="str">
        <f>"00872257"</f>
        <v>00872257</v>
      </c>
      <c r="C3754" t="s">
        <v>20360</v>
      </c>
      <c r="D3754" t="s">
        <v>20361</v>
      </c>
      <c r="E3754" t="s">
        <v>20362</v>
      </c>
      <c r="G3754" t="s">
        <v>20140</v>
      </c>
      <c r="H3754" t="s">
        <v>20141</v>
      </c>
      <c r="J3754" t="s">
        <v>20142</v>
      </c>
      <c r="L3754" t="s">
        <v>112</v>
      </c>
      <c r="M3754" t="s">
        <v>113</v>
      </c>
      <c r="R3754" t="s">
        <v>20363</v>
      </c>
      <c r="W3754" t="s">
        <v>20362</v>
      </c>
      <c r="X3754" t="s">
        <v>20364</v>
      </c>
      <c r="Y3754" t="s">
        <v>305</v>
      </c>
      <c r="Z3754" t="s">
        <v>117</v>
      </c>
      <c r="AA3754" t="str">
        <f>"14760-1548"</f>
        <v>14760-1548</v>
      </c>
      <c r="AB3754" t="s">
        <v>634</v>
      </c>
      <c r="AC3754" t="s">
        <v>119</v>
      </c>
      <c r="AD3754" t="s">
        <v>113</v>
      </c>
      <c r="AE3754" t="s">
        <v>120</v>
      </c>
      <c r="AG3754" t="s">
        <v>121</v>
      </c>
    </row>
    <row r="3755" spans="1:33" x14ac:dyDescent="0.25">
      <c r="A3755" t="str">
        <f>"1841254893"</f>
        <v>1841254893</v>
      </c>
      <c r="B3755" t="str">
        <f>"00601987"</f>
        <v>00601987</v>
      </c>
      <c r="C3755" t="s">
        <v>20365</v>
      </c>
      <c r="D3755" t="s">
        <v>20366</v>
      </c>
      <c r="E3755" t="s">
        <v>20367</v>
      </c>
      <c r="G3755" t="s">
        <v>20368</v>
      </c>
      <c r="H3755" t="s">
        <v>20369</v>
      </c>
      <c r="L3755" t="s">
        <v>150</v>
      </c>
      <c r="M3755" t="s">
        <v>199</v>
      </c>
      <c r="R3755" t="s">
        <v>20370</v>
      </c>
      <c r="W3755" t="s">
        <v>20371</v>
      </c>
      <c r="X3755" t="s">
        <v>7619</v>
      </c>
      <c r="Y3755" t="s">
        <v>362</v>
      </c>
      <c r="Z3755" t="s">
        <v>117</v>
      </c>
      <c r="AA3755" t="str">
        <f>"14108-1026"</f>
        <v>14108-1026</v>
      </c>
      <c r="AB3755" t="s">
        <v>118</v>
      </c>
      <c r="AC3755" t="s">
        <v>119</v>
      </c>
      <c r="AD3755" t="s">
        <v>113</v>
      </c>
      <c r="AE3755" t="s">
        <v>120</v>
      </c>
      <c r="AG3755" t="s">
        <v>121</v>
      </c>
    </row>
    <row r="3756" spans="1:33" x14ac:dyDescent="0.25">
      <c r="A3756" t="str">
        <f>"1841256336"</f>
        <v>1841256336</v>
      </c>
      <c r="B3756" t="str">
        <f>"01641510"</f>
        <v>01641510</v>
      </c>
      <c r="C3756" t="s">
        <v>20372</v>
      </c>
      <c r="D3756" t="s">
        <v>20373</v>
      </c>
      <c r="E3756" t="s">
        <v>20374</v>
      </c>
      <c r="G3756" t="s">
        <v>20372</v>
      </c>
      <c r="H3756" t="s">
        <v>1227</v>
      </c>
      <c r="J3756" t="s">
        <v>20375</v>
      </c>
      <c r="L3756" t="s">
        <v>142</v>
      </c>
      <c r="M3756" t="s">
        <v>113</v>
      </c>
      <c r="R3756" t="s">
        <v>20376</v>
      </c>
      <c r="W3756" t="s">
        <v>20374</v>
      </c>
      <c r="X3756" t="s">
        <v>3705</v>
      </c>
      <c r="Y3756" t="s">
        <v>958</v>
      </c>
      <c r="Z3756" t="s">
        <v>117</v>
      </c>
      <c r="AA3756" t="str">
        <f>"14226-1727"</f>
        <v>14226-1727</v>
      </c>
      <c r="AB3756" t="s">
        <v>118</v>
      </c>
      <c r="AC3756" t="s">
        <v>119</v>
      </c>
      <c r="AD3756" t="s">
        <v>113</v>
      </c>
      <c r="AE3756" t="s">
        <v>120</v>
      </c>
      <c r="AG3756" t="s">
        <v>121</v>
      </c>
    </row>
    <row r="3757" spans="1:33" x14ac:dyDescent="0.25">
      <c r="A3757" t="str">
        <f>"1841256468"</f>
        <v>1841256468</v>
      </c>
      <c r="B3757" t="str">
        <f>"01139844"</f>
        <v>01139844</v>
      </c>
      <c r="C3757" t="s">
        <v>20377</v>
      </c>
      <c r="D3757" t="s">
        <v>20378</v>
      </c>
      <c r="E3757" t="s">
        <v>20379</v>
      </c>
      <c r="G3757" t="s">
        <v>20377</v>
      </c>
      <c r="H3757" t="s">
        <v>205</v>
      </c>
      <c r="J3757" t="s">
        <v>20380</v>
      </c>
      <c r="L3757" t="s">
        <v>150</v>
      </c>
      <c r="M3757" t="s">
        <v>113</v>
      </c>
      <c r="R3757" t="s">
        <v>20381</v>
      </c>
      <c r="W3757" t="s">
        <v>20379</v>
      </c>
      <c r="X3757" t="s">
        <v>16476</v>
      </c>
      <c r="Y3757" t="s">
        <v>326</v>
      </c>
      <c r="Z3757" t="s">
        <v>117</v>
      </c>
      <c r="AA3757" t="str">
        <f>"14127-2640"</f>
        <v>14127-2640</v>
      </c>
      <c r="AB3757" t="s">
        <v>118</v>
      </c>
      <c r="AC3757" t="s">
        <v>119</v>
      </c>
      <c r="AD3757" t="s">
        <v>113</v>
      </c>
      <c r="AE3757" t="s">
        <v>120</v>
      </c>
      <c r="AG3757" t="s">
        <v>121</v>
      </c>
    </row>
    <row r="3758" spans="1:33" x14ac:dyDescent="0.25">
      <c r="A3758" t="str">
        <f>"1841257078"</f>
        <v>1841257078</v>
      </c>
      <c r="B3758" t="str">
        <f>"00721962"</f>
        <v>00721962</v>
      </c>
      <c r="C3758" t="s">
        <v>20382</v>
      </c>
      <c r="D3758" t="s">
        <v>20383</v>
      </c>
      <c r="E3758" t="s">
        <v>20384</v>
      </c>
      <c r="G3758" t="s">
        <v>20382</v>
      </c>
      <c r="H3758" t="s">
        <v>205</v>
      </c>
      <c r="J3758" t="s">
        <v>20385</v>
      </c>
      <c r="L3758" t="s">
        <v>142</v>
      </c>
      <c r="M3758" t="s">
        <v>113</v>
      </c>
      <c r="R3758" t="s">
        <v>20386</v>
      </c>
      <c r="W3758" t="s">
        <v>20384</v>
      </c>
      <c r="X3758" t="s">
        <v>5403</v>
      </c>
      <c r="Y3758" t="s">
        <v>116</v>
      </c>
      <c r="Z3758" t="s">
        <v>117</v>
      </c>
      <c r="AA3758" t="str">
        <f>"14203-1149"</f>
        <v>14203-1149</v>
      </c>
      <c r="AB3758" t="s">
        <v>118</v>
      </c>
      <c r="AC3758" t="s">
        <v>119</v>
      </c>
      <c r="AD3758" t="s">
        <v>113</v>
      </c>
      <c r="AE3758" t="s">
        <v>120</v>
      </c>
      <c r="AG3758" t="s">
        <v>121</v>
      </c>
    </row>
    <row r="3759" spans="1:33" x14ac:dyDescent="0.25">
      <c r="A3759" t="str">
        <f>"1841257177"</f>
        <v>1841257177</v>
      </c>
      <c r="B3759" t="str">
        <f>"02461329"</f>
        <v>02461329</v>
      </c>
      <c r="C3759" t="s">
        <v>20387</v>
      </c>
      <c r="D3759" t="s">
        <v>20388</v>
      </c>
      <c r="E3759" t="s">
        <v>20389</v>
      </c>
      <c r="G3759" t="s">
        <v>330</v>
      </c>
      <c r="H3759" t="s">
        <v>579</v>
      </c>
      <c r="J3759" t="s">
        <v>332</v>
      </c>
      <c r="L3759" t="s">
        <v>142</v>
      </c>
      <c r="M3759" t="s">
        <v>113</v>
      </c>
      <c r="R3759" t="s">
        <v>20390</v>
      </c>
      <c r="W3759" t="s">
        <v>20389</v>
      </c>
      <c r="X3759" t="s">
        <v>15931</v>
      </c>
      <c r="Y3759" t="s">
        <v>116</v>
      </c>
      <c r="Z3759" t="s">
        <v>117</v>
      </c>
      <c r="AA3759" t="str">
        <f>"14220-2095"</f>
        <v>14220-2095</v>
      </c>
      <c r="AB3759" t="s">
        <v>118</v>
      </c>
      <c r="AC3759" t="s">
        <v>119</v>
      </c>
      <c r="AD3759" t="s">
        <v>113</v>
      </c>
      <c r="AE3759" t="s">
        <v>120</v>
      </c>
      <c r="AG3759" t="s">
        <v>121</v>
      </c>
    </row>
    <row r="3760" spans="1:33" x14ac:dyDescent="0.25">
      <c r="A3760" t="str">
        <f>"1841258191"</f>
        <v>1841258191</v>
      </c>
      <c r="B3760" t="str">
        <f>"02104227"</f>
        <v>02104227</v>
      </c>
      <c r="C3760" t="s">
        <v>20391</v>
      </c>
      <c r="D3760" t="s">
        <v>20392</v>
      </c>
      <c r="E3760" t="s">
        <v>20393</v>
      </c>
      <c r="G3760" t="s">
        <v>20394</v>
      </c>
      <c r="H3760" t="s">
        <v>7782</v>
      </c>
      <c r="J3760" t="s">
        <v>20395</v>
      </c>
      <c r="L3760" t="s">
        <v>112</v>
      </c>
      <c r="M3760" t="s">
        <v>113</v>
      </c>
      <c r="R3760" t="s">
        <v>20396</v>
      </c>
      <c r="W3760" t="s">
        <v>20393</v>
      </c>
      <c r="X3760" t="s">
        <v>1024</v>
      </c>
      <c r="Y3760" t="s">
        <v>116</v>
      </c>
      <c r="Z3760" t="s">
        <v>117</v>
      </c>
      <c r="AA3760" t="str">
        <f>"14209-2408"</f>
        <v>14209-2408</v>
      </c>
      <c r="AB3760" t="s">
        <v>118</v>
      </c>
      <c r="AC3760" t="s">
        <v>119</v>
      </c>
      <c r="AD3760" t="s">
        <v>113</v>
      </c>
      <c r="AE3760" t="s">
        <v>120</v>
      </c>
      <c r="AG3760" t="s">
        <v>121</v>
      </c>
    </row>
    <row r="3761" spans="1:33" x14ac:dyDescent="0.25">
      <c r="A3761" t="str">
        <f>"1841258423"</f>
        <v>1841258423</v>
      </c>
      <c r="B3761" t="str">
        <f>"02400122"</f>
        <v>02400122</v>
      </c>
      <c r="C3761" t="s">
        <v>20397</v>
      </c>
      <c r="D3761" t="s">
        <v>20398</v>
      </c>
      <c r="E3761" t="s">
        <v>20399</v>
      </c>
      <c r="G3761" t="s">
        <v>20397</v>
      </c>
      <c r="H3761" t="s">
        <v>10057</v>
      </c>
      <c r="J3761" t="s">
        <v>20400</v>
      </c>
      <c r="L3761" t="s">
        <v>150</v>
      </c>
      <c r="M3761" t="s">
        <v>199</v>
      </c>
      <c r="R3761" t="s">
        <v>20399</v>
      </c>
      <c r="W3761" t="s">
        <v>20401</v>
      </c>
      <c r="X3761" t="s">
        <v>260</v>
      </c>
      <c r="Y3761" t="s">
        <v>240</v>
      </c>
      <c r="Z3761" t="s">
        <v>117</v>
      </c>
      <c r="AA3761" t="str">
        <f>"14221-3698"</f>
        <v>14221-3698</v>
      </c>
      <c r="AB3761" t="s">
        <v>118</v>
      </c>
      <c r="AC3761" t="s">
        <v>119</v>
      </c>
      <c r="AD3761" t="s">
        <v>113</v>
      </c>
      <c r="AE3761" t="s">
        <v>120</v>
      </c>
      <c r="AG3761" t="s">
        <v>121</v>
      </c>
    </row>
    <row r="3762" spans="1:33" x14ac:dyDescent="0.25">
      <c r="A3762" t="str">
        <f>"1790719227"</f>
        <v>1790719227</v>
      </c>
      <c r="B3762" t="str">
        <f>"01412468"</f>
        <v>01412468</v>
      </c>
      <c r="C3762" t="s">
        <v>20402</v>
      </c>
      <c r="D3762" t="s">
        <v>20403</v>
      </c>
      <c r="E3762" t="s">
        <v>20404</v>
      </c>
      <c r="G3762" t="s">
        <v>20405</v>
      </c>
      <c r="H3762" t="s">
        <v>14533</v>
      </c>
      <c r="J3762" t="s">
        <v>20406</v>
      </c>
      <c r="L3762" t="s">
        <v>142</v>
      </c>
      <c r="M3762" t="s">
        <v>113</v>
      </c>
      <c r="R3762" t="s">
        <v>20407</v>
      </c>
      <c r="W3762" t="s">
        <v>20404</v>
      </c>
      <c r="X3762" t="s">
        <v>7792</v>
      </c>
      <c r="Y3762" t="s">
        <v>116</v>
      </c>
      <c r="Z3762" t="s">
        <v>117</v>
      </c>
      <c r="AA3762" t="str">
        <f>"14209-2102"</f>
        <v>14209-2102</v>
      </c>
      <c r="AB3762" t="s">
        <v>118</v>
      </c>
      <c r="AC3762" t="s">
        <v>119</v>
      </c>
      <c r="AD3762" t="s">
        <v>113</v>
      </c>
      <c r="AE3762" t="s">
        <v>120</v>
      </c>
      <c r="AG3762" t="s">
        <v>121</v>
      </c>
    </row>
    <row r="3763" spans="1:33" x14ac:dyDescent="0.25">
      <c r="A3763" t="str">
        <f>"1790728673"</f>
        <v>1790728673</v>
      </c>
      <c r="B3763" t="str">
        <f>"01661343"</f>
        <v>01661343</v>
      </c>
      <c r="C3763" t="s">
        <v>20408</v>
      </c>
      <c r="D3763" t="s">
        <v>20409</v>
      </c>
      <c r="E3763" t="s">
        <v>20410</v>
      </c>
      <c r="G3763" t="s">
        <v>859</v>
      </c>
      <c r="H3763" t="s">
        <v>1478</v>
      </c>
      <c r="J3763" t="s">
        <v>861</v>
      </c>
      <c r="L3763" t="s">
        <v>142</v>
      </c>
      <c r="M3763" t="s">
        <v>113</v>
      </c>
      <c r="R3763" t="s">
        <v>20411</v>
      </c>
      <c r="W3763" t="s">
        <v>20410</v>
      </c>
      <c r="X3763" t="s">
        <v>136</v>
      </c>
      <c r="Y3763" t="s">
        <v>116</v>
      </c>
      <c r="Z3763" t="s">
        <v>117</v>
      </c>
      <c r="AA3763" t="str">
        <f>"14209-1120"</f>
        <v>14209-1120</v>
      </c>
      <c r="AB3763" t="s">
        <v>118</v>
      </c>
      <c r="AC3763" t="s">
        <v>119</v>
      </c>
      <c r="AD3763" t="s">
        <v>113</v>
      </c>
      <c r="AE3763" t="s">
        <v>120</v>
      </c>
      <c r="AG3763" t="s">
        <v>121</v>
      </c>
    </row>
    <row r="3764" spans="1:33" x14ac:dyDescent="0.25">
      <c r="A3764" t="str">
        <f>"1790729820"</f>
        <v>1790729820</v>
      </c>
      <c r="B3764" t="str">
        <f>"01805274"</f>
        <v>01805274</v>
      </c>
      <c r="C3764" t="s">
        <v>20412</v>
      </c>
      <c r="D3764" t="s">
        <v>20413</v>
      </c>
      <c r="E3764" t="s">
        <v>20414</v>
      </c>
      <c r="G3764" t="s">
        <v>20412</v>
      </c>
      <c r="H3764" t="s">
        <v>20415</v>
      </c>
      <c r="J3764" t="s">
        <v>20416</v>
      </c>
      <c r="L3764" t="s">
        <v>142</v>
      </c>
      <c r="M3764" t="s">
        <v>113</v>
      </c>
      <c r="R3764" t="s">
        <v>20417</v>
      </c>
      <c r="W3764" t="s">
        <v>20414</v>
      </c>
      <c r="X3764" t="s">
        <v>20418</v>
      </c>
      <c r="Y3764" t="s">
        <v>129</v>
      </c>
      <c r="Z3764" t="s">
        <v>117</v>
      </c>
      <c r="AA3764" t="str">
        <f>"14224-2646"</f>
        <v>14224-2646</v>
      </c>
      <c r="AB3764" t="s">
        <v>118</v>
      </c>
      <c r="AC3764" t="s">
        <v>119</v>
      </c>
      <c r="AD3764" t="s">
        <v>113</v>
      </c>
      <c r="AE3764" t="s">
        <v>120</v>
      </c>
      <c r="AG3764" t="s">
        <v>121</v>
      </c>
    </row>
    <row r="3765" spans="1:33" x14ac:dyDescent="0.25">
      <c r="A3765" t="str">
        <f>"1790734093"</f>
        <v>1790734093</v>
      </c>
      <c r="B3765" t="str">
        <f>"01627141"</f>
        <v>01627141</v>
      </c>
      <c r="C3765" t="s">
        <v>20419</v>
      </c>
      <c r="D3765" t="s">
        <v>20420</v>
      </c>
      <c r="E3765" t="s">
        <v>20421</v>
      </c>
      <c r="G3765" t="s">
        <v>20419</v>
      </c>
      <c r="H3765" t="s">
        <v>205</v>
      </c>
      <c r="J3765" t="s">
        <v>20422</v>
      </c>
      <c r="L3765" t="s">
        <v>142</v>
      </c>
      <c r="M3765" t="s">
        <v>113</v>
      </c>
      <c r="R3765" t="s">
        <v>20423</v>
      </c>
      <c r="W3765" t="s">
        <v>20421</v>
      </c>
      <c r="X3765" t="s">
        <v>1361</v>
      </c>
      <c r="Y3765" t="s">
        <v>318</v>
      </c>
      <c r="Z3765" t="s">
        <v>117</v>
      </c>
      <c r="AA3765" t="str">
        <f>"14225-2500"</f>
        <v>14225-2500</v>
      </c>
      <c r="AB3765" t="s">
        <v>118</v>
      </c>
      <c r="AC3765" t="s">
        <v>119</v>
      </c>
      <c r="AD3765" t="s">
        <v>113</v>
      </c>
      <c r="AE3765" t="s">
        <v>120</v>
      </c>
      <c r="AG3765" t="s">
        <v>121</v>
      </c>
    </row>
    <row r="3766" spans="1:33" x14ac:dyDescent="0.25">
      <c r="A3766" t="str">
        <f>"1790739399"</f>
        <v>1790739399</v>
      </c>
      <c r="C3766" t="s">
        <v>20424</v>
      </c>
      <c r="G3766" t="s">
        <v>20425</v>
      </c>
      <c r="H3766" t="s">
        <v>20426</v>
      </c>
      <c r="J3766" t="s">
        <v>20427</v>
      </c>
      <c r="K3766" t="s">
        <v>303</v>
      </c>
      <c r="L3766" t="s">
        <v>229</v>
      </c>
      <c r="M3766" t="s">
        <v>113</v>
      </c>
      <c r="R3766" t="s">
        <v>20428</v>
      </c>
      <c r="S3766" t="s">
        <v>20429</v>
      </c>
      <c r="T3766" t="s">
        <v>20430</v>
      </c>
      <c r="U3766" t="s">
        <v>18593</v>
      </c>
      <c r="V3766" t="str">
        <f>"313145674"</f>
        <v>313145674</v>
      </c>
      <c r="AC3766" t="s">
        <v>119</v>
      </c>
      <c r="AD3766" t="s">
        <v>113</v>
      </c>
      <c r="AE3766" t="s">
        <v>306</v>
      </c>
      <c r="AG3766" t="s">
        <v>121</v>
      </c>
    </row>
    <row r="3767" spans="1:33" x14ac:dyDescent="0.25">
      <c r="A3767" t="str">
        <f>"1790740272"</f>
        <v>1790740272</v>
      </c>
      <c r="B3767" t="str">
        <f>"01843030"</f>
        <v>01843030</v>
      </c>
      <c r="C3767" t="s">
        <v>20431</v>
      </c>
      <c r="D3767" t="s">
        <v>20432</v>
      </c>
      <c r="E3767" t="s">
        <v>20433</v>
      </c>
      <c r="G3767" t="s">
        <v>859</v>
      </c>
      <c r="H3767" t="s">
        <v>630</v>
      </c>
      <c r="J3767" t="s">
        <v>861</v>
      </c>
      <c r="L3767" t="s">
        <v>142</v>
      </c>
      <c r="M3767" t="s">
        <v>113</v>
      </c>
      <c r="R3767" t="s">
        <v>20434</v>
      </c>
      <c r="W3767" t="s">
        <v>20433</v>
      </c>
      <c r="X3767" t="s">
        <v>11916</v>
      </c>
      <c r="Y3767" t="s">
        <v>116</v>
      </c>
      <c r="Z3767" t="s">
        <v>117</v>
      </c>
      <c r="AA3767" t="str">
        <f>"14215-3021"</f>
        <v>14215-3021</v>
      </c>
      <c r="AB3767" t="s">
        <v>118</v>
      </c>
      <c r="AC3767" t="s">
        <v>119</v>
      </c>
      <c r="AD3767" t="s">
        <v>113</v>
      </c>
      <c r="AE3767" t="s">
        <v>120</v>
      </c>
      <c r="AG3767" t="s">
        <v>121</v>
      </c>
    </row>
    <row r="3768" spans="1:33" x14ac:dyDescent="0.25">
      <c r="A3768" t="str">
        <f>"1790741247"</f>
        <v>1790741247</v>
      </c>
      <c r="B3768" t="str">
        <f>"02812802"</f>
        <v>02812802</v>
      </c>
      <c r="C3768" t="s">
        <v>20435</v>
      </c>
      <c r="D3768" t="s">
        <v>20436</v>
      </c>
      <c r="E3768" t="s">
        <v>20437</v>
      </c>
      <c r="G3768" t="s">
        <v>20435</v>
      </c>
      <c r="H3768" t="s">
        <v>20438</v>
      </c>
      <c r="J3768" t="s">
        <v>20439</v>
      </c>
      <c r="L3768" t="s">
        <v>142</v>
      </c>
      <c r="M3768" t="s">
        <v>113</v>
      </c>
      <c r="R3768" t="s">
        <v>20440</v>
      </c>
      <c r="W3768" t="s">
        <v>20437</v>
      </c>
      <c r="X3768" t="s">
        <v>19466</v>
      </c>
      <c r="Y3768" t="s">
        <v>116</v>
      </c>
      <c r="Z3768" t="s">
        <v>117</v>
      </c>
      <c r="AA3768" t="str">
        <f>"14215-3021"</f>
        <v>14215-3021</v>
      </c>
      <c r="AB3768" t="s">
        <v>118</v>
      </c>
      <c r="AC3768" t="s">
        <v>119</v>
      </c>
      <c r="AD3768" t="s">
        <v>113</v>
      </c>
      <c r="AE3768" t="s">
        <v>120</v>
      </c>
      <c r="AG3768" t="s">
        <v>121</v>
      </c>
    </row>
    <row r="3769" spans="1:33" x14ac:dyDescent="0.25">
      <c r="A3769" t="str">
        <f>"1790741965"</f>
        <v>1790741965</v>
      </c>
      <c r="B3769" t="str">
        <f>"02081354"</f>
        <v>02081354</v>
      </c>
      <c r="C3769" t="s">
        <v>20441</v>
      </c>
      <c r="D3769" t="s">
        <v>20442</v>
      </c>
      <c r="E3769" t="s">
        <v>20443</v>
      </c>
      <c r="G3769" t="s">
        <v>20444</v>
      </c>
      <c r="H3769" t="s">
        <v>133</v>
      </c>
      <c r="J3769" t="s">
        <v>20445</v>
      </c>
      <c r="L3769" t="s">
        <v>112</v>
      </c>
      <c r="M3769" t="s">
        <v>113</v>
      </c>
      <c r="R3769" t="s">
        <v>20446</v>
      </c>
      <c r="W3769" t="s">
        <v>20443</v>
      </c>
      <c r="X3769" t="s">
        <v>20447</v>
      </c>
      <c r="Y3769" t="s">
        <v>116</v>
      </c>
      <c r="Z3769" t="s">
        <v>117</v>
      </c>
      <c r="AA3769" t="str">
        <f>"14209-1120"</f>
        <v>14209-1120</v>
      </c>
      <c r="AB3769" t="s">
        <v>118</v>
      </c>
      <c r="AC3769" t="s">
        <v>119</v>
      </c>
      <c r="AD3769" t="s">
        <v>113</v>
      </c>
      <c r="AE3769" t="s">
        <v>120</v>
      </c>
      <c r="AG3769" t="s">
        <v>121</v>
      </c>
    </row>
    <row r="3770" spans="1:33" x14ac:dyDescent="0.25">
      <c r="A3770" t="str">
        <f>"1790742161"</f>
        <v>1790742161</v>
      </c>
      <c r="B3770" t="str">
        <f>"02091165"</f>
        <v>02091165</v>
      </c>
      <c r="C3770" t="s">
        <v>20448</v>
      </c>
      <c r="D3770" t="s">
        <v>20449</v>
      </c>
      <c r="E3770" t="s">
        <v>20450</v>
      </c>
      <c r="G3770" t="s">
        <v>20448</v>
      </c>
      <c r="H3770" t="s">
        <v>205</v>
      </c>
      <c r="J3770" t="s">
        <v>20451</v>
      </c>
      <c r="L3770" t="s">
        <v>142</v>
      </c>
      <c r="M3770" t="s">
        <v>113</v>
      </c>
      <c r="R3770" t="s">
        <v>20452</v>
      </c>
      <c r="W3770" t="s">
        <v>20450</v>
      </c>
      <c r="X3770" t="s">
        <v>20453</v>
      </c>
      <c r="Y3770" t="s">
        <v>240</v>
      </c>
      <c r="Z3770" t="s">
        <v>117</v>
      </c>
      <c r="AA3770" t="str">
        <f>"14221-5795"</f>
        <v>14221-5795</v>
      </c>
      <c r="AB3770" t="s">
        <v>118</v>
      </c>
      <c r="AC3770" t="s">
        <v>119</v>
      </c>
      <c r="AD3770" t="s">
        <v>113</v>
      </c>
      <c r="AE3770" t="s">
        <v>120</v>
      </c>
      <c r="AG3770" t="s">
        <v>121</v>
      </c>
    </row>
    <row r="3771" spans="1:33" x14ac:dyDescent="0.25">
      <c r="A3771" t="str">
        <f>"1790751501"</f>
        <v>1790751501</v>
      </c>
      <c r="B3771" t="str">
        <f>"00978267"</f>
        <v>00978267</v>
      </c>
      <c r="C3771" t="s">
        <v>20454</v>
      </c>
      <c r="D3771" t="s">
        <v>20455</v>
      </c>
      <c r="E3771" t="s">
        <v>20456</v>
      </c>
      <c r="G3771" t="s">
        <v>20454</v>
      </c>
      <c r="H3771" t="s">
        <v>398</v>
      </c>
      <c r="J3771" t="s">
        <v>20457</v>
      </c>
      <c r="L3771" t="s">
        <v>150</v>
      </c>
      <c r="M3771" t="s">
        <v>113</v>
      </c>
      <c r="R3771" t="s">
        <v>20458</v>
      </c>
      <c r="W3771" t="s">
        <v>20456</v>
      </c>
      <c r="X3771" t="s">
        <v>401</v>
      </c>
      <c r="Y3771" t="s">
        <v>116</v>
      </c>
      <c r="Z3771" t="s">
        <v>117</v>
      </c>
      <c r="AA3771" t="str">
        <f>"14223-2819"</f>
        <v>14223-2819</v>
      </c>
      <c r="AB3771" t="s">
        <v>118</v>
      </c>
      <c r="AC3771" t="s">
        <v>119</v>
      </c>
      <c r="AD3771" t="s">
        <v>113</v>
      </c>
      <c r="AE3771" t="s">
        <v>120</v>
      </c>
      <c r="AG3771" t="s">
        <v>121</v>
      </c>
    </row>
    <row r="3772" spans="1:33" x14ac:dyDescent="0.25">
      <c r="A3772" t="str">
        <f>"1790758373"</f>
        <v>1790758373</v>
      </c>
      <c r="B3772" t="str">
        <f>"01902029"</f>
        <v>01902029</v>
      </c>
      <c r="C3772" t="s">
        <v>20459</v>
      </c>
      <c r="D3772" t="s">
        <v>20460</v>
      </c>
      <c r="E3772" t="s">
        <v>20461</v>
      </c>
      <c r="G3772" t="s">
        <v>20459</v>
      </c>
      <c r="H3772" t="s">
        <v>20462</v>
      </c>
      <c r="J3772" t="s">
        <v>20463</v>
      </c>
      <c r="L3772" t="s">
        <v>142</v>
      </c>
      <c r="M3772" t="s">
        <v>113</v>
      </c>
      <c r="R3772" t="s">
        <v>20464</v>
      </c>
      <c r="W3772" t="s">
        <v>20465</v>
      </c>
      <c r="X3772" t="s">
        <v>1648</v>
      </c>
      <c r="Y3772" t="s">
        <v>116</v>
      </c>
      <c r="Z3772" t="s">
        <v>117</v>
      </c>
      <c r="AA3772" t="str">
        <f>"14214-2648"</f>
        <v>14214-2648</v>
      </c>
      <c r="AB3772" t="s">
        <v>118</v>
      </c>
      <c r="AC3772" t="s">
        <v>119</v>
      </c>
      <c r="AD3772" t="s">
        <v>113</v>
      </c>
      <c r="AE3772" t="s">
        <v>120</v>
      </c>
      <c r="AG3772" t="s">
        <v>121</v>
      </c>
    </row>
    <row r="3773" spans="1:33" x14ac:dyDescent="0.25">
      <c r="A3773" t="str">
        <f>"1790760064"</f>
        <v>1790760064</v>
      </c>
      <c r="B3773" t="str">
        <f>"03293592"</f>
        <v>03293592</v>
      </c>
      <c r="C3773" t="s">
        <v>20466</v>
      </c>
      <c r="D3773" t="s">
        <v>20467</v>
      </c>
      <c r="E3773" t="s">
        <v>20468</v>
      </c>
      <c r="G3773" t="s">
        <v>20466</v>
      </c>
      <c r="H3773" t="s">
        <v>227</v>
      </c>
      <c r="J3773" t="s">
        <v>20469</v>
      </c>
      <c r="L3773" t="s">
        <v>142</v>
      </c>
      <c r="M3773" t="s">
        <v>113</v>
      </c>
      <c r="R3773" t="s">
        <v>20468</v>
      </c>
      <c r="W3773" t="s">
        <v>20468</v>
      </c>
      <c r="X3773" t="s">
        <v>20470</v>
      </c>
      <c r="Y3773" t="s">
        <v>20471</v>
      </c>
      <c r="Z3773" t="s">
        <v>117</v>
      </c>
      <c r="AA3773" t="str">
        <f>"10801-5502"</f>
        <v>10801-5502</v>
      </c>
      <c r="AB3773" t="s">
        <v>118</v>
      </c>
      <c r="AC3773" t="s">
        <v>119</v>
      </c>
      <c r="AD3773" t="s">
        <v>113</v>
      </c>
      <c r="AE3773" t="s">
        <v>120</v>
      </c>
      <c r="AG3773" t="s">
        <v>121</v>
      </c>
    </row>
    <row r="3774" spans="1:33" x14ac:dyDescent="0.25">
      <c r="A3774" t="str">
        <f>"1790768885"</f>
        <v>1790768885</v>
      </c>
      <c r="B3774" t="str">
        <f>"00707837"</f>
        <v>00707837</v>
      </c>
      <c r="C3774" t="s">
        <v>20472</v>
      </c>
      <c r="D3774" t="s">
        <v>20473</v>
      </c>
      <c r="E3774" t="s">
        <v>20474</v>
      </c>
      <c r="G3774" t="s">
        <v>20472</v>
      </c>
      <c r="H3774" t="s">
        <v>1013</v>
      </c>
      <c r="J3774" t="s">
        <v>20475</v>
      </c>
      <c r="L3774" t="s">
        <v>142</v>
      </c>
      <c r="M3774" t="s">
        <v>113</v>
      </c>
      <c r="R3774" t="s">
        <v>20476</v>
      </c>
      <c r="W3774" t="s">
        <v>20474</v>
      </c>
      <c r="X3774" t="s">
        <v>562</v>
      </c>
      <c r="Y3774" t="s">
        <v>116</v>
      </c>
      <c r="Z3774" t="s">
        <v>117</v>
      </c>
      <c r="AA3774" t="str">
        <f>"14215-3021"</f>
        <v>14215-3021</v>
      </c>
      <c r="AB3774" t="s">
        <v>118</v>
      </c>
      <c r="AC3774" t="s">
        <v>119</v>
      </c>
      <c r="AD3774" t="s">
        <v>113</v>
      </c>
      <c r="AE3774" t="s">
        <v>120</v>
      </c>
      <c r="AG3774" t="s">
        <v>121</v>
      </c>
    </row>
    <row r="3775" spans="1:33" x14ac:dyDescent="0.25">
      <c r="A3775" t="str">
        <f>"1790782761"</f>
        <v>1790782761</v>
      </c>
      <c r="B3775" t="str">
        <f>"01721439"</f>
        <v>01721439</v>
      </c>
      <c r="C3775" t="s">
        <v>20477</v>
      </c>
      <c r="D3775" t="s">
        <v>20478</v>
      </c>
      <c r="E3775" t="s">
        <v>20479</v>
      </c>
      <c r="G3775" t="s">
        <v>20477</v>
      </c>
      <c r="H3775" t="s">
        <v>236</v>
      </c>
      <c r="J3775" t="s">
        <v>20480</v>
      </c>
      <c r="L3775" t="s">
        <v>142</v>
      </c>
      <c r="M3775" t="s">
        <v>113</v>
      </c>
      <c r="R3775" t="s">
        <v>20481</v>
      </c>
      <c r="W3775" t="s">
        <v>20479</v>
      </c>
      <c r="X3775" t="s">
        <v>20482</v>
      </c>
      <c r="Y3775" t="s">
        <v>116</v>
      </c>
      <c r="Z3775" t="s">
        <v>117</v>
      </c>
      <c r="AA3775" t="str">
        <f>"14215-1713"</f>
        <v>14215-1713</v>
      </c>
      <c r="AB3775" t="s">
        <v>118</v>
      </c>
      <c r="AC3775" t="s">
        <v>119</v>
      </c>
      <c r="AD3775" t="s">
        <v>113</v>
      </c>
      <c r="AE3775" t="s">
        <v>120</v>
      </c>
      <c r="AG3775" t="s">
        <v>121</v>
      </c>
    </row>
    <row r="3776" spans="1:33" x14ac:dyDescent="0.25">
      <c r="A3776" t="str">
        <f>"1790783355"</f>
        <v>1790783355</v>
      </c>
      <c r="B3776" t="str">
        <f>"00887747"</f>
        <v>00887747</v>
      </c>
      <c r="C3776" t="s">
        <v>20483</v>
      </c>
      <c r="D3776" t="s">
        <v>20484</v>
      </c>
      <c r="E3776" t="s">
        <v>20485</v>
      </c>
      <c r="G3776" t="s">
        <v>196</v>
      </c>
      <c r="H3776" t="s">
        <v>197</v>
      </c>
      <c r="I3776">
        <v>214</v>
      </c>
      <c r="J3776" t="s">
        <v>198</v>
      </c>
      <c r="L3776" t="s">
        <v>150</v>
      </c>
      <c r="M3776" t="s">
        <v>199</v>
      </c>
      <c r="R3776" t="s">
        <v>20486</v>
      </c>
      <c r="W3776" t="s">
        <v>20485</v>
      </c>
      <c r="Y3776" t="s">
        <v>153</v>
      </c>
      <c r="Z3776" t="s">
        <v>117</v>
      </c>
      <c r="AA3776" t="str">
        <f>"14301-1813"</f>
        <v>14301-1813</v>
      </c>
      <c r="AB3776" t="s">
        <v>118</v>
      </c>
      <c r="AC3776" t="s">
        <v>119</v>
      </c>
      <c r="AD3776" t="s">
        <v>113</v>
      </c>
      <c r="AE3776" t="s">
        <v>120</v>
      </c>
      <c r="AG3776" t="s">
        <v>121</v>
      </c>
    </row>
    <row r="3777" spans="1:33" x14ac:dyDescent="0.25">
      <c r="A3777" t="str">
        <f>"1790787919"</f>
        <v>1790787919</v>
      </c>
      <c r="B3777" t="str">
        <f>"02045283"</f>
        <v>02045283</v>
      </c>
      <c r="C3777" t="s">
        <v>20487</v>
      </c>
      <c r="D3777" t="s">
        <v>20488</v>
      </c>
      <c r="E3777" t="s">
        <v>20489</v>
      </c>
      <c r="G3777" t="s">
        <v>20490</v>
      </c>
      <c r="H3777" t="s">
        <v>1064</v>
      </c>
      <c r="I3777">
        <v>5343</v>
      </c>
      <c r="J3777" t="s">
        <v>20491</v>
      </c>
      <c r="L3777" t="s">
        <v>1143</v>
      </c>
      <c r="M3777" t="s">
        <v>199</v>
      </c>
      <c r="R3777" t="s">
        <v>20487</v>
      </c>
      <c r="W3777" t="s">
        <v>20489</v>
      </c>
      <c r="X3777" t="s">
        <v>17010</v>
      </c>
      <c r="Y3777" t="s">
        <v>116</v>
      </c>
      <c r="Z3777" t="s">
        <v>117</v>
      </c>
      <c r="AA3777" t="str">
        <f>"14214-1761"</f>
        <v>14214-1761</v>
      </c>
      <c r="AB3777" t="s">
        <v>1146</v>
      </c>
      <c r="AC3777" t="s">
        <v>119</v>
      </c>
      <c r="AD3777" t="s">
        <v>113</v>
      </c>
      <c r="AE3777" t="s">
        <v>120</v>
      </c>
      <c r="AG3777" t="s">
        <v>121</v>
      </c>
    </row>
    <row r="3778" spans="1:33" x14ac:dyDescent="0.25">
      <c r="A3778" t="str">
        <f>"1790790442"</f>
        <v>1790790442</v>
      </c>
      <c r="B3778" t="str">
        <f>"01167995"</f>
        <v>01167995</v>
      </c>
      <c r="C3778" t="s">
        <v>20492</v>
      </c>
      <c r="D3778" t="s">
        <v>20493</v>
      </c>
      <c r="E3778" t="s">
        <v>20494</v>
      </c>
      <c r="G3778" t="s">
        <v>20492</v>
      </c>
      <c r="H3778" t="s">
        <v>5982</v>
      </c>
      <c r="J3778" t="s">
        <v>20495</v>
      </c>
      <c r="L3778" t="s">
        <v>142</v>
      </c>
      <c r="M3778" t="s">
        <v>113</v>
      </c>
      <c r="R3778" t="s">
        <v>20496</v>
      </c>
      <c r="W3778" t="s">
        <v>20494</v>
      </c>
      <c r="X3778" t="s">
        <v>4607</v>
      </c>
      <c r="Y3778" t="s">
        <v>116</v>
      </c>
      <c r="Z3778" t="s">
        <v>117</v>
      </c>
      <c r="AA3778" t="str">
        <f>"14215-1145"</f>
        <v>14215-1145</v>
      </c>
      <c r="AB3778" t="s">
        <v>118</v>
      </c>
      <c r="AC3778" t="s">
        <v>119</v>
      </c>
      <c r="AD3778" t="s">
        <v>113</v>
      </c>
      <c r="AE3778" t="s">
        <v>120</v>
      </c>
      <c r="AG3778" t="s">
        <v>121</v>
      </c>
    </row>
    <row r="3779" spans="1:33" x14ac:dyDescent="0.25">
      <c r="A3779" t="str">
        <f>"1790793321"</f>
        <v>1790793321</v>
      </c>
      <c r="B3779" t="str">
        <f>"02699521"</f>
        <v>02699521</v>
      </c>
      <c r="C3779" t="s">
        <v>20497</v>
      </c>
      <c r="D3779" t="s">
        <v>20498</v>
      </c>
      <c r="E3779" t="s">
        <v>20499</v>
      </c>
      <c r="G3779" t="s">
        <v>20500</v>
      </c>
      <c r="H3779" t="s">
        <v>205</v>
      </c>
      <c r="J3779" t="s">
        <v>20501</v>
      </c>
      <c r="L3779" t="s">
        <v>112</v>
      </c>
      <c r="M3779" t="s">
        <v>113</v>
      </c>
      <c r="R3779" t="s">
        <v>20502</v>
      </c>
      <c r="W3779" t="s">
        <v>20503</v>
      </c>
      <c r="X3779" t="s">
        <v>2607</v>
      </c>
      <c r="Y3779" t="s">
        <v>116</v>
      </c>
      <c r="Z3779" t="s">
        <v>117</v>
      </c>
      <c r="AA3779" t="str">
        <f>"14203-1149"</f>
        <v>14203-1149</v>
      </c>
      <c r="AB3779" t="s">
        <v>118</v>
      </c>
      <c r="AC3779" t="s">
        <v>119</v>
      </c>
      <c r="AD3779" t="s">
        <v>113</v>
      </c>
      <c r="AE3779" t="s">
        <v>120</v>
      </c>
      <c r="AG3779" t="s">
        <v>121</v>
      </c>
    </row>
    <row r="3780" spans="1:33" x14ac:dyDescent="0.25">
      <c r="A3780" t="str">
        <f>"1790794808"</f>
        <v>1790794808</v>
      </c>
      <c r="B3780" t="str">
        <f>"02783677"</f>
        <v>02783677</v>
      </c>
      <c r="C3780" t="s">
        <v>20504</v>
      </c>
      <c r="D3780" t="s">
        <v>20505</v>
      </c>
      <c r="E3780" t="s">
        <v>20506</v>
      </c>
      <c r="H3780" t="s">
        <v>20507</v>
      </c>
      <c r="L3780" t="s">
        <v>112</v>
      </c>
      <c r="M3780" t="s">
        <v>199</v>
      </c>
      <c r="R3780" t="s">
        <v>20508</v>
      </c>
      <c r="W3780" t="s">
        <v>20506</v>
      </c>
      <c r="X3780" t="s">
        <v>689</v>
      </c>
      <c r="Y3780" t="s">
        <v>240</v>
      </c>
      <c r="Z3780" t="s">
        <v>117</v>
      </c>
      <c r="AA3780" t="str">
        <f>"14221-3706"</f>
        <v>14221-3706</v>
      </c>
      <c r="AB3780" t="s">
        <v>634</v>
      </c>
      <c r="AC3780" t="s">
        <v>119</v>
      </c>
      <c r="AD3780" t="s">
        <v>113</v>
      </c>
      <c r="AE3780" t="s">
        <v>120</v>
      </c>
      <c r="AG3780" t="s">
        <v>121</v>
      </c>
    </row>
    <row r="3781" spans="1:33" x14ac:dyDescent="0.25">
      <c r="A3781" t="str">
        <f>"1790795433"</f>
        <v>1790795433</v>
      </c>
      <c r="B3781" t="str">
        <f>"03256860"</f>
        <v>03256860</v>
      </c>
      <c r="C3781" t="s">
        <v>20509</v>
      </c>
      <c r="D3781" t="s">
        <v>20510</v>
      </c>
      <c r="E3781" t="s">
        <v>20511</v>
      </c>
      <c r="G3781" t="s">
        <v>20509</v>
      </c>
      <c r="H3781" t="s">
        <v>17490</v>
      </c>
      <c r="J3781" t="s">
        <v>20512</v>
      </c>
      <c r="L3781" t="s">
        <v>142</v>
      </c>
      <c r="M3781" t="s">
        <v>113</v>
      </c>
      <c r="R3781" t="s">
        <v>20511</v>
      </c>
      <c r="W3781" t="s">
        <v>20511</v>
      </c>
      <c r="X3781" t="s">
        <v>8891</v>
      </c>
      <c r="Y3781" t="s">
        <v>240</v>
      </c>
      <c r="Z3781" t="s">
        <v>117</v>
      </c>
      <c r="AA3781" t="str">
        <f>"14221-5800"</f>
        <v>14221-5800</v>
      </c>
      <c r="AB3781" t="s">
        <v>118</v>
      </c>
      <c r="AC3781" t="s">
        <v>119</v>
      </c>
      <c r="AD3781" t="s">
        <v>113</v>
      </c>
      <c r="AE3781" t="s">
        <v>120</v>
      </c>
      <c r="AG3781" t="s">
        <v>121</v>
      </c>
    </row>
    <row r="3782" spans="1:33" x14ac:dyDescent="0.25">
      <c r="A3782" t="str">
        <f>"1790807410"</f>
        <v>1790807410</v>
      </c>
      <c r="B3782" t="str">
        <f>"02098662"</f>
        <v>02098662</v>
      </c>
      <c r="C3782" t="s">
        <v>20513</v>
      </c>
      <c r="D3782" t="s">
        <v>20514</v>
      </c>
      <c r="E3782" t="s">
        <v>20515</v>
      </c>
      <c r="G3782" t="s">
        <v>20513</v>
      </c>
      <c r="H3782" t="s">
        <v>579</v>
      </c>
      <c r="J3782" t="s">
        <v>20516</v>
      </c>
      <c r="L3782" t="s">
        <v>112</v>
      </c>
      <c r="M3782" t="s">
        <v>113</v>
      </c>
      <c r="R3782" t="s">
        <v>20517</v>
      </c>
      <c r="W3782" t="s">
        <v>20515</v>
      </c>
      <c r="X3782" t="s">
        <v>20518</v>
      </c>
      <c r="Y3782" t="s">
        <v>15336</v>
      </c>
      <c r="Z3782" t="s">
        <v>117</v>
      </c>
      <c r="AA3782" t="str">
        <f>"13502-5629"</f>
        <v>13502-5629</v>
      </c>
      <c r="AB3782" t="s">
        <v>118</v>
      </c>
      <c r="AC3782" t="s">
        <v>119</v>
      </c>
      <c r="AD3782" t="s">
        <v>113</v>
      </c>
      <c r="AE3782" t="s">
        <v>120</v>
      </c>
      <c r="AG3782" t="s">
        <v>121</v>
      </c>
    </row>
    <row r="3783" spans="1:33" x14ac:dyDescent="0.25">
      <c r="A3783" t="str">
        <f>"1588825301"</f>
        <v>1588825301</v>
      </c>
      <c r="B3783" t="str">
        <f>"03052182"</f>
        <v>03052182</v>
      </c>
      <c r="C3783" t="s">
        <v>20519</v>
      </c>
      <c r="D3783" t="s">
        <v>20520</v>
      </c>
      <c r="E3783" t="s">
        <v>20521</v>
      </c>
      <c r="G3783" t="s">
        <v>19537</v>
      </c>
      <c r="H3783" t="s">
        <v>20522</v>
      </c>
      <c r="J3783" t="s">
        <v>8860</v>
      </c>
      <c r="L3783" t="s">
        <v>142</v>
      </c>
      <c r="M3783" t="s">
        <v>113</v>
      </c>
      <c r="R3783" t="s">
        <v>20523</v>
      </c>
      <c r="W3783" t="s">
        <v>20524</v>
      </c>
      <c r="X3783" t="s">
        <v>20525</v>
      </c>
      <c r="Y3783" t="s">
        <v>2690</v>
      </c>
      <c r="Z3783" t="s">
        <v>117</v>
      </c>
      <c r="AA3783" t="str">
        <f>"10457-2545"</f>
        <v>10457-2545</v>
      </c>
      <c r="AB3783" t="s">
        <v>118</v>
      </c>
      <c r="AC3783" t="s">
        <v>119</v>
      </c>
      <c r="AD3783" t="s">
        <v>113</v>
      </c>
      <c r="AE3783" t="s">
        <v>120</v>
      </c>
      <c r="AG3783" t="s">
        <v>121</v>
      </c>
    </row>
    <row r="3784" spans="1:33" x14ac:dyDescent="0.25">
      <c r="A3784" t="str">
        <f>"1740288570"</f>
        <v>1740288570</v>
      </c>
      <c r="B3784" t="str">
        <f>"01688522"</f>
        <v>01688522</v>
      </c>
      <c r="C3784" t="s">
        <v>20526</v>
      </c>
      <c r="D3784" t="s">
        <v>20527</v>
      </c>
      <c r="E3784" t="s">
        <v>20528</v>
      </c>
      <c r="G3784" t="s">
        <v>19537</v>
      </c>
      <c r="H3784" t="s">
        <v>20529</v>
      </c>
      <c r="J3784" t="s">
        <v>8860</v>
      </c>
      <c r="L3784" t="s">
        <v>112</v>
      </c>
      <c r="M3784" t="s">
        <v>113</v>
      </c>
      <c r="R3784" t="s">
        <v>20530</v>
      </c>
      <c r="W3784" t="s">
        <v>20531</v>
      </c>
      <c r="X3784" t="s">
        <v>20532</v>
      </c>
      <c r="Y3784" t="s">
        <v>20533</v>
      </c>
      <c r="Z3784" t="s">
        <v>8864</v>
      </c>
      <c r="AA3784" t="str">
        <f>"07030-3808"</f>
        <v>07030-3808</v>
      </c>
      <c r="AB3784" t="s">
        <v>118</v>
      </c>
      <c r="AC3784" t="s">
        <v>119</v>
      </c>
      <c r="AD3784" t="s">
        <v>113</v>
      </c>
      <c r="AE3784" t="s">
        <v>120</v>
      </c>
      <c r="AG3784" t="s">
        <v>121</v>
      </c>
    </row>
    <row r="3785" spans="1:33" x14ac:dyDescent="0.25">
      <c r="A3785" t="str">
        <f>"1679976542"</f>
        <v>1679976542</v>
      </c>
      <c r="B3785" t="str">
        <f>"02715117"</f>
        <v>02715117</v>
      </c>
      <c r="C3785" t="s">
        <v>20534</v>
      </c>
      <c r="D3785" t="s">
        <v>20535</v>
      </c>
      <c r="E3785" t="s">
        <v>20536</v>
      </c>
      <c r="G3785" t="s">
        <v>3077</v>
      </c>
      <c r="H3785" t="s">
        <v>20537</v>
      </c>
      <c r="J3785" t="s">
        <v>3079</v>
      </c>
      <c r="L3785" t="s">
        <v>112</v>
      </c>
      <c r="M3785" t="s">
        <v>113</v>
      </c>
      <c r="R3785" t="s">
        <v>20536</v>
      </c>
      <c r="W3785" t="s">
        <v>20536</v>
      </c>
      <c r="X3785" t="s">
        <v>3081</v>
      </c>
      <c r="Y3785" t="s">
        <v>986</v>
      </c>
      <c r="Z3785" t="s">
        <v>117</v>
      </c>
      <c r="AA3785" t="str">
        <f>"14701-2828"</f>
        <v>14701-2828</v>
      </c>
      <c r="AB3785" t="s">
        <v>223</v>
      </c>
      <c r="AC3785" t="s">
        <v>119</v>
      </c>
      <c r="AD3785" t="s">
        <v>113</v>
      </c>
      <c r="AE3785" t="s">
        <v>120</v>
      </c>
      <c r="AG3785" t="s">
        <v>121</v>
      </c>
    </row>
    <row r="3786" spans="1:33" x14ac:dyDescent="0.25">
      <c r="A3786" t="str">
        <f>"1932175577"</f>
        <v>1932175577</v>
      </c>
      <c r="B3786" t="str">
        <f>"02342249"</f>
        <v>02342249</v>
      </c>
      <c r="C3786" t="s">
        <v>20538</v>
      </c>
      <c r="D3786" t="s">
        <v>20539</v>
      </c>
      <c r="E3786" t="s">
        <v>20540</v>
      </c>
      <c r="G3786" t="s">
        <v>3077</v>
      </c>
      <c r="H3786" t="s">
        <v>20541</v>
      </c>
      <c r="J3786" t="s">
        <v>3079</v>
      </c>
      <c r="L3786" t="s">
        <v>229</v>
      </c>
      <c r="M3786" t="s">
        <v>113</v>
      </c>
      <c r="R3786" t="s">
        <v>20540</v>
      </c>
      <c r="W3786" t="s">
        <v>20542</v>
      </c>
      <c r="X3786" t="s">
        <v>3081</v>
      </c>
      <c r="Y3786" t="s">
        <v>986</v>
      </c>
      <c r="Z3786" t="s">
        <v>117</v>
      </c>
      <c r="AA3786" t="str">
        <f>"14701-2828"</f>
        <v>14701-2828</v>
      </c>
      <c r="AB3786" t="s">
        <v>223</v>
      </c>
      <c r="AC3786" t="s">
        <v>119</v>
      </c>
      <c r="AD3786" t="s">
        <v>113</v>
      </c>
      <c r="AE3786" t="s">
        <v>120</v>
      </c>
      <c r="AG3786" t="s">
        <v>121</v>
      </c>
    </row>
    <row r="3787" spans="1:33" x14ac:dyDescent="0.25">
      <c r="A3787" t="str">
        <f>"1235367806"</f>
        <v>1235367806</v>
      </c>
      <c r="C3787" t="s">
        <v>20543</v>
      </c>
      <c r="G3787" t="s">
        <v>3077</v>
      </c>
      <c r="H3787" t="s">
        <v>20544</v>
      </c>
      <c r="J3787" t="s">
        <v>3079</v>
      </c>
      <c r="K3787" t="s">
        <v>303</v>
      </c>
      <c r="L3787" t="s">
        <v>112</v>
      </c>
      <c r="M3787" t="s">
        <v>113</v>
      </c>
      <c r="R3787" t="s">
        <v>20545</v>
      </c>
      <c r="S3787" t="s">
        <v>20546</v>
      </c>
      <c r="T3787" t="s">
        <v>318</v>
      </c>
      <c r="U3787" t="s">
        <v>117</v>
      </c>
      <c r="V3787" t="str">
        <f>"142254914"</f>
        <v>142254914</v>
      </c>
      <c r="AC3787" t="s">
        <v>119</v>
      </c>
      <c r="AD3787" t="s">
        <v>113</v>
      </c>
      <c r="AE3787" t="s">
        <v>306</v>
      </c>
      <c r="AG3787" t="s">
        <v>121</v>
      </c>
    </row>
    <row r="3788" spans="1:33" x14ac:dyDescent="0.25">
      <c r="A3788" t="str">
        <f>"1336115310"</f>
        <v>1336115310</v>
      </c>
      <c r="C3788" t="s">
        <v>20547</v>
      </c>
      <c r="G3788" t="s">
        <v>3077</v>
      </c>
      <c r="H3788" t="s">
        <v>20548</v>
      </c>
      <c r="J3788" t="s">
        <v>3079</v>
      </c>
      <c r="K3788" t="s">
        <v>303</v>
      </c>
      <c r="L3788" t="s">
        <v>229</v>
      </c>
      <c r="M3788" t="s">
        <v>113</v>
      </c>
      <c r="R3788" t="s">
        <v>20549</v>
      </c>
      <c r="S3788" t="s">
        <v>5755</v>
      </c>
      <c r="T3788" t="s">
        <v>541</v>
      </c>
      <c r="U3788" t="s">
        <v>117</v>
      </c>
      <c r="V3788" t="str">
        <f>"140481437"</f>
        <v>140481437</v>
      </c>
      <c r="AC3788" t="s">
        <v>119</v>
      </c>
      <c r="AD3788" t="s">
        <v>113</v>
      </c>
      <c r="AE3788" t="s">
        <v>306</v>
      </c>
      <c r="AG3788" t="s">
        <v>121</v>
      </c>
    </row>
    <row r="3789" spans="1:33" x14ac:dyDescent="0.25">
      <c r="A3789" t="str">
        <f>"1306112420"</f>
        <v>1306112420</v>
      </c>
      <c r="C3789" t="s">
        <v>20550</v>
      </c>
      <c r="G3789" t="s">
        <v>3077</v>
      </c>
      <c r="H3789" t="s">
        <v>20551</v>
      </c>
      <c r="J3789" t="s">
        <v>3079</v>
      </c>
      <c r="K3789" t="s">
        <v>303</v>
      </c>
      <c r="L3789" t="s">
        <v>112</v>
      </c>
      <c r="M3789" t="s">
        <v>113</v>
      </c>
      <c r="R3789" t="s">
        <v>20552</v>
      </c>
      <c r="S3789" t="s">
        <v>3085</v>
      </c>
      <c r="T3789" t="s">
        <v>986</v>
      </c>
      <c r="U3789" t="s">
        <v>117</v>
      </c>
      <c r="V3789" t="str">
        <f>"147012528"</f>
        <v>147012528</v>
      </c>
      <c r="AC3789" t="s">
        <v>119</v>
      </c>
      <c r="AD3789" t="s">
        <v>113</v>
      </c>
      <c r="AE3789" t="s">
        <v>306</v>
      </c>
      <c r="AG3789" t="s">
        <v>121</v>
      </c>
    </row>
    <row r="3790" spans="1:33" x14ac:dyDescent="0.25">
      <c r="A3790" t="str">
        <f>"1013983667"</f>
        <v>1013983667</v>
      </c>
      <c r="B3790" t="str">
        <f>"02675547"</f>
        <v>02675547</v>
      </c>
      <c r="C3790" t="s">
        <v>20553</v>
      </c>
      <c r="D3790" t="s">
        <v>20554</v>
      </c>
      <c r="E3790" t="s">
        <v>20555</v>
      </c>
      <c r="G3790" t="s">
        <v>3077</v>
      </c>
      <c r="H3790" t="s">
        <v>20556</v>
      </c>
      <c r="J3790" t="s">
        <v>3079</v>
      </c>
      <c r="L3790" t="s">
        <v>112</v>
      </c>
      <c r="M3790" t="s">
        <v>113</v>
      </c>
      <c r="R3790" t="s">
        <v>20557</v>
      </c>
      <c r="W3790" t="s">
        <v>20555</v>
      </c>
      <c r="X3790" t="s">
        <v>3081</v>
      </c>
      <c r="Y3790" t="s">
        <v>986</v>
      </c>
      <c r="Z3790" t="s">
        <v>117</v>
      </c>
      <c r="AA3790" t="str">
        <f>"14701-2828"</f>
        <v>14701-2828</v>
      </c>
      <c r="AB3790" t="s">
        <v>223</v>
      </c>
      <c r="AC3790" t="s">
        <v>119</v>
      </c>
      <c r="AD3790" t="s">
        <v>113</v>
      </c>
      <c r="AE3790" t="s">
        <v>120</v>
      </c>
      <c r="AG3790" t="s">
        <v>121</v>
      </c>
    </row>
    <row r="3791" spans="1:33" x14ac:dyDescent="0.25">
      <c r="A3791" t="str">
        <f>"1225386808"</f>
        <v>1225386808</v>
      </c>
      <c r="C3791" t="s">
        <v>20558</v>
      </c>
      <c r="G3791" t="s">
        <v>3077</v>
      </c>
      <c r="H3791" t="s">
        <v>20559</v>
      </c>
      <c r="J3791" t="s">
        <v>3079</v>
      </c>
      <c r="K3791" t="s">
        <v>303</v>
      </c>
      <c r="L3791" t="s">
        <v>112</v>
      </c>
      <c r="M3791" t="s">
        <v>113</v>
      </c>
      <c r="R3791" t="s">
        <v>20560</v>
      </c>
      <c r="S3791" t="s">
        <v>3085</v>
      </c>
      <c r="T3791" t="s">
        <v>986</v>
      </c>
      <c r="U3791" t="s">
        <v>117</v>
      </c>
      <c r="V3791" t="str">
        <f>"147012528"</f>
        <v>147012528</v>
      </c>
      <c r="AC3791" t="s">
        <v>119</v>
      </c>
      <c r="AD3791" t="s">
        <v>113</v>
      </c>
      <c r="AE3791" t="s">
        <v>306</v>
      </c>
      <c r="AG3791" t="s">
        <v>121</v>
      </c>
    </row>
    <row r="3792" spans="1:33" x14ac:dyDescent="0.25">
      <c r="A3792" t="str">
        <f>"1134436256"</f>
        <v>1134436256</v>
      </c>
      <c r="B3792" t="str">
        <f>"03720876"</f>
        <v>03720876</v>
      </c>
      <c r="C3792" t="s">
        <v>20561</v>
      </c>
      <c r="D3792" t="s">
        <v>20562</v>
      </c>
      <c r="E3792" t="s">
        <v>20563</v>
      </c>
      <c r="G3792" t="s">
        <v>3077</v>
      </c>
      <c r="H3792" t="s">
        <v>20564</v>
      </c>
      <c r="J3792" t="s">
        <v>3079</v>
      </c>
      <c r="L3792" t="s">
        <v>112</v>
      </c>
      <c r="M3792" t="s">
        <v>113</v>
      </c>
      <c r="R3792" t="s">
        <v>20565</v>
      </c>
      <c r="W3792" t="s">
        <v>20563</v>
      </c>
      <c r="X3792" t="s">
        <v>3081</v>
      </c>
      <c r="Y3792" t="s">
        <v>986</v>
      </c>
      <c r="Z3792" t="s">
        <v>117</v>
      </c>
      <c r="AA3792" t="str">
        <f>"14701-2828"</f>
        <v>14701-2828</v>
      </c>
      <c r="AB3792" t="s">
        <v>223</v>
      </c>
      <c r="AC3792" t="s">
        <v>119</v>
      </c>
      <c r="AD3792" t="s">
        <v>113</v>
      </c>
      <c r="AE3792" t="s">
        <v>120</v>
      </c>
      <c r="AG3792" t="s">
        <v>121</v>
      </c>
    </row>
    <row r="3793" spans="1:33" x14ac:dyDescent="0.25">
      <c r="A3793" t="str">
        <f>"1003979345"</f>
        <v>1003979345</v>
      </c>
      <c r="B3793" t="str">
        <f>"00639487"</f>
        <v>00639487</v>
      </c>
      <c r="C3793" t="s">
        <v>20566</v>
      </c>
      <c r="D3793" t="s">
        <v>4752</v>
      </c>
      <c r="E3793" t="s">
        <v>4753</v>
      </c>
      <c r="F3793">
        <v>160968914</v>
      </c>
      <c r="G3793" t="s">
        <v>3077</v>
      </c>
      <c r="H3793" t="s">
        <v>20567</v>
      </c>
      <c r="J3793" t="s">
        <v>3079</v>
      </c>
      <c r="L3793" t="s">
        <v>4756</v>
      </c>
      <c r="M3793" t="s">
        <v>199</v>
      </c>
      <c r="R3793" t="s">
        <v>4751</v>
      </c>
      <c r="W3793" t="s">
        <v>4753</v>
      </c>
      <c r="X3793" t="s">
        <v>4758</v>
      </c>
      <c r="Y3793" t="s">
        <v>986</v>
      </c>
      <c r="Z3793" t="s">
        <v>117</v>
      </c>
      <c r="AA3793" t="str">
        <f>"14701-2828"</f>
        <v>14701-2828</v>
      </c>
      <c r="AB3793" t="s">
        <v>1146</v>
      </c>
      <c r="AC3793" t="s">
        <v>119</v>
      </c>
      <c r="AD3793" t="s">
        <v>113</v>
      </c>
      <c r="AE3793" t="s">
        <v>120</v>
      </c>
      <c r="AG3793" t="s">
        <v>121</v>
      </c>
    </row>
    <row r="3794" spans="1:33" x14ac:dyDescent="0.25">
      <c r="A3794" t="str">
        <f>"1720100019"</f>
        <v>1720100019</v>
      </c>
      <c r="B3794" t="str">
        <f>"03252884"</f>
        <v>03252884</v>
      </c>
      <c r="C3794" t="s">
        <v>20568</v>
      </c>
      <c r="D3794" t="s">
        <v>20569</v>
      </c>
      <c r="E3794" t="s">
        <v>20570</v>
      </c>
      <c r="G3794" t="s">
        <v>3077</v>
      </c>
      <c r="H3794" t="s">
        <v>20571</v>
      </c>
      <c r="J3794" t="s">
        <v>3079</v>
      </c>
      <c r="L3794" t="s">
        <v>112</v>
      </c>
      <c r="M3794" t="s">
        <v>113</v>
      </c>
      <c r="R3794" t="s">
        <v>20572</v>
      </c>
      <c r="W3794" t="s">
        <v>20573</v>
      </c>
      <c r="X3794" t="s">
        <v>19600</v>
      </c>
      <c r="Y3794" t="s">
        <v>268</v>
      </c>
      <c r="Z3794" t="s">
        <v>117</v>
      </c>
      <c r="AA3794" t="str">
        <f>"14150-9478"</f>
        <v>14150-9478</v>
      </c>
      <c r="AB3794" t="s">
        <v>223</v>
      </c>
      <c r="AC3794" t="s">
        <v>119</v>
      </c>
      <c r="AD3794" t="s">
        <v>113</v>
      </c>
      <c r="AE3794" t="s">
        <v>120</v>
      </c>
      <c r="AG3794" t="s">
        <v>121</v>
      </c>
    </row>
    <row r="3795" spans="1:33" x14ac:dyDescent="0.25">
      <c r="C3795" t="s">
        <v>20574</v>
      </c>
      <c r="G3795" t="s">
        <v>3077</v>
      </c>
      <c r="H3795" t="s">
        <v>20575</v>
      </c>
      <c r="J3795" t="s">
        <v>3079</v>
      </c>
      <c r="K3795" t="s">
        <v>303</v>
      </c>
      <c r="L3795" t="s">
        <v>3095</v>
      </c>
      <c r="M3795" t="s">
        <v>113</v>
      </c>
      <c r="N3795" t="s">
        <v>5750</v>
      </c>
      <c r="O3795" t="s">
        <v>5751</v>
      </c>
      <c r="P3795" t="s">
        <v>117</v>
      </c>
      <c r="Q3795" t="str">
        <f>"14711"</f>
        <v>14711</v>
      </c>
      <c r="AC3795" t="s">
        <v>119</v>
      </c>
      <c r="AD3795" t="s">
        <v>113</v>
      </c>
      <c r="AE3795" t="s">
        <v>3098</v>
      </c>
      <c r="AG3795" t="s">
        <v>121</v>
      </c>
    </row>
    <row r="3796" spans="1:33" x14ac:dyDescent="0.25">
      <c r="A3796" t="str">
        <f>"1346217833"</f>
        <v>1346217833</v>
      </c>
      <c r="C3796" t="s">
        <v>20576</v>
      </c>
      <c r="G3796" t="s">
        <v>3077</v>
      </c>
      <c r="H3796" t="s">
        <v>20577</v>
      </c>
      <c r="J3796" t="s">
        <v>3079</v>
      </c>
      <c r="K3796" t="s">
        <v>303</v>
      </c>
      <c r="L3796" t="s">
        <v>112</v>
      </c>
      <c r="M3796" t="s">
        <v>113</v>
      </c>
      <c r="R3796" t="s">
        <v>20578</v>
      </c>
      <c r="S3796" t="s">
        <v>3081</v>
      </c>
      <c r="T3796" t="s">
        <v>986</v>
      </c>
      <c r="U3796" t="s">
        <v>117</v>
      </c>
      <c r="V3796" t="str">
        <f>"147012828"</f>
        <v>147012828</v>
      </c>
      <c r="AC3796" t="s">
        <v>119</v>
      </c>
      <c r="AD3796" t="s">
        <v>113</v>
      </c>
      <c r="AE3796" t="s">
        <v>306</v>
      </c>
      <c r="AG3796" t="s">
        <v>121</v>
      </c>
    </row>
    <row r="3797" spans="1:33" x14ac:dyDescent="0.25">
      <c r="A3797" t="str">
        <f>"1215903208"</f>
        <v>1215903208</v>
      </c>
      <c r="B3797" t="str">
        <f>"00723780"</f>
        <v>00723780</v>
      </c>
      <c r="C3797" t="s">
        <v>20579</v>
      </c>
      <c r="D3797" t="s">
        <v>20580</v>
      </c>
      <c r="E3797" t="s">
        <v>20581</v>
      </c>
      <c r="G3797" t="s">
        <v>3077</v>
      </c>
      <c r="H3797" t="s">
        <v>20582</v>
      </c>
      <c r="J3797" t="s">
        <v>3079</v>
      </c>
      <c r="L3797" t="s">
        <v>1033</v>
      </c>
      <c r="M3797" t="s">
        <v>113</v>
      </c>
      <c r="R3797" t="s">
        <v>20583</v>
      </c>
      <c r="W3797" t="s">
        <v>20581</v>
      </c>
      <c r="X3797" t="s">
        <v>20584</v>
      </c>
      <c r="Y3797" t="s">
        <v>986</v>
      </c>
      <c r="Z3797" t="s">
        <v>117</v>
      </c>
      <c r="AA3797" t="str">
        <f>"14701-2828"</f>
        <v>14701-2828</v>
      </c>
      <c r="AB3797" t="s">
        <v>2359</v>
      </c>
      <c r="AC3797" t="s">
        <v>119</v>
      </c>
      <c r="AD3797" t="s">
        <v>113</v>
      </c>
      <c r="AE3797" t="s">
        <v>120</v>
      </c>
      <c r="AG3797" t="s">
        <v>121</v>
      </c>
    </row>
    <row r="3798" spans="1:33" x14ac:dyDescent="0.25">
      <c r="A3798" t="str">
        <f>"1235168741"</f>
        <v>1235168741</v>
      </c>
      <c r="C3798" t="s">
        <v>20585</v>
      </c>
      <c r="G3798" t="s">
        <v>3077</v>
      </c>
      <c r="H3798" t="s">
        <v>20586</v>
      </c>
      <c r="J3798" t="s">
        <v>3079</v>
      </c>
      <c r="K3798" t="s">
        <v>303</v>
      </c>
      <c r="L3798" t="s">
        <v>112</v>
      </c>
      <c r="M3798" t="s">
        <v>113</v>
      </c>
      <c r="R3798" t="s">
        <v>20587</v>
      </c>
      <c r="S3798" t="s">
        <v>3081</v>
      </c>
      <c r="T3798" t="s">
        <v>986</v>
      </c>
      <c r="U3798" t="s">
        <v>117</v>
      </c>
      <c r="V3798" t="str">
        <f>"147012828"</f>
        <v>147012828</v>
      </c>
      <c r="AC3798" t="s">
        <v>119</v>
      </c>
      <c r="AD3798" t="s">
        <v>113</v>
      </c>
      <c r="AE3798" t="s">
        <v>306</v>
      </c>
      <c r="AG3798" t="s">
        <v>121</v>
      </c>
    </row>
    <row r="3799" spans="1:33" x14ac:dyDescent="0.25">
      <c r="A3799" t="str">
        <f>"1053687186"</f>
        <v>1053687186</v>
      </c>
      <c r="B3799" t="str">
        <f>"03494066"</f>
        <v>03494066</v>
      </c>
      <c r="C3799" t="s">
        <v>20588</v>
      </c>
      <c r="D3799" t="s">
        <v>20589</v>
      </c>
      <c r="E3799" t="s">
        <v>20590</v>
      </c>
      <c r="G3799" t="s">
        <v>3077</v>
      </c>
      <c r="H3799" t="s">
        <v>20591</v>
      </c>
      <c r="J3799" t="s">
        <v>3079</v>
      </c>
      <c r="L3799" t="s">
        <v>1033</v>
      </c>
      <c r="M3799" t="s">
        <v>113</v>
      </c>
      <c r="R3799" t="s">
        <v>20592</v>
      </c>
      <c r="W3799" t="s">
        <v>20593</v>
      </c>
      <c r="X3799" t="s">
        <v>5722</v>
      </c>
      <c r="Y3799" t="s">
        <v>986</v>
      </c>
      <c r="Z3799" t="s">
        <v>117</v>
      </c>
      <c r="AA3799" t="str">
        <f>"14701-5502"</f>
        <v>14701-5502</v>
      </c>
      <c r="AB3799" t="s">
        <v>118</v>
      </c>
      <c r="AC3799" t="s">
        <v>119</v>
      </c>
      <c r="AD3799" t="s">
        <v>113</v>
      </c>
      <c r="AE3799" t="s">
        <v>120</v>
      </c>
      <c r="AG3799" t="s">
        <v>121</v>
      </c>
    </row>
    <row r="3800" spans="1:33" x14ac:dyDescent="0.25">
      <c r="A3800" t="str">
        <f>"1689850919"</f>
        <v>1689850919</v>
      </c>
      <c r="B3800" t="str">
        <f>"03353353"</f>
        <v>03353353</v>
      </c>
      <c r="C3800" t="s">
        <v>20594</v>
      </c>
      <c r="D3800" t="s">
        <v>20595</v>
      </c>
      <c r="E3800" t="s">
        <v>20596</v>
      </c>
      <c r="G3800" t="s">
        <v>3077</v>
      </c>
      <c r="H3800" t="s">
        <v>20597</v>
      </c>
      <c r="J3800" t="s">
        <v>3079</v>
      </c>
      <c r="L3800" t="s">
        <v>112</v>
      </c>
      <c r="M3800" t="s">
        <v>113</v>
      </c>
      <c r="R3800" t="s">
        <v>20596</v>
      </c>
      <c r="W3800" t="s">
        <v>20596</v>
      </c>
      <c r="X3800" t="s">
        <v>20598</v>
      </c>
      <c r="Y3800" t="s">
        <v>541</v>
      </c>
      <c r="Z3800" t="s">
        <v>117</v>
      </c>
      <c r="AA3800" t="str">
        <f>"14048-1437"</f>
        <v>14048-1437</v>
      </c>
      <c r="AB3800" t="s">
        <v>223</v>
      </c>
      <c r="AC3800" t="s">
        <v>119</v>
      </c>
      <c r="AD3800" t="s">
        <v>113</v>
      </c>
      <c r="AE3800" t="s">
        <v>120</v>
      </c>
      <c r="AG3800" t="s">
        <v>121</v>
      </c>
    </row>
    <row r="3801" spans="1:33" x14ac:dyDescent="0.25">
      <c r="A3801" t="str">
        <f>"1760769384"</f>
        <v>1760769384</v>
      </c>
      <c r="B3801" t="str">
        <f>"04507017"</f>
        <v>04507017</v>
      </c>
      <c r="C3801" t="s">
        <v>20599</v>
      </c>
      <c r="D3801" t="s">
        <v>20600</v>
      </c>
      <c r="E3801" t="s">
        <v>20601</v>
      </c>
      <c r="G3801" t="s">
        <v>3077</v>
      </c>
      <c r="H3801" t="s">
        <v>20602</v>
      </c>
      <c r="J3801" t="s">
        <v>3079</v>
      </c>
      <c r="L3801" t="s">
        <v>112</v>
      </c>
      <c r="M3801" t="s">
        <v>113</v>
      </c>
      <c r="R3801" t="s">
        <v>20603</v>
      </c>
      <c r="W3801" t="s">
        <v>20601</v>
      </c>
      <c r="AB3801" t="s">
        <v>621</v>
      </c>
      <c r="AC3801" t="s">
        <v>119</v>
      </c>
      <c r="AD3801" t="s">
        <v>113</v>
      </c>
      <c r="AE3801" t="s">
        <v>120</v>
      </c>
      <c r="AG3801" t="s">
        <v>121</v>
      </c>
    </row>
    <row r="3802" spans="1:33" x14ac:dyDescent="0.25">
      <c r="A3802" t="str">
        <f>"1063592814"</f>
        <v>1063592814</v>
      </c>
      <c r="B3802" t="str">
        <f>"03583153"</f>
        <v>03583153</v>
      </c>
      <c r="C3802" t="s">
        <v>20604</v>
      </c>
      <c r="D3802" t="s">
        <v>20605</v>
      </c>
      <c r="E3802" t="s">
        <v>20606</v>
      </c>
      <c r="G3802" t="s">
        <v>3077</v>
      </c>
      <c r="H3802" t="s">
        <v>20607</v>
      </c>
      <c r="J3802" t="s">
        <v>3079</v>
      </c>
      <c r="L3802" t="s">
        <v>229</v>
      </c>
      <c r="M3802" t="s">
        <v>113</v>
      </c>
      <c r="R3802" t="s">
        <v>20608</v>
      </c>
      <c r="W3802" t="s">
        <v>20606</v>
      </c>
      <c r="X3802" t="s">
        <v>5818</v>
      </c>
      <c r="Y3802" t="s">
        <v>986</v>
      </c>
      <c r="Z3802" t="s">
        <v>117</v>
      </c>
      <c r="AA3802" t="str">
        <f>"14701-3826"</f>
        <v>14701-3826</v>
      </c>
      <c r="AB3802" t="s">
        <v>634</v>
      </c>
      <c r="AC3802" t="s">
        <v>119</v>
      </c>
      <c r="AD3802" t="s">
        <v>113</v>
      </c>
      <c r="AE3802" t="s">
        <v>120</v>
      </c>
      <c r="AG3802" t="s">
        <v>121</v>
      </c>
    </row>
    <row r="3803" spans="1:33" x14ac:dyDescent="0.25">
      <c r="A3803" t="str">
        <f>"1629207949"</f>
        <v>1629207949</v>
      </c>
      <c r="B3803" t="str">
        <f>"03222933"</f>
        <v>03222933</v>
      </c>
      <c r="C3803" t="s">
        <v>20609</v>
      </c>
      <c r="D3803" t="s">
        <v>20610</v>
      </c>
      <c r="E3803" t="s">
        <v>20611</v>
      </c>
      <c r="G3803" t="s">
        <v>3077</v>
      </c>
      <c r="H3803" t="s">
        <v>20612</v>
      </c>
      <c r="J3803" t="s">
        <v>3079</v>
      </c>
      <c r="L3803" t="s">
        <v>1033</v>
      </c>
      <c r="M3803" t="s">
        <v>113</v>
      </c>
      <c r="R3803" t="s">
        <v>20611</v>
      </c>
      <c r="W3803" t="s">
        <v>20613</v>
      </c>
      <c r="X3803" t="s">
        <v>5741</v>
      </c>
      <c r="Y3803" t="s">
        <v>986</v>
      </c>
      <c r="Z3803" t="s">
        <v>117</v>
      </c>
      <c r="AA3803" t="str">
        <f>"14701-3824"</f>
        <v>14701-3824</v>
      </c>
      <c r="AB3803" t="s">
        <v>621</v>
      </c>
      <c r="AC3803" t="s">
        <v>119</v>
      </c>
      <c r="AD3803" t="s">
        <v>113</v>
      </c>
      <c r="AE3803" t="s">
        <v>120</v>
      </c>
      <c r="AG3803" t="s">
        <v>121</v>
      </c>
    </row>
    <row r="3804" spans="1:33" x14ac:dyDescent="0.25">
      <c r="A3804" t="str">
        <f>"1548236367"</f>
        <v>1548236367</v>
      </c>
      <c r="B3804" t="str">
        <f>"02342198"</f>
        <v>02342198</v>
      </c>
      <c r="C3804" t="s">
        <v>20614</v>
      </c>
      <c r="D3804" t="s">
        <v>20615</v>
      </c>
      <c r="E3804" t="s">
        <v>20616</v>
      </c>
      <c r="G3804" t="s">
        <v>3077</v>
      </c>
      <c r="H3804" t="s">
        <v>20617</v>
      </c>
      <c r="J3804" t="s">
        <v>3079</v>
      </c>
      <c r="L3804" t="s">
        <v>112</v>
      </c>
      <c r="M3804" t="s">
        <v>113</v>
      </c>
      <c r="R3804" t="s">
        <v>20618</v>
      </c>
      <c r="W3804" t="s">
        <v>20616</v>
      </c>
      <c r="X3804" t="s">
        <v>20619</v>
      </c>
      <c r="Y3804" t="s">
        <v>986</v>
      </c>
      <c r="Z3804" t="s">
        <v>117</v>
      </c>
      <c r="AA3804" t="str">
        <f>"14701-2828"</f>
        <v>14701-2828</v>
      </c>
      <c r="AB3804" t="s">
        <v>1263</v>
      </c>
      <c r="AC3804" t="s">
        <v>119</v>
      </c>
      <c r="AD3804" t="s">
        <v>113</v>
      </c>
      <c r="AE3804" t="s">
        <v>120</v>
      </c>
      <c r="AG3804" t="s">
        <v>121</v>
      </c>
    </row>
    <row r="3805" spans="1:33" x14ac:dyDescent="0.25">
      <c r="A3805" t="str">
        <f>"1063486611"</f>
        <v>1063486611</v>
      </c>
      <c r="B3805" t="str">
        <f>"02047441"</f>
        <v>02047441</v>
      </c>
      <c r="C3805" t="s">
        <v>20620</v>
      </c>
      <c r="D3805" t="s">
        <v>20621</v>
      </c>
      <c r="E3805" t="s">
        <v>20622</v>
      </c>
      <c r="G3805" t="s">
        <v>3077</v>
      </c>
      <c r="H3805" t="s">
        <v>20623</v>
      </c>
      <c r="J3805" t="s">
        <v>3079</v>
      </c>
      <c r="L3805" t="s">
        <v>150</v>
      </c>
      <c r="M3805" t="s">
        <v>199</v>
      </c>
      <c r="R3805" t="s">
        <v>20624</v>
      </c>
      <c r="W3805" t="s">
        <v>20625</v>
      </c>
      <c r="X3805" t="s">
        <v>3599</v>
      </c>
      <c r="Y3805" t="s">
        <v>986</v>
      </c>
      <c r="Z3805" t="s">
        <v>117</v>
      </c>
      <c r="AA3805" t="str">
        <f>"14701-7077"</f>
        <v>14701-7077</v>
      </c>
      <c r="AB3805" t="s">
        <v>118</v>
      </c>
      <c r="AC3805" t="s">
        <v>119</v>
      </c>
      <c r="AD3805" t="s">
        <v>113</v>
      </c>
      <c r="AE3805" t="s">
        <v>120</v>
      </c>
      <c r="AG3805" t="s">
        <v>121</v>
      </c>
    </row>
    <row r="3806" spans="1:33" x14ac:dyDescent="0.25">
      <c r="A3806" t="str">
        <f>"1902223381"</f>
        <v>1902223381</v>
      </c>
      <c r="B3806" t="str">
        <f>"03938281"</f>
        <v>03938281</v>
      </c>
      <c r="C3806" t="s">
        <v>20626</v>
      </c>
      <c r="D3806" t="s">
        <v>20627</v>
      </c>
      <c r="E3806" t="s">
        <v>20628</v>
      </c>
      <c r="G3806" t="s">
        <v>3077</v>
      </c>
      <c r="H3806" t="s">
        <v>20629</v>
      </c>
      <c r="J3806" t="s">
        <v>3079</v>
      </c>
      <c r="L3806" t="s">
        <v>1033</v>
      </c>
      <c r="M3806" t="s">
        <v>113</v>
      </c>
      <c r="R3806" t="s">
        <v>20630</v>
      </c>
      <c r="W3806" t="s">
        <v>20631</v>
      </c>
      <c r="X3806" t="s">
        <v>5741</v>
      </c>
      <c r="Y3806" t="s">
        <v>986</v>
      </c>
      <c r="Z3806" t="s">
        <v>117</v>
      </c>
      <c r="AA3806" t="str">
        <f>"14701-3824"</f>
        <v>14701-3824</v>
      </c>
      <c r="AB3806" t="s">
        <v>118</v>
      </c>
      <c r="AC3806" t="s">
        <v>119</v>
      </c>
      <c r="AD3806" t="s">
        <v>113</v>
      </c>
      <c r="AE3806" t="s">
        <v>120</v>
      </c>
      <c r="AG3806" t="s">
        <v>121</v>
      </c>
    </row>
    <row r="3807" spans="1:33" x14ac:dyDescent="0.25">
      <c r="A3807" t="str">
        <f>"1306269717"</f>
        <v>1306269717</v>
      </c>
      <c r="C3807" t="s">
        <v>20632</v>
      </c>
      <c r="G3807" t="s">
        <v>3077</v>
      </c>
      <c r="H3807" t="s">
        <v>20633</v>
      </c>
      <c r="J3807" t="s">
        <v>3079</v>
      </c>
      <c r="K3807" t="s">
        <v>303</v>
      </c>
      <c r="L3807" t="s">
        <v>112</v>
      </c>
      <c r="M3807" t="s">
        <v>113</v>
      </c>
      <c r="R3807" t="s">
        <v>20634</v>
      </c>
      <c r="S3807" t="s">
        <v>3081</v>
      </c>
      <c r="T3807" t="s">
        <v>986</v>
      </c>
      <c r="U3807" t="s">
        <v>117</v>
      </c>
      <c r="V3807" t="str">
        <f>"147012828"</f>
        <v>147012828</v>
      </c>
      <c r="AC3807" t="s">
        <v>119</v>
      </c>
      <c r="AD3807" t="s">
        <v>113</v>
      </c>
      <c r="AE3807" t="s">
        <v>306</v>
      </c>
      <c r="AG3807" t="s">
        <v>121</v>
      </c>
    </row>
    <row r="3808" spans="1:33" x14ac:dyDescent="0.25">
      <c r="A3808" t="str">
        <f>"1346679701"</f>
        <v>1346679701</v>
      </c>
      <c r="B3808" t="str">
        <f>"03790232"</f>
        <v>03790232</v>
      </c>
      <c r="C3808" t="s">
        <v>20635</v>
      </c>
      <c r="D3808" t="s">
        <v>20636</v>
      </c>
      <c r="E3808" t="s">
        <v>20637</v>
      </c>
      <c r="G3808" t="s">
        <v>20352</v>
      </c>
      <c r="H3808" t="s">
        <v>20353</v>
      </c>
      <c r="J3808" t="s">
        <v>20354</v>
      </c>
      <c r="L3808" t="s">
        <v>142</v>
      </c>
      <c r="M3808" t="s">
        <v>113</v>
      </c>
      <c r="R3808" t="s">
        <v>20638</v>
      </c>
      <c r="W3808" t="s">
        <v>20637</v>
      </c>
      <c r="X3808" t="s">
        <v>4095</v>
      </c>
      <c r="Y3808" t="s">
        <v>116</v>
      </c>
      <c r="Z3808" t="s">
        <v>117</v>
      </c>
      <c r="AA3808" t="str">
        <f>"14211-1217"</f>
        <v>14211-1217</v>
      </c>
      <c r="AB3808" t="s">
        <v>118</v>
      </c>
      <c r="AC3808" t="s">
        <v>119</v>
      </c>
      <c r="AD3808" t="s">
        <v>113</v>
      </c>
      <c r="AE3808" t="s">
        <v>120</v>
      </c>
      <c r="AG3808" t="s">
        <v>121</v>
      </c>
    </row>
    <row r="3809" spans="1:33" x14ac:dyDescent="0.25">
      <c r="A3809" t="str">
        <f>"1205144151"</f>
        <v>1205144151</v>
      </c>
      <c r="C3809" t="s">
        <v>20639</v>
      </c>
      <c r="G3809" t="s">
        <v>20352</v>
      </c>
      <c r="H3809" t="s">
        <v>20353</v>
      </c>
      <c r="J3809" t="s">
        <v>20354</v>
      </c>
      <c r="K3809" t="s">
        <v>303</v>
      </c>
      <c r="L3809" t="s">
        <v>229</v>
      </c>
      <c r="M3809" t="s">
        <v>113</v>
      </c>
      <c r="R3809" t="s">
        <v>20640</v>
      </c>
      <c r="S3809" t="s">
        <v>20641</v>
      </c>
      <c r="T3809" t="s">
        <v>318</v>
      </c>
      <c r="U3809" t="s">
        <v>117</v>
      </c>
      <c r="V3809" t="str">
        <f>"142254751"</f>
        <v>142254751</v>
      </c>
      <c r="AC3809" t="s">
        <v>119</v>
      </c>
      <c r="AD3809" t="s">
        <v>113</v>
      </c>
      <c r="AE3809" t="s">
        <v>306</v>
      </c>
      <c r="AG3809" t="s">
        <v>121</v>
      </c>
    </row>
    <row r="3810" spans="1:33" x14ac:dyDescent="0.25">
      <c r="A3810" t="str">
        <f>"1801827035"</f>
        <v>1801827035</v>
      </c>
      <c r="B3810" t="str">
        <f>"01552001"</f>
        <v>01552001</v>
      </c>
      <c r="C3810" t="s">
        <v>20642</v>
      </c>
      <c r="D3810" t="s">
        <v>20643</v>
      </c>
      <c r="E3810" t="s">
        <v>20644</v>
      </c>
      <c r="G3810" t="s">
        <v>20352</v>
      </c>
      <c r="H3810" t="s">
        <v>20353</v>
      </c>
      <c r="J3810" t="s">
        <v>20354</v>
      </c>
      <c r="L3810" t="s">
        <v>150</v>
      </c>
      <c r="M3810" t="s">
        <v>113</v>
      </c>
      <c r="R3810" t="s">
        <v>20645</v>
      </c>
      <c r="W3810" t="s">
        <v>20646</v>
      </c>
      <c r="X3810" t="s">
        <v>20647</v>
      </c>
      <c r="Y3810" t="s">
        <v>318</v>
      </c>
      <c r="Z3810" t="s">
        <v>117</v>
      </c>
      <c r="AA3810" t="str">
        <f>"14225-3103"</f>
        <v>14225-3103</v>
      </c>
      <c r="AB3810" t="s">
        <v>118</v>
      </c>
      <c r="AC3810" t="s">
        <v>119</v>
      </c>
      <c r="AD3810" t="s">
        <v>113</v>
      </c>
      <c r="AE3810" t="s">
        <v>120</v>
      </c>
      <c r="AG3810" t="s">
        <v>121</v>
      </c>
    </row>
    <row r="3811" spans="1:33" x14ac:dyDescent="0.25">
      <c r="A3811" t="str">
        <f>"1487650206"</f>
        <v>1487650206</v>
      </c>
      <c r="B3811" t="str">
        <f>"00643292"</f>
        <v>00643292</v>
      </c>
      <c r="C3811" t="s">
        <v>20648</v>
      </c>
      <c r="D3811" t="s">
        <v>20649</v>
      </c>
      <c r="E3811" t="s">
        <v>20650</v>
      </c>
      <c r="G3811" t="s">
        <v>20352</v>
      </c>
      <c r="H3811" t="s">
        <v>20353</v>
      </c>
      <c r="J3811" t="s">
        <v>20354</v>
      </c>
      <c r="L3811" t="s">
        <v>69</v>
      </c>
      <c r="M3811" t="s">
        <v>113</v>
      </c>
      <c r="R3811" t="s">
        <v>20651</v>
      </c>
      <c r="W3811" t="s">
        <v>20652</v>
      </c>
      <c r="X3811" t="s">
        <v>20653</v>
      </c>
      <c r="Y3811" t="s">
        <v>268</v>
      </c>
      <c r="Z3811" t="s">
        <v>117</v>
      </c>
      <c r="AA3811" t="str">
        <f>"14150-2230"</f>
        <v>14150-2230</v>
      </c>
      <c r="AB3811" t="s">
        <v>1263</v>
      </c>
      <c r="AC3811" t="s">
        <v>119</v>
      </c>
      <c r="AD3811" t="s">
        <v>113</v>
      </c>
      <c r="AE3811" t="s">
        <v>120</v>
      </c>
      <c r="AG3811" t="s">
        <v>121</v>
      </c>
    </row>
    <row r="3812" spans="1:33" x14ac:dyDescent="0.25">
      <c r="A3812" t="str">
        <f>"1548276884"</f>
        <v>1548276884</v>
      </c>
      <c r="C3812" t="s">
        <v>20654</v>
      </c>
      <c r="G3812" t="s">
        <v>20352</v>
      </c>
      <c r="H3812" t="s">
        <v>20353</v>
      </c>
      <c r="J3812" t="s">
        <v>20354</v>
      </c>
      <c r="K3812" t="s">
        <v>303</v>
      </c>
      <c r="L3812" t="s">
        <v>229</v>
      </c>
      <c r="M3812" t="s">
        <v>113</v>
      </c>
      <c r="R3812" t="s">
        <v>20655</v>
      </c>
      <c r="S3812" t="s">
        <v>20656</v>
      </c>
      <c r="T3812" t="s">
        <v>116</v>
      </c>
      <c r="U3812" t="s">
        <v>117</v>
      </c>
      <c r="V3812" t="str">
        <f>"142141305"</f>
        <v>142141305</v>
      </c>
      <c r="AC3812" t="s">
        <v>119</v>
      </c>
      <c r="AD3812" t="s">
        <v>113</v>
      </c>
      <c r="AE3812" t="s">
        <v>306</v>
      </c>
      <c r="AG3812" t="s">
        <v>121</v>
      </c>
    </row>
    <row r="3813" spans="1:33" x14ac:dyDescent="0.25">
      <c r="A3813" t="str">
        <f>"1265416598"</f>
        <v>1265416598</v>
      </c>
      <c r="B3813" t="str">
        <f>"02110983"</f>
        <v>02110983</v>
      </c>
      <c r="C3813" t="s">
        <v>20657</v>
      </c>
      <c r="D3813" t="s">
        <v>20658</v>
      </c>
      <c r="E3813" t="s">
        <v>20659</v>
      </c>
      <c r="G3813" t="s">
        <v>20352</v>
      </c>
      <c r="H3813" t="s">
        <v>20353</v>
      </c>
      <c r="J3813" t="s">
        <v>20354</v>
      </c>
      <c r="L3813" t="s">
        <v>142</v>
      </c>
      <c r="M3813" t="s">
        <v>113</v>
      </c>
      <c r="R3813" t="s">
        <v>20660</v>
      </c>
      <c r="W3813" t="s">
        <v>20659</v>
      </c>
      <c r="X3813" t="s">
        <v>20661</v>
      </c>
      <c r="Y3813" t="s">
        <v>240</v>
      </c>
      <c r="Z3813" t="s">
        <v>117</v>
      </c>
      <c r="AA3813" t="str">
        <f>"14221-5799"</f>
        <v>14221-5799</v>
      </c>
      <c r="AB3813" t="s">
        <v>118</v>
      </c>
      <c r="AC3813" t="s">
        <v>119</v>
      </c>
      <c r="AD3813" t="s">
        <v>113</v>
      </c>
      <c r="AE3813" t="s">
        <v>120</v>
      </c>
      <c r="AG3813" t="s">
        <v>121</v>
      </c>
    </row>
    <row r="3814" spans="1:33" x14ac:dyDescent="0.25">
      <c r="A3814" t="str">
        <f>"1194061549"</f>
        <v>1194061549</v>
      </c>
      <c r="B3814" t="str">
        <f>"03642037"</f>
        <v>03642037</v>
      </c>
      <c r="C3814" t="s">
        <v>20662</v>
      </c>
      <c r="D3814" t="s">
        <v>20663</v>
      </c>
      <c r="E3814" t="s">
        <v>20664</v>
      </c>
      <c r="G3814" t="s">
        <v>20352</v>
      </c>
      <c r="H3814" t="s">
        <v>20353</v>
      </c>
      <c r="J3814" t="s">
        <v>20354</v>
      </c>
      <c r="L3814" t="s">
        <v>142</v>
      </c>
      <c r="M3814" t="s">
        <v>113</v>
      </c>
      <c r="R3814" t="s">
        <v>20665</v>
      </c>
      <c r="W3814" t="s">
        <v>20664</v>
      </c>
      <c r="X3814" t="s">
        <v>14735</v>
      </c>
      <c r="Y3814" t="s">
        <v>116</v>
      </c>
      <c r="Z3814" t="s">
        <v>117</v>
      </c>
      <c r="AA3814" t="str">
        <f>"14201-1108"</f>
        <v>14201-1108</v>
      </c>
      <c r="AB3814" t="s">
        <v>118</v>
      </c>
      <c r="AC3814" t="s">
        <v>119</v>
      </c>
      <c r="AD3814" t="s">
        <v>113</v>
      </c>
      <c r="AE3814" t="s">
        <v>120</v>
      </c>
      <c r="AG3814" t="s">
        <v>121</v>
      </c>
    </row>
    <row r="3815" spans="1:33" x14ac:dyDescent="0.25">
      <c r="A3815" t="str">
        <f>"1538311279"</f>
        <v>1538311279</v>
      </c>
      <c r="B3815" t="str">
        <f>"03390723"</f>
        <v>03390723</v>
      </c>
      <c r="C3815" t="s">
        <v>20666</v>
      </c>
      <c r="D3815" t="s">
        <v>20667</v>
      </c>
      <c r="E3815" t="s">
        <v>20668</v>
      </c>
      <c r="G3815" t="s">
        <v>20352</v>
      </c>
      <c r="H3815" t="s">
        <v>20353</v>
      </c>
      <c r="J3815" t="s">
        <v>20354</v>
      </c>
      <c r="L3815" t="s">
        <v>112</v>
      </c>
      <c r="M3815" t="s">
        <v>199</v>
      </c>
      <c r="R3815" t="s">
        <v>20669</v>
      </c>
      <c r="W3815" t="s">
        <v>20668</v>
      </c>
      <c r="X3815" t="s">
        <v>253</v>
      </c>
      <c r="Y3815" t="s">
        <v>116</v>
      </c>
      <c r="Z3815" t="s">
        <v>117</v>
      </c>
      <c r="AA3815" t="str">
        <f>"14215-3021"</f>
        <v>14215-3021</v>
      </c>
      <c r="AB3815" t="s">
        <v>118</v>
      </c>
      <c r="AC3815" t="s">
        <v>119</v>
      </c>
      <c r="AD3815" t="s">
        <v>113</v>
      </c>
      <c r="AE3815" t="s">
        <v>120</v>
      </c>
      <c r="AG3815" t="s">
        <v>121</v>
      </c>
    </row>
    <row r="3816" spans="1:33" x14ac:dyDescent="0.25">
      <c r="A3816" t="str">
        <f>"1255733127"</f>
        <v>1255733127</v>
      </c>
      <c r="B3816" t="str">
        <f>"04001736"</f>
        <v>04001736</v>
      </c>
      <c r="C3816" t="s">
        <v>20670</v>
      </c>
      <c r="D3816" t="s">
        <v>20671</v>
      </c>
      <c r="E3816" t="s">
        <v>20672</v>
      </c>
      <c r="G3816" t="s">
        <v>20352</v>
      </c>
      <c r="H3816" t="s">
        <v>20353</v>
      </c>
      <c r="J3816" t="s">
        <v>20354</v>
      </c>
      <c r="L3816" t="s">
        <v>142</v>
      </c>
      <c r="M3816" t="s">
        <v>113</v>
      </c>
      <c r="R3816" t="s">
        <v>20673</v>
      </c>
      <c r="W3816" t="s">
        <v>20674</v>
      </c>
      <c r="X3816" t="s">
        <v>14735</v>
      </c>
      <c r="Y3816" t="s">
        <v>116</v>
      </c>
      <c r="Z3816" t="s">
        <v>117</v>
      </c>
      <c r="AA3816" t="str">
        <f>"14201-1108"</f>
        <v>14201-1108</v>
      </c>
      <c r="AB3816" t="s">
        <v>118</v>
      </c>
      <c r="AC3816" t="s">
        <v>119</v>
      </c>
      <c r="AD3816" t="s">
        <v>113</v>
      </c>
      <c r="AE3816" t="s">
        <v>120</v>
      </c>
      <c r="AG3816" t="s">
        <v>121</v>
      </c>
    </row>
    <row r="3817" spans="1:33" x14ac:dyDescent="0.25">
      <c r="A3817" t="str">
        <f>"1093959322"</f>
        <v>1093959322</v>
      </c>
      <c r="B3817" t="str">
        <f>"03217214"</f>
        <v>03217214</v>
      </c>
      <c r="C3817" t="s">
        <v>20675</v>
      </c>
      <c r="D3817" t="s">
        <v>20676</v>
      </c>
      <c r="E3817" t="s">
        <v>20677</v>
      </c>
      <c r="G3817" t="s">
        <v>20678</v>
      </c>
      <c r="H3817" t="s">
        <v>20679</v>
      </c>
      <c r="J3817" t="s">
        <v>20680</v>
      </c>
      <c r="L3817" t="s">
        <v>69</v>
      </c>
      <c r="M3817" t="s">
        <v>113</v>
      </c>
      <c r="R3817" t="s">
        <v>20681</v>
      </c>
      <c r="W3817" t="s">
        <v>20677</v>
      </c>
      <c r="X3817" t="s">
        <v>4022</v>
      </c>
      <c r="Y3817" t="s">
        <v>1257</v>
      </c>
      <c r="Z3817" t="s">
        <v>117</v>
      </c>
      <c r="AA3817" t="str">
        <f>"14141-1442"</f>
        <v>14141-1442</v>
      </c>
      <c r="AB3817" t="s">
        <v>1460</v>
      </c>
      <c r="AC3817" t="s">
        <v>119</v>
      </c>
      <c r="AD3817" t="s">
        <v>113</v>
      </c>
      <c r="AE3817" t="s">
        <v>120</v>
      </c>
      <c r="AG3817" t="s">
        <v>121</v>
      </c>
    </row>
    <row r="3818" spans="1:33" x14ac:dyDescent="0.25">
      <c r="A3818" t="str">
        <f>"1982018388"</f>
        <v>1982018388</v>
      </c>
      <c r="B3818" t="str">
        <f>"03944878"</f>
        <v>03944878</v>
      </c>
      <c r="C3818" t="s">
        <v>20682</v>
      </c>
      <c r="D3818" t="s">
        <v>20683</v>
      </c>
      <c r="E3818" t="s">
        <v>20684</v>
      </c>
      <c r="G3818" t="s">
        <v>20678</v>
      </c>
      <c r="H3818" t="s">
        <v>20679</v>
      </c>
      <c r="J3818" t="s">
        <v>20680</v>
      </c>
      <c r="L3818" t="s">
        <v>150</v>
      </c>
      <c r="M3818" t="s">
        <v>113</v>
      </c>
      <c r="R3818" t="s">
        <v>20685</v>
      </c>
      <c r="W3818" t="s">
        <v>20684</v>
      </c>
      <c r="X3818" t="s">
        <v>20686</v>
      </c>
      <c r="Y3818" t="s">
        <v>209</v>
      </c>
      <c r="Z3818" t="s">
        <v>117</v>
      </c>
      <c r="AA3818" t="str">
        <f>"14059-9032"</f>
        <v>14059-9032</v>
      </c>
      <c r="AB3818" t="s">
        <v>118</v>
      </c>
      <c r="AC3818" t="s">
        <v>119</v>
      </c>
      <c r="AD3818" t="s">
        <v>113</v>
      </c>
      <c r="AE3818" t="s">
        <v>120</v>
      </c>
      <c r="AG3818" t="s">
        <v>121</v>
      </c>
    </row>
    <row r="3819" spans="1:33" x14ac:dyDescent="0.25">
      <c r="A3819" t="str">
        <f>"1992996912"</f>
        <v>1992996912</v>
      </c>
      <c r="B3819" t="str">
        <f>"02897749"</f>
        <v>02897749</v>
      </c>
      <c r="C3819" t="s">
        <v>20687</v>
      </c>
      <c r="D3819" t="s">
        <v>20688</v>
      </c>
      <c r="E3819" t="s">
        <v>20689</v>
      </c>
      <c r="G3819" t="s">
        <v>20678</v>
      </c>
      <c r="H3819" t="s">
        <v>20679</v>
      </c>
      <c r="J3819" t="s">
        <v>20680</v>
      </c>
      <c r="L3819" t="s">
        <v>150</v>
      </c>
      <c r="M3819" t="s">
        <v>113</v>
      </c>
      <c r="R3819" t="s">
        <v>20689</v>
      </c>
      <c r="W3819" t="s">
        <v>20689</v>
      </c>
      <c r="X3819" t="s">
        <v>20690</v>
      </c>
      <c r="Y3819" t="s">
        <v>11200</v>
      </c>
      <c r="Z3819" t="s">
        <v>117</v>
      </c>
      <c r="AA3819" t="str">
        <f>"14432-1122"</f>
        <v>14432-1122</v>
      </c>
      <c r="AB3819" t="s">
        <v>118</v>
      </c>
      <c r="AC3819" t="s">
        <v>119</v>
      </c>
      <c r="AD3819" t="s">
        <v>113</v>
      </c>
      <c r="AE3819" t="s">
        <v>120</v>
      </c>
      <c r="AG3819" t="s">
        <v>121</v>
      </c>
    </row>
    <row r="3820" spans="1:33" x14ac:dyDescent="0.25">
      <c r="C3820" t="s">
        <v>20691</v>
      </c>
      <c r="G3820" t="s">
        <v>20678</v>
      </c>
      <c r="H3820" t="s">
        <v>20679</v>
      </c>
      <c r="J3820" t="s">
        <v>20680</v>
      </c>
      <c r="K3820" t="s">
        <v>303</v>
      </c>
      <c r="L3820" t="s">
        <v>3095</v>
      </c>
      <c r="M3820" t="s">
        <v>113</v>
      </c>
      <c r="N3820" t="s">
        <v>20692</v>
      </c>
      <c r="O3820" t="s">
        <v>20693</v>
      </c>
      <c r="P3820" t="s">
        <v>117</v>
      </c>
      <c r="Q3820" t="str">
        <f>"14120"</f>
        <v>14120</v>
      </c>
      <c r="AC3820" t="s">
        <v>119</v>
      </c>
      <c r="AD3820" t="s">
        <v>113</v>
      </c>
      <c r="AE3820" t="s">
        <v>3098</v>
      </c>
      <c r="AG3820" t="s">
        <v>121</v>
      </c>
    </row>
    <row r="3821" spans="1:33" x14ac:dyDescent="0.25">
      <c r="A3821" t="str">
        <f>"1003026147"</f>
        <v>1003026147</v>
      </c>
      <c r="B3821" t="str">
        <f>"02957284"</f>
        <v>02957284</v>
      </c>
      <c r="C3821" t="s">
        <v>20694</v>
      </c>
      <c r="D3821" t="s">
        <v>20695</v>
      </c>
      <c r="E3821" t="s">
        <v>20696</v>
      </c>
      <c r="G3821" t="s">
        <v>20678</v>
      </c>
      <c r="H3821" t="s">
        <v>20679</v>
      </c>
      <c r="J3821" t="s">
        <v>20680</v>
      </c>
      <c r="L3821" t="s">
        <v>150</v>
      </c>
      <c r="M3821" t="s">
        <v>113</v>
      </c>
      <c r="R3821" t="s">
        <v>20697</v>
      </c>
      <c r="W3821" t="s">
        <v>20698</v>
      </c>
      <c r="X3821" t="s">
        <v>20699</v>
      </c>
      <c r="Y3821" t="s">
        <v>20700</v>
      </c>
      <c r="Z3821" t="s">
        <v>117</v>
      </c>
      <c r="AA3821" t="str">
        <f>"11104-2608"</f>
        <v>11104-2608</v>
      </c>
      <c r="AB3821" t="s">
        <v>118</v>
      </c>
      <c r="AC3821" t="s">
        <v>119</v>
      </c>
      <c r="AD3821" t="s">
        <v>113</v>
      </c>
      <c r="AE3821" t="s">
        <v>120</v>
      </c>
      <c r="AG3821" t="s">
        <v>121</v>
      </c>
    </row>
    <row r="3822" spans="1:33" x14ac:dyDescent="0.25">
      <c r="A3822" t="str">
        <f>"1346388311"</f>
        <v>1346388311</v>
      </c>
      <c r="B3822" t="str">
        <f>"00356010"</f>
        <v>00356010</v>
      </c>
      <c r="C3822" t="s">
        <v>20701</v>
      </c>
      <c r="D3822" t="s">
        <v>20702</v>
      </c>
      <c r="E3822" t="s">
        <v>20703</v>
      </c>
      <c r="G3822" t="s">
        <v>20704</v>
      </c>
      <c r="H3822" t="s">
        <v>20705</v>
      </c>
      <c r="I3822">
        <v>5000</v>
      </c>
      <c r="J3822" t="s">
        <v>20706</v>
      </c>
      <c r="L3822" t="s">
        <v>1143</v>
      </c>
      <c r="M3822" t="s">
        <v>199</v>
      </c>
      <c r="R3822" t="s">
        <v>20707</v>
      </c>
      <c r="W3822" t="s">
        <v>20703</v>
      </c>
      <c r="X3822" t="s">
        <v>20708</v>
      </c>
      <c r="Y3822" t="s">
        <v>192</v>
      </c>
      <c r="Z3822" t="s">
        <v>117</v>
      </c>
      <c r="AA3822" t="str">
        <f>"14020-9404"</f>
        <v>14020-9404</v>
      </c>
      <c r="AB3822" t="s">
        <v>1146</v>
      </c>
      <c r="AC3822" t="s">
        <v>119</v>
      </c>
      <c r="AD3822" t="s">
        <v>113</v>
      </c>
      <c r="AE3822" t="s">
        <v>120</v>
      </c>
      <c r="AG3822" t="s">
        <v>121</v>
      </c>
    </row>
    <row r="3823" spans="1:33" x14ac:dyDescent="0.25">
      <c r="A3823" t="str">
        <f>"1619945573"</f>
        <v>1619945573</v>
      </c>
      <c r="B3823" t="str">
        <f>"03002128"</f>
        <v>03002128</v>
      </c>
      <c r="C3823" t="s">
        <v>20709</v>
      </c>
      <c r="D3823" t="s">
        <v>20702</v>
      </c>
      <c r="E3823" t="s">
        <v>20703</v>
      </c>
      <c r="G3823" t="s">
        <v>20704</v>
      </c>
      <c r="H3823" t="s">
        <v>20705</v>
      </c>
      <c r="I3823">
        <v>5000</v>
      </c>
      <c r="J3823" t="s">
        <v>20706</v>
      </c>
      <c r="L3823" t="s">
        <v>1143</v>
      </c>
      <c r="M3823" t="s">
        <v>199</v>
      </c>
      <c r="R3823" t="s">
        <v>20707</v>
      </c>
      <c r="W3823" t="s">
        <v>20703</v>
      </c>
      <c r="X3823" t="s">
        <v>20708</v>
      </c>
      <c r="Y3823" t="s">
        <v>192</v>
      </c>
      <c r="Z3823" t="s">
        <v>117</v>
      </c>
      <c r="AA3823" t="str">
        <f>"14020-9404"</f>
        <v>14020-9404</v>
      </c>
      <c r="AB3823" t="s">
        <v>1146</v>
      </c>
      <c r="AC3823" t="s">
        <v>119</v>
      </c>
      <c r="AD3823" t="s">
        <v>113</v>
      </c>
      <c r="AE3823" t="s">
        <v>120</v>
      </c>
      <c r="AG3823" t="s">
        <v>121</v>
      </c>
    </row>
    <row r="3824" spans="1:33" x14ac:dyDescent="0.25">
      <c r="A3824" t="str">
        <f>"1053459420"</f>
        <v>1053459420</v>
      </c>
      <c r="B3824" t="str">
        <f>"01430611"</f>
        <v>01430611</v>
      </c>
      <c r="C3824" t="s">
        <v>20710</v>
      </c>
      <c r="D3824" t="s">
        <v>20711</v>
      </c>
      <c r="E3824" t="s">
        <v>20712</v>
      </c>
      <c r="G3824" t="s">
        <v>20704</v>
      </c>
      <c r="H3824" t="s">
        <v>20705</v>
      </c>
      <c r="I3824">
        <v>5000</v>
      </c>
      <c r="J3824" t="s">
        <v>20706</v>
      </c>
      <c r="L3824" t="s">
        <v>229</v>
      </c>
      <c r="M3824" t="s">
        <v>113</v>
      </c>
      <c r="R3824" t="s">
        <v>20707</v>
      </c>
      <c r="W3824" t="s">
        <v>20713</v>
      </c>
      <c r="X3824" t="s">
        <v>20714</v>
      </c>
      <c r="Y3824" t="s">
        <v>192</v>
      </c>
      <c r="Z3824" t="s">
        <v>117</v>
      </c>
      <c r="AA3824" t="str">
        <f>"14020-9404"</f>
        <v>14020-9404</v>
      </c>
      <c r="AB3824" t="s">
        <v>1146</v>
      </c>
      <c r="AC3824" t="s">
        <v>119</v>
      </c>
      <c r="AD3824" t="s">
        <v>113</v>
      </c>
      <c r="AE3824" t="s">
        <v>120</v>
      </c>
      <c r="AG3824" t="s">
        <v>121</v>
      </c>
    </row>
    <row r="3825" spans="1:33" x14ac:dyDescent="0.25">
      <c r="A3825" t="str">
        <f>"1710062112"</f>
        <v>1710062112</v>
      </c>
      <c r="B3825" t="str">
        <f>"03292317"</f>
        <v>03292317</v>
      </c>
      <c r="C3825" t="s">
        <v>20715</v>
      </c>
      <c r="D3825" t="s">
        <v>20716</v>
      </c>
      <c r="E3825" t="s">
        <v>20717</v>
      </c>
      <c r="G3825" t="s">
        <v>20718</v>
      </c>
      <c r="H3825" t="s">
        <v>20719</v>
      </c>
      <c r="J3825" t="s">
        <v>20720</v>
      </c>
      <c r="L3825" t="s">
        <v>20</v>
      </c>
      <c r="M3825" t="s">
        <v>113</v>
      </c>
      <c r="R3825" t="s">
        <v>20721</v>
      </c>
      <c r="W3825" t="s">
        <v>20717</v>
      </c>
      <c r="X3825" t="s">
        <v>20722</v>
      </c>
      <c r="Y3825" t="s">
        <v>2247</v>
      </c>
      <c r="Z3825" t="s">
        <v>117</v>
      </c>
      <c r="AA3825" t="str">
        <f>"14740-9562"</f>
        <v>14740-9562</v>
      </c>
      <c r="AB3825" t="s">
        <v>5777</v>
      </c>
      <c r="AC3825" t="s">
        <v>119</v>
      </c>
      <c r="AD3825" t="s">
        <v>113</v>
      </c>
      <c r="AE3825" t="s">
        <v>120</v>
      </c>
      <c r="AG3825" t="s">
        <v>121</v>
      </c>
    </row>
    <row r="3826" spans="1:33" x14ac:dyDescent="0.25">
      <c r="A3826" t="str">
        <f>"1659647774"</f>
        <v>1659647774</v>
      </c>
      <c r="C3826" t="s">
        <v>20723</v>
      </c>
      <c r="G3826" t="s">
        <v>20724</v>
      </c>
      <c r="H3826" t="s">
        <v>20725</v>
      </c>
      <c r="J3826" t="s">
        <v>20726</v>
      </c>
      <c r="K3826" t="s">
        <v>303</v>
      </c>
      <c r="L3826" t="s">
        <v>229</v>
      </c>
      <c r="M3826" t="s">
        <v>113</v>
      </c>
      <c r="R3826" t="s">
        <v>20727</v>
      </c>
      <c r="S3826" t="s">
        <v>20728</v>
      </c>
      <c r="T3826" t="s">
        <v>116</v>
      </c>
      <c r="U3826" t="s">
        <v>117</v>
      </c>
      <c r="V3826" t="str">
        <f>"142011938"</f>
        <v>142011938</v>
      </c>
      <c r="AC3826" t="s">
        <v>119</v>
      </c>
      <c r="AD3826" t="s">
        <v>113</v>
      </c>
      <c r="AE3826" t="s">
        <v>306</v>
      </c>
      <c r="AG3826" t="s">
        <v>121</v>
      </c>
    </row>
    <row r="3827" spans="1:33" x14ac:dyDescent="0.25">
      <c r="A3827" t="str">
        <f>"1154416303"</f>
        <v>1154416303</v>
      </c>
      <c r="B3827" t="str">
        <f>"02428839"</f>
        <v>02428839</v>
      </c>
      <c r="C3827" t="s">
        <v>20729</v>
      </c>
      <c r="D3827" t="s">
        <v>20730</v>
      </c>
      <c r="E3827" t="s">
        <v>20731</v>
      </c>
      <c r="G3827" t="s">
        <v>20732</v>
      </c>
      <c r="H3827" t="s">
        <v>443</v>
      </c>
      <c r="J3827" t="s">
        <v>20733</v>
      </c>
      <c r="L3827" t="s">
        <v>150</v>
      </c>
      <c r="M3827" t="s">
        <v>113</v>
      </c>
      <c r="R3827" t="s">
        <v>20734</v>
      </c>
      <c r="W3827" t="s">
        <v>20735</v>
      </c>
      <c r="X3827" t="s">
        <v>20736</v>
      </c>
      <c r="Y3827" t="s">
        <v>1872</v>
      </c>
      <c r="Z3827" t="s">
        <v>117</v>
      </c>
      <c r="AA3827" t="str">
        <f>"14132-9016"</f>
        <v>14132-9016</v>
      </c>
      <c r="AB3827" t="s">
        <v>118</v>
      </c>
      <c r="AC3827" t="s">
        <v>119</v>
      </c>
      <c r="AD3827" t="s">
        <v>113</v>
      </c>
      <c r="AE3827" t="s">
        <v>120</v>
      </c>
      <c r="AG3827" t="s">
        <v>121</v>
      </c>
    </row>
    <row r="3828" spans="1:33" x14ac:dyDescent="0.25">
      <c r="A3828" t="str">
        <f>"1598856908"</f>
        <v>1598856908</v>
      </c>
      <c r="C3828" t="s">
        <v>20737</v>
      </c>
      <c r="G3828" t="s">
        <v>20732</v>
      </c>
      <c r="H3828" t="s">
        <v>443</v>
      </c>
      <c r="J3828" t="s">
        <v>20733</v>
      </c>
      <c r="K3828" t="s">
        <v>303</v>
      </c>
      <c r="L3828" t="s">
        <v>229</v>
      </c>
      <c r="M3828" t="s">
        <v>113</v>
      </c>
      <c r="R3828" t="s">
        <v>20738</v>
      </c>
      <c r="S3828" t="s">
        <v>6194</v>
      </c>
      <c r="T3828" t="s">
        <v>153</v>
      </c>
      <c r="U3828" t="s">
        <v>117</v>
      </c>
      <c r="V3828" t="str">
        <f>"143041550"</f>
        <v>143041550</v>
      </c>
      <c r="AC3828" t="s">
        <v>119</v>
      </c>
      <c r="AD3828" t="s">
        <v>113</v>
      </c>
      <c r="AE3828" t="s">
        <v>306</v>
      </c>
      <c r="AG3828" t="s">
        <v>121</v>
      </c>
    </row>
    <row r="3829" spans="1:33" x14ac:dyDescent="0.25">
      <c r="A3829" t="str">
        <f>"1093086191"</f>
        <v>1093086191</v>
      </c>
      <c r="C3829" t="s">
        <v>20739</v>
      </c>
      <c r="G3829" t="s">
        <v>20732</v>
      </c>
      <c r="H3829" t="s">
        <v>443</v>
      </c>
      <c r="J3829" t="s">
        <v>20733</v>
      </c>
      <c r="K3829" t="s">
        <v>303</v>
      </c>
      <c r="L3829" t="s">
        <v>229</v>
      </c>
      <c r="M3829" t="s">
        <v>113</v>
      </c>
      <c r="R3829" t="s">
        <v>20740</v>
      </c>
      <c r="S3829" t="s">
        <v>405</v>
      </c>
      <c r="T3829" t="s">
        <v>116</v>
      </c>
      <c r="U3829" t="s">
        <v>117</v>
      </c>
      <c r="V3829" t="str">
        <f>"142151139"</f>
        <v>142151139</v>
      </c>
      <c r="AC3829" t="s">
        <v>119</v>
      </c>
      <c r="AD3829" t="s">
        <v>113</v>
      </c>
      <c r="AE3829" t="s">
        <v>306</v>
      </c>
      <c r="AG3829" t="s">
        <v>121</v>
      </c>
    </row>
    <row r="3830" spans="1:33" x14ac:dyDescent="0.25">
      <c r="A3830" t="str">
        <f>"1699019760"</f>
        <v>1699019760</v>
      </c>
      <c r="C3830" t="s">
        <v>20741</v>
      </c>
      <c r="G3830" t="s">
        <v>20732</v>
      </c>
      <c r="H3830" t="s">
        <v>443</v>
      </c>
      <c r="J3830" t="s">
        <v>20733</v>
      </c>
      <c r="K3830" t="s">
        <v>303</v>
      </c>
      <c r="L3830" t="s">
        <v>229</v>
      </c>
      <c r="M3830" t="s">
        <v>113</v>
      </c>
      <c r="R3830" t="s">
        <v>20742</v>
      </c>
      <c r="S3830" t="s">
        <v>354</v>
      </c>
      <c r="T3830" t="s">
        <v>116</v>
      </c>
      <c r="U3830" t="s">
        <v>117</v>
      </c>
      <c r="V3830" t="str">
        <f>"142152814"</f>
        <v>142152814</v>
      </c>
      <c r="AC3830" t="s">
        <v>119</v>
      </c>
      <c r="AD3830" t="s">
        <v>113</v>
      </c>
      <c r="AE3830" t="s">
        <v>306</v>
      </c>
      <c r="AG3830" t="s">
        <v>121</v>
      </c>
    </row>
    <row r="3831" spans="1:33" x14ac:dyDescent="0.25">
      <c r="A3831" t="str">
        <f>"1043621105"</f>
        <v>1043621105</v>
      </c>
      <c r="C3831" t="s">
        <v>20743</v>
      </c>
      <c r="G3831" t="s">
        <v>20732</v>
      </c>
      <c r="H3831" t="s">
        <v>443</v>
      </c>
      <c r="J3831" t="s">
        <v>20733</v>
      </c>
      <c r="K3831" t="s">
        <v>303</v>
      </c>
      <c r="L3831" t="s">
        <v>229</v>
      </c>
      <c r="M3831" t="s">
        <v>113</v>
      </c>
      <c r="R3831" t="s">
        <v>20744</v>
      </c>
      <c r="S3831" t="s">
        <v>354</v>
      </c>
      <c r="T3831" t="s">
        <v>116</v>
      </c>
      <c r="U3831" t="s">
        <v>117</v>
      </c>
      <c r="V3831" t="str">
        <f>"142152814"</f>
        <v>142152814</v>
      </c>
      <c r="AC3831" t="s">
        <v>119</v>
      </c>
      <c r="AD3831" t="s">
        <v>113</v>
      </c>
      <c r="AE3831" t="s">
        <v>306</v>
      </c>
      <c r="AG3831" t="s">
        <v>121</v>
      </c>
    </row>
    <row r="3832" spans="1:33" x14ac:dyDescent="0.25">
      <c r="A3832" t="str">
        <f>"1275864308"</f>
        <v>1275864308</v>
      </c>
      <c r="C3832" t="s">
        <v>20745</v>
      </c>
      <c r="G3832" t="s">
        <v>20732</v>
      </c>
      <c r="H3832" t="s">
        <v>443</v>
      </c>
      <c r="J3832" t="s">
        <v>20733</v>
      </c>
      <c r="K3832" t="s">
        <v>303</v>
      </c>
      <c r="L3832" t="s">
        <v>229</v>
      </c>
      <c r="M3832" t="s">
        <v>113</v>
      </c>
      <c r="R3832" t="s">
        <v>20746</v>
      </c>
      <c r="S3832" t="s">
        <v>8739</v>
      </c>
      <c r="T3832" t="s">
        <v>116</v>
      </c>
      <c r="U3832" t="s">
        <v>117</v>
      </c>
      <c r="V3832" t="str">
        <f>"142032209"</f>
        <v>142032209</v>
      </c>
      <c r="AC3832" t="s">
        <v>119</v>
      </c>
      <c r="AD3832" t="s">
        <v>113</v>
      </c>
      <c r="AE3832" t="s">
        <v>306</v>
      </c>
      <c r="AG3832" t="s">
        <v>121</v>
      </c>
    </row>
    <row r="3833" spans="1:33" x14ac:dyDescent="0.25">
      <c r="A3833" t="str">
        <f>"1417294489"</f>
        <v>1417294489</v>
      </c>
      <c r="C3833" t="s">
        <v>20747</v>
      </c>
      <c r="G3833" t="s">
        <v>20732</v>
      </c>
      <c r="H3833" t="s">
        <v>443</v>
      </c>
      <c r="J3833" t="s">
        <v>20733</v>
      </c>
      <c r="K3833" t="s">
        <v>303</v>
      </c>
      <c r="L3833" t="s">
        <v>229</v>
      </c>
      <c r="M3833" t="s">
        <v>113</v>
      </c>
      <c r="R3833" t="s">
        <v>20748</v>
      </c>
      <c r="S3833" t="s">
        <v>354</v>
      </c>
      <c r="T3833" t="s">
        <v>116</v>
      </c>
      <c r="U3833" t="s">
        <v>117</v>
      </c>
      <c r="V3833" t="str">
        <f>"142152814"</f>
        <v>142152814</v>
      </c>
      <c r="AC3833" t="s">
        <v>119</v>
      </c>
      <c r="AD3833" t="s">
        <v>113</v>
      </c>
      <c r="AE3833" t="s">
        <v>306</v>
      </c>
      <c r="AG3833" t="s">
        <v>121</v>
      </c>
    </row>
    <row r="3834" spans="1:33" x14ac:dyDescent="0.25">
      <c r="A3834" t="str">
        <f>"1740455690"</f>
        <v>1740455690</v>
      </c>
      <c r="B3834" t="str">
        <f>"03810506"</f>
        <v>03810506</v>
      </c>
      <c r="C3834" t="s">
        <v>20749</v>
      </c>
      <c r="D3834" t="s">
        <v>20750</v>
      </c>
      <c r="E3834" t="s">
        <v>20751</v>
      </c>
      <c r="G3834" t="s">
        <v>20732</v>
      </c>
      <c r="H3834" t="s">
        <v>443</v>
      </c>
      <c r="J3834" t="s">
        <v>20733</v>
      </c>
      <c r="L3834" t="s">
        <v>112</v>
      </c>
      <c r="M3834" t="s">
        <v>113</v>
      </c>
      <c r="R3834" t="s">
        <v>20752</v>
      </c>
      <c r="W3834" t="s">
        <v>20751</v>
      </c>
      <c r="X3834" t="s">
        <v>6194</v>
      </c>
      <c r="Y3834" t="s">
        <v>153</v>
      </c>
      <c r="Z3834" t="s">
        <v>117</v>
      </c>
      <c r="AA3834" t="str">
        <f>"14304-1550"</f>
        <v>14304-1550</v>
      </c>
      <c r="AB3834" t="s">
        <v>118</v>
      </c>
      <c r="AC3834" t="s">
        <v>119</v>
      </c>
      <c r="AD3834" t="s">
        <v>113</v>
      </c>
      <c r="AE3834" t="s">
        <v>120</v>
      </c>
      <c r="AG3834" t="s">
        <v>121</v>
      </c>
    </row>
    <row r="3835" spans="1:33" x14ac:dyDescent="0.25">
      <c r="A3835" t="str">
        <f>"1194033035"</f>
        <v>1194033035</v>
      </c>
      <c r="B3835" t="str">
        <f>"03709024"</f>
        <v>03709024</v>
      </c>
      <c r="C3835" t="s">
        <v>20753</v>
      </c>
      <c r="D3835" t="s">
        <v>20754</v>
      </c>
      <c r="E3835" t="s">
        <v>20755</v>
      </c>
      <c r="G3835" t="s">
        <v>20732</v>
      </c>
      <c r="H3835" t="s">
        <v>443</v>
      </c>
      <c r="J3835" t="s">
        <v>20733</v>
      </c>
      <c r="L3835" t="s">
        <v>112</v>
      </c>
      <c r="M3835" t="s">
        <v>113</v>
      </c>
      <c r="R3835" t="s">
        <v>20756</v>
      </c>
      <c r="W3835" t="s">
        <v>20755</v>
      </c>
      <c r="X3835" t="s">
        <v>1129</v>
      </c>
      <c r="Y3835" t="s">
        <v>116</v>
      </c>
      <c r="Z3835" t="s">
        <v>117</v>
      </c>
      <c r="AA3835" t="str">
        <f>"14207-2341"</f>
        <v>14207-2341</v>
      </c>
      <c r="AB3835" t="s">
        <v>528</v>
      </c>
      <c r="AC3835" t="s">
        <v>119</v>
      </c>
      <c r="AD3835" t="s">
        <v>113</v>
      </c>
      <c r="AE3835" t="s">
        <v>120</v>
      </c>
      <c r="AG3835" t="s">
        <v>121</v>
      </c>
    </row>
    <row r="3836" spans="1:33" x14ac:dyDescent="0.25">
      <c r="A3836" t="str">
        <f>"1053554501"</f>
        <v>1053554501</v>
      </c>
      <c r="B3836" t="str">
        <f>"00615949"</f>
        <v>00615949</v>
      </c>
      <c r="C3836" t="s">
        <v>20757</v>
      </c>
      <c r="D3836" t="s">
        <v>20758</v>
      </c>
      <c r="E3836" t="s">
        <v>20759</v>
      </c>
      <c r="G3836" t="s">
        <v>20732</v>
      </c>
      <c r="H3836" t="s">
        <v>443</v>
      </c>
      <c r="J3836" t="s">
        <v>20733</v>
      </c>
      <c r="L3836" t="s">
        <v>112</v>
      </c>
      <c r="M3836" t="s">
        <v>113</v>
      </c>
      <c r="R3836" t="s">
        <v>20760</v>
      </c>
      <c r="W3836" t="s">
        <v>20761</v>
      </c>
      <c r="X3836" t="s">
        <v>6562</v>
      </c>
      <c r="Y3836" t="s">
        <v>116</v>
      </c>
      <c r="Z3836" t="s">
        <v>117</v>
      </c>
      <c r="AA3836" t="str">
        <f>"14214-1804"</f>
        <v>14214-1804</v>
      </c>
      <c r="AB3836" t="s">
        <v>118</v>
      </c>
      <c r="AC3836" t="s">
        <v>119</v>
      </c>
      <c r="AD3836" t="s">
        <v>113</v>
      </c>
      <c r="AE3836" t="s">
        <v>120</v>
      </c>
      <c r="AG3836" t="s">
        <v>121</v>
      </c>
    </row>
    <row r="3837" spans="1:33" x14ac:dyDescent="0.25">
      <c r="A3837" t="str">
        <f>"1417382557"</f>
        <v>1417382557</v>
      </c>
      <c r="C3837" t="s">
        <v>20762</v>
      </c>
      <c r="G3837" t="s">
        <v>20732</v>
      </c>
      <c r="H3837" t="s">
        <v>443</v>
      </c>
      <c r="J3837" t="s">
        <v>20733</v>
      </c>
      <c r="K3837" t="s">
        <v>303</v>
      </c>
      <c r="L3837" t="s">
        <v>229</v>
      </c>
      <c r="M3837" t="s">
        <v>113</v>
      </c>
      <c r="R3837" t="s">
        <v>20763</v>
      </c>
      <c r="S3837" t="s">
        <v>20764</v>
      </c>
      <c r="T3837" t="s">
        <v>116</v>
      </c>
      <c r="U3837" t="s">
        <v>117</v>
      </c>
      <c r="V3837" t="str">
        <f>"142152814"</f>
        <v>142152814</v>
      </c>
      <c r="AC3837" t="s">
        <v>119</v>
      </c>
      <c r="AD3837" t="s">
        <v>113</v>
      </c>
      <c r="AE3837" t="s">
        <v>306</v>
      </c>
      <c r="AG3837" t="s">
        <v>121</v>
      </c>
    </row>
    <row r="3838" spans="1:33" x14ac:dyDescent="0.25">
      <c r="A3838" t="str">
        <f>"1386989556"</f>
        <v>1386989556</v>
      </c>
      <c r="C3838" t="s">
        <v>20765</v>
      </c>
      <c r="G3838" t="s">
        <v>20732</v>
      </c>
      <c r="H3838" t="s">
        <v>443</v>
      </c>
      <c r="J3838" t="s">
        <v>20733</v>
      </c>
      <c r="K3838" t="s">
        <v>303</v>
      </c>
      <c r="L3838" t="s">
        <v>229</v>
      </c>
      <c r="M3838" t="s">
        <v>113</v>
      </c>
      <c r="R3838" t="s">
        <v>20766</v>
      </c>
      <c r="S3838" t="s">
        <v>354</v>
      </c>
      <c r="T3838" t="s">
        <v>116</v>
      </c>
      <c r="U3838" t="s">
        <v>117</v>
      </c>
      <c r="V3838" t="str">
        <f>"142152814"</f>
        <v>142152814</v>
      </c>
      <c r="AC3838" t="s">
        <v>119</v>
      </c>
      <c r="AD3838" t="s">
        <v>113</v>
      </c>
      <c r="AE3838" t="s">
        <v>306</v>
      </c>
      <c r="AG3838" t="s">
        <v>121</v>
      </c>
    </row>
    <row r="3839" spans="1:33" x14ac:dyDescent="0.25">
      <c r="A3839" t="str">
        <f>"1164859450"</f>
        <v>1164859450</v>
      </c>
      <c r="C3839" t="s">
        <v>20767</v>
      </c>
      <c r="G3839" t="s">
        <v>20732</v>
      </c>
      <c r="H3839" t="s">
        <v>443</v>
      </c>
      <c r="J3839" t="s">
        <v>20733</v>
      </c>
      <c r="K3839" t="s">
        <v>303</v>
      </c>
      <c r="L3839" t="s">
        <v>229</v>
      </c>
      <c r="M3839" t="s">
        <v>113</v>
      </c>
      <c r="R3839" t="s">
        <v>20768</v>
      </c>
      <c r="S3839" t="s">
        <v>354</v>
      </c>
      <c r="T3839" t="s">
        <v>116</v>
      </c>
      <c r="U3839" t="s">
        <v>117</v>
      </c>
      <c r="V3839" t="str">
        <f>"142152814"</f>
        <v>142152814</v>
      </c>
      <c r="AC3839" t="s">
        <v>119</v>
      </c>
      <c r="AD3839" t="s">
        <v>113</v>
      </c>
      <c r="AE3839" t="s">
        <v>306</v>
      </c>
      <c r="AG3839" t="s">
        <v>121</v>
      </c>
    </row>
    <row r="3840" spans="1:33" x14ac:dyDescent="0.25">
      <c r="A3840" t="str">
        <f>"1336413996"</f>
        <v>1336413996</v>
      </c>
      <c r="C3840" t="s">
        <v>20769</v>
      </c>
      <c r="G3840" t="s">
        <v>20732</v>
      </c>
      <c r="H3840" t="s">
        <v>443</v>
      </c>
      <c r="J3840" t="s">
        <v>20733</v>
      </c>
      <c r="K3840" t="s">
        <v>303</v>
      </c>
      <c r="L3840" t="s">
        <v>229</v>
      </c>
      <c r="M3840" t="s">
        <v>113</v>
      </c>
      <c r="R3840" t="s">
        <v>20770</v>
      </c>
      <c r="S3840" t="s">
        <v>354</v>
      </c>
      <c r="T3840" t="s">
        <v>116</v>
      </c>
      <c r="U3840" t="s">
        <v>117</v>
      </c>
      <c r="V3840" t="str">
        <f>"142152814"</f>
        <v>142152814</v>
      </c>
      <c r="AC3840" t="s">
        <v>119</v>
      </c>
      <c r="AD3840" t="s">
        <v>113</v>
      </c>
      <c r="AE3840" t="s">
        <v>306</v>
      </c>
      <c r="AG3840" t="s">
        <v>121</v>
      </c>
    </row>
    <row r="3841" spans="1:33" x14ac:dyDescent="0.25">
      <c r="A3841" t="str">
        <f>"1033485792"</f>
        <v>1033485792</v>
      </c>
      <c r="C3841" t="s">
        <v>20771</v>
      </c>
      <c r="G3841" t="s">
        <v>20732</v>
      </c>
      <c r="H3841" t="s">
        <v>443</v>
      </c>
      <c r="J3841" t="s">
        <v>20733</v>
      </c>
      <c r="K3841" t="s">
        <v>303</v>
      </c>
      <c r="L3841" t="s">
        <v>112</v>
      </c>
      <c r="M3841" t="s">
        <v>113</v>
      </c>
      <c r="R3841" t="s">
        <v>20772</v>
      </c>
      <c r="S3841" t="s">
        <v>20773</v>
      </c>
      <c r="T3841" t="s">
        <v>663</v>
      </c>
      <c r="U3841" t="s">
        <v>117</v>
      </c>
      <c r="V3841" t="str">
        <f>"140943727"</f>
        <v>140943727</v>
      </c>
      <c r="AC3841" t="s">
        <v>119</v>
      </c>
      <c r="AD3841" t="s">
        <v>113</v>
      </c>
      <c r="AE3841" t="s">
        <v>306</v>
      </c>
      <c r="AG3841" t="s">
        <v>121</v>
      </c>
    </row>
    <row r="3842" spans="1:33" x14ac:dyDescent="0.25">
      <c r="A3842" t="str">
        <f>"1629491691"</f>
        <v>1629491691</v>
      </c>
      <c r="C3842" t="s">
        <v>20774</v>
      </c>
      <c r="G3842" t="s">
        <v>20732</v>
      </c>
      <c r="H3842" t="s">
        <v>443</v>
      </c>
      <c r="J3842" t="s">
        <v>20733</v>
      </c>
      <c r="K3842" t="s">
        <v>303</v>
      </c>
      <c r="L3842" t="s">
        <v>229</v>
      </c>
      <c r="M3842" t="s">
        <v>113</v>
      </c>
      <c r="R3842" t="s">
        <v>20775</v>
      </c>
      <c r="S3842" t="s">
        <v>354</v>
      </c>
      <c r="T3842" t="s">
        <v>116</v>
      </c>
      <c r="U3842" t="s">
        <v>117</v>
      </c>
      <c r="V3842" t="str">
        <f>"142152814"</f>
        <v>142152814</v>
      </c>
      <c r="AC3842" t="s">
        <v>119</v>
      </c>
      <c r="AD3842" t="s">
        <v>113</v>
      </c>
      <c r="AE3842" t="s">
        <v>306</v>
      </c>
      <c r="AG3842" t="s">
        <v>121</v>
      </c>
    </row>
    <row r="3843" spans="1:33" x14ac:dyDescent="0.25">
      <c r="A3843" t="str">
        <f>"1790815397"</f>
        <v>1790815397</v>
      </c>
      <c r="B3843" t="str">
        <f>"03220835"</f>
        <v>03220835</v>
      </c>
      <c r="C3843" t="s">
        <v>20776</v>
      </c>
      <c r="D3843" t="s">
        <v>20777</v>
      </c>
      <c r="E3843" t="s">
        <v>20778</v>
      </c>
      <c r="G3843" t="s">
        <v>20779</v>
      </c>
      <c r="H3843">
        <v>8564201</v>
      </c>
      <c r="I3843">
        <v>1201</v>
      </c>
      <c r="J3843" t="s">
        <v>20780</v>
      </c>
      <c r="L3843" t="s">
        <v>1033</v>
      </c>
      <c r="M3843" t="s">
        <v>113</v>
      </c>
      <c r="R3843" t="s">
        <v>20778</v>
      </c>
      <c r="W3843" t="s">
        <v>20778</v>
      </c>
      <c r="X3843" t="s">
        <v>20781</v>
      </c>
      <c r="Y3843" t="s">
        <v>20782</v>
      </c>
      <c r="Z3843" t="s">
        <v>117</v>
      </c>
      <c r="AA3843" t="str">
        <f>"12029"</f>
        <v>12029</v>
      </c>
      <c r="AB3843" t="s">
        <v>118</v>
      </c>
      <c r="AC3843" t="s">
        <v>119</v>
      </c>
      <c r="AD3843" t="s">
        <v>113</v>
      </c>
      <c r="AE3843" t="s">
        <v>120</v>
      </c>
      <c r="AG3843" t="s">
        <v>121</v>
      </c>
    </row>
    <row r="3844" spans="1:33" x14ac:dyDescent="0.25">
      <c r="A3844" t="str">
        <f>"1881677128"</f>
        <v>1881677128</v>
      </c>
      <c r="B3844" t="str">
        <f>"00695152"</f>
        <v>00695152</v>
      </c>
      <c r="C3844" t="s">
        <v>20783</v>
      </c>
      <c r="D3844" t="s">
        <v>20784</v>
      </c>
      <c r="E3844" t="s">
        <v>20785</v>
      </c>
      <c r="G3844" t="s">
        <v>20783</v>
      </c>
      <c r="H3844" t="s">
        <v>1308</v>
      </c>
      <c r="J3844" t="s">
        <v>20786</v>
      </c>
      <c r="L3844" t="s">
        <v>142</v>
      </c>
      <c r="M3844" t="s">
        <v>113</v>
      </c>
      <c r="R3844" t="s">
        <v>20787</v>
      </c>
      <c r="W3844" t="s">
        <v>20785</v>
      </c>
      <c r="X3844" t="s">
        <v>784</v>
      </c>
      <c r="Y3844" t="s">
        <v>116</v>
      </c>
      <c r="Z3844" t="s">
        <v>117</v>
      </c>
      <c r="AA3844" t="str">
        <f>"14209-1194"</f>
        <v>14209-1194</v>
      </c>
      <c r="AB3844" t="s">
        <v>118</v>
      </c>
      <c r="AC3844" t="s">
        <v>119</v>
      </c>
      <c r="AD3844" t="s">
        <v>113</v>
      </c>
      <c r="AE3844" t="s">
        <v>120</v>
      </c>
      <c r="AG3844" t="s">
        <v>121</v>
      </c>
    </row>
    <row r="3845" spans="1:33" x14ac:dyDescent="0.25">
      <c r="A3845" t="str">
        <f>"1881684017"</f>
        <v>1881684017</v>
      </c>
      <c r="B3845" t="str">
        <f>"01914314"</f>
        <v>01914314</v>
      </c>
      <c r="C3845" t="s">
        <v>20788</v>
      </c>
      <c r="D3845" t="s">
        <v>20789</v>
      </c>
      <c r="E3845" t="s">
        <v>20790</v>
      </c>
      <c r="G3845" t="s">
        <v>330</v>
      </c>
      <c r="H3845" t="s">
        <v>20791</v>
      </c>
      <c r="J3845" t="s">
        <v>332</v>
      </c>
      <c r="L3845" t="s">
        <v>150</v>
      </c>
      <c r="M3845" t="s">
        <v>199</v>
      </c>
      <c r="R3845" t="s">
        <v>20792</v>
      </c>
      <c r="W3845" t="s">
        <v>20790</v>
      </c>
      <c r="X3845" t="s">
        <v>3599</v>
      </c>
      <c r="Y3845" t="s">
        <v>986</v>
      </c>
      <c r="Z3845" t="s">
        <v>117</v>
      </c>
      <c r="AA3845" t="str">
        <f>"14701-7077"</f>
        <v>14701-7077</v>
      </c>
      <c r="AB3845" t="s">
        <v>118</v>
      </c>
      <c r="AC3845" t="s">
        <v>119</v>
      </c>
      <c r="AD3845" t="s">
        <v>113</v>
      </c>
      <c r="AE3845" t="s">
        <v>120</v>
      </c>
      <c r="AG3845" t="s">
        <v>121</v>
      </c>
    </row>
    <row r="3846" spans="1:33" x14ac:dyDescent="0.25">
      <c r="A3846" t="str">
        <f>"1881687358"</f>
        <v>1881687358</v>
      </c>
      <c r="B3846" t="str">
        <f>"00758347"</f>
        <v>00758347</v>
      </c>
      <c r="C3846" t="s">
        <v>20793</v>
      </c>
      <c r="D3846" t="s">
        <v>20794</v>
      </c>
      <c r="E3846" t="s">
        <v>20795</v>
      </c>
      <c r="G3846" t="s">
        <v>20793</v>
      </c>
      <c r="H3846" t="s">
        <v>12272</v>
      </c>
      <c r="J3846" t="s">
        <v>20796</v>
      </c>
      <c r="L3846" t="s">
        <v>150</v>
      </c>
      <c r="M3846" t="s">
        <v>113</v>
      </c>
      <c r="R3846" t="s">
        <v>20797</v>
      </c>
      <c r="W3846" t="s">
        <v>20798</v>
      </c>
      <c r="X3846" t="s">
        <v>136</v>
      </c>
      <c r="Y3846" t="s">
        <v>116</v>
      </c>
      <c r="Z3846" t="s">
        <v>117</v>
      </c>
      <c r="AA3846" t="str">
        <f>"14209-1120"</f>
        <v>14209-1120</v>
      </c>
      <c r="AB3846" t="s">
        <v>118</v>
      </c>
      <c r="AC3846" t="s">
        <v>119</v>
      </c>
      <c r="AD3846" t="s">
        <v>113</v>
      </c>
      <c r="AE3846" t="s">
        <v>120</v>
      </c>
      <c r="AG3846" t="s">
        <v>121</v>
      </c>
    </row>
    <row r="3847" spans="1:33" x14ac:dyDescent="0.25">
      <c r="A3847" t="str">
        <f>"1881692267"</f>
        <v>1881692267</v>
      </c>
      <c r="B3847" t="str">
        <f>"01843145"</f>
        <v>01843145</v>
      </c>
      <c r="C3847" t="s">
        <v>20799</v>
      </c>
      <c r="D3847" t="s">
        <v>20800</v>
      </c>
      <c r="E3847" t="s">
        <v>20801</v>
      </c>
      <c r="G3847" t="s">
        <v>20799</v>
      </c>
      <c r="H3847" t="s">
        <v>1883</v>
      </c>
      <c r="J3847" t="s">
        <v>20802</v>
      </c>
      <c r="L3847" t="s">
        <v>150</v>
      </c>
      <c r="M3847" t="s">
        <v>113</v>
      </c>
      <c r="R3847" t="s">
        <v>20803</v>
      </c>
      <c r="W3847" t="s">
        <v>20801</v>
      </c>
      <c r="X3847" t="s">
        <v>3705</v>
      </c>
      <c r="Y3847" t="s">
        <v>958</v>
      </c>
      <c r="Z3847" t="s">
        <v>117</v>
      </c>
      <c r="AA3847" t="str">
        <f>"14226-1727"</f>
        <v>14226-1727</v>
      </c>
      <c r="AB3847" t="s">
        <v>118</v>
      </c>
      <c r="AC3847" t="s">
        <v>119</v>
      </c>
      <c r="AD3847" t="s">
        <v>113</v>
      </c>
      <c r="AE3847" t="s">
        <v>120</v>
      </c>
      <c r="AG3847" t="s">
        <v>121</v>
      </c>
    </row>
    <row r="3848" spans="1:33" x14ac:dyDescent="0.25">
      <c r="A3848" t="str">
        <f>"1881692648"</f>
        <v>1881692648</v>
      </c>
      <c r="B3848" t="str">
        <f>"03478580"</f>
        <v>03478580</v>
      </c>
      <c r="C3848" t="s">
        <v>20804</v>
      </c>
      <c r="D3848" t="s">
        <v>20805</v>
      </c>
      <c r="E3848" t="s">
        <v>20806</v>
      </c>
      <c r="G3848" t="s">
        <v>20804</v>
      </c>
      <c r="H3848" t="s">
        <v>6352</v>
      </c>
      <c r="J3848" t="s">
        <v>20807</v>
      </c>
      <c r="L3848" t="s">
        <v>142</v>
      </c>
      <c r="M3848" t="s">
        <v>113</v>
      </c>
      <c r="R3848" t="s">
        <v>20808</v>
      </c>
      <c r="W3848" t="s">
        <v>20809</v>
      </c>
      <c r="X3848" t="s">
        <v>20810</v>
      </c>
      <c r="Y3848" t="s">
        <v>116</v>
      </c>
      <c r="Z3848" t="s">
        <v>117</v>
      </c>
      <c r="AA3848" t="str">
        <f>"14203-1126"</f>
        <v>14203-1126</v>
      </c>
      <c r="AB3848" t="s">
        <v>118</v>
      </c>
      <c r="AC3848" t="s">
        <v>119</v>
      </c>
      <c r="AD3848" t="s">
        <v>113</v>
      </c>
      <c r="AE3848" t="s">
        <v>120</v>
      </c>
      <c r="AG3848" t="s">
        <v>121</v>
      </c>
    </row>
    <row r="3849" spans="1:33" x14ac:dyDescent="0.25">
      <c r="B3849" t="str">
        <f>"01048017"</f>
        <v>01048017</v>
      </c>
      <c r="C3849" t="s">
        <v>18505</v>
      </c>
      <c r="D3849" t="s">
        <v>18506</v>
      </c>
      <c r="E3849" t="s">
        <v>18505</v>
      </c>
      <c r="F3849">
        <v>160975538</v>
      </c>
      <c r="H3849" t="s">
        <v>1600</v>
      </c>
      <c r="L3849" t="s">
        <v>69</v>
      </c>
      <c r="M3849" t="s">
        <v>199</v>
      </c>
      <c r="W3849" t="s">
        <v>18505</v>
      </c>
      <c r="X3849" t="s">
        <v>18507</v>
      </c>
      <c r="Y3849" t="s">
        <v>116</v>
      </c>
      <c r="Z3849" t="s">
        <v>117</v>
      </c>
      <c r="AA3849" t="str">
        <f>"14207-1910"</f>
        <v>14207-1910</v>
      </c>
      <c r="AB3849" t="s">
        <v>291</v>
      </c>
      <c r="AC3849" t="s">
        <v>119</v>
      </c>
      <c r="AD3849" t="s">
        <v>113</v>
      </c>
      <c r="AE3849" t="s">
        <v>120</v>
      </c>
      <c r="AG3849" t="s">
        <v>121</v>
      </c>
    </row>
    <row r="3850" spans="1:33" x14ac:dyDescent="0.25">
      <c r="A3850" t="str">
        <f>"1881730489"</f>
        <v>1881730489</v>
      </c>
      <c r="B3850" t="str">
        <f>"02869432"</f>
        <v>02869432</v>
      </c>
      <c r="C3850" t="s">
        <v>20817</v>
      </c>
      <c r="D3850" t="s">
        <v>20818</v>
      </c>
      <c r="E3850" t="s">
        <v>20819</v>
      </c>
      <c r="G3850" t="s">
        <v>20817</v>
      </c>
      <c r="H3850" t="s">
        <v>1006</v>
      </c>
      <c r="J3850" t="s">
        <v>20820</v>
      </c>
      <c r="L3850" t="s">
        <v>142</v>
      </c>
      <c r="M3850" t="s">
        <v>113</v>
      </c>
      <c r="R3850" t="s">
        <v>20821</v>
      </c>
      <c r="W3850" t="s">
        <v>20819</v>
      </c>
      <c r="X3850" t="s">
        <v>253</v>
      </c>
      <c r="Y3850" t="s">
        <v>116</v>
      </c>
      <c r="Z3850" t="s">
        <v>117</v>
      </c>
      <c r="AA3850" t="str">
        <f>"14215-3021"</f>
        <v>14215-3021</v>
      </c>
      <c r="AB3850" t="s">
        <v>118</v>
      </c>
      <c r="AC3850" t="s">
        <v>119</v>
      </c>
      <c r="AD3850" t="s">
        <v>113</v>
      </c>
      <c r="AE3850" t="s">
        <v>120</v>
      </c>
      <c r="AG3850" t="s">
        <v>121</v>
      </c>
    </row>
    <row r="3851" spans="1:33" x14ac:dyDescent="0.25">
      <c r="A3851" t="str">
        <f>"1881739654"</f>
        <v>1881739654</v>
      </c>
      <c r="B3851" t="str">
        <f>"03500896"</f>
        <v>03500896</v>
      </c>
      <c r="C3851" t="s">
        <v>20822</v>
      </c>
      <c r="D3851" t="s">
        <v>20823</v>
      </c>
      <c r="E3851" t="s">
        <v>20824</v>
      </c>
      <c r="G3851" t="s">
        <v>20825</v>
      </c>
      <c r="H3851" t="s">
        <v>1700</v>
      </c>
      <c r="J3851" t="s">
        <v>20826</v>
      </c>
      <c r="L3851" t="s">
        <v>1033</v>
      </c>
      <c r="M3851" t="s">
        <v>113</v>
      </c>
      <c r="R3851" t="s">
        <v>20827</v>
      </c>
      <c r="W3851" t="s">
        <v>20824</v>
      </c>
      <c r="X3851" t="s">
        <v>20828</v>
      </c>
      <c r="Y3851" t="s">
        <v>116</v>
      </c>
      <c r="Z3851" t="s">
        <v>117</v>
      </c>
      <c r="AA3851" t="str">
        <f>"14218-1720"</f>
        <v>14218-1720</v>
      </c>
      <c r="AB3851" t="s">
        <v>621</v>
      </c>
      <c r="AC3851" t="s">
        <v>119</v>
      </c>
      <c r="AD3851" t="s">
        <v>113</v>
      </c>
      <c r="AE3851" t="s">
        <v>120</v>
      </c>
      <c r="AG3851" t="s">
        <v>121</v>
      </c>
    </row>
    <row r="3852" spans="1:33" x14ac:dyDescent="0.25">
      <c r="A3852" t="str">
        <f>"1881777225"</f>
        <v>1881777225</v>
      </c>
      <c r="B3852" t="str">
        <f>"02563931"</f>
        <v>02563931</v>
      </c>
      <c r="C3852" t="s">
        <v>20829</v>
      </c>
      <c r="D3852" t="s">
        <v>20830</v>
      </c>
      <c r="E3852" t="s">
        <v>20831</v>
      </c>
      <c r="G3852" t="s">
        <v>20832</v>
      </c>
      <c r="H3852" t="s">
        <v>213</v>
      </c>
      <c r="J3852" t="s">
        <v>20833</v>
      </c>
      <c r="L3852" t="s">
        <v>142</v>
      </c>
      <c r="M3852" t="s">
        <v>199</v>
      </c>
      <c r="R3852" t="s">
        <v>20834</v>
      </c>
      <c r="W3852" t="s">
        <v>20831</v>
      </c>
      <c r="X3852" t="s">
        <v>216</v>
      </c>
      <c r="Y3852" t="s">
        <v>116</v>
      </c>
      <c r="Z3852" t="s">
        <v>117</v>
      </c>
      <c r="AA3852" t="str">
        <f>"14222-2006"</f>
        <v>14222-2006</v>
      </c>
      <c r="AB3852" t="s">
        <v>118</v>
      </c>
      <c r="AC3852" t="s">
        <v>119</v>
      </c>
      <c r="AD3852" t="s">
        <v>113</v>
      </c>
      <c r="AE3852" t="s">
        <v>120</v>
      </c>
      <c r="AG3852" t="s">
        <v>121</v>
      </c>
    </row>
    <row r="3853" spans="1:33" x14ac:dyDescent="0.25">
      <c r="A3853" t="str">
        <f>"1881789014"</f>
        <v>1881789014</v>
      </c>
      <c r="B3853" t="str">
        <f>"01034940"</f>
        <v>01034940</v>
      </c>
      <c r="C3853" t="s">
        <v>20835</v>
      </c>
      <c r="D3853" t="s">
        <v>20836</v>
      </c>
      <c r="E3853" t="s">
        <v>20837</v>
      </c>
      <c r="G3853" t="s">
        <v>20838</v>
      </c>
      <c r="H3853" t="s">
        <v>272</v>
      </c>
      <c r="I3853">
        <v>230</v>
      </c>
      <c r="J3853" t="s">
        <v>964</v>
      </c>
      <c r="L3853" t="s">
        <v>1143</v>
      </c>
      <c r="M3853" t="s">
        <v>199</v>
      </c>
      <c r="R3853" t="s">
        <v>20835</v>
      </c>
      <c r="W3853" t="s">
        <v>20837</v>
      </c>
      <c r="X3853" t="s">
        <v>966</v>
      </c>
      <c r="Y3853" t="s">
        <v>116</v>
      </c>
      <c r="Z3853" t="s">
        <v>117</v>
      </c>
      <c r="AA3853" t="str">
        <f>"14207-1816"</f>
        <v>14207-1816</v>
      </c>
      <c r="AB3853" t="s">
        <v>1146</v>
      </c>
      <c r="AC3853" t="s">
        <v>119</v>
      </c>
      <c r="AD3853" t="s">
        <v>113</v>
      </c>
      <c r="AE3853" t="s">
        <v>120</v>
      </c>
      <c r="AG3853" t="s">
        <v>121</v>
      </c>
    </row>
    <row r="3854" spans="1:33" x14ac:dyDescent="0.25">
      <c r="A3854" t="str">
        <f>"1881832335"</f>
        <v>1881832335</v>
      </c>
      <c r="C3854" t="s">
        <v>20839</v>
      </c>
      <c r="G3854" t="s">
        <v>20839</v>
      </c>
      <c r="H3854" t="s">
        <v>20840</v>
      </c>
      <c r="J3854" t="s">
        <v>20841</v>
      </c>
      <c r="K3854" t="s">
        <v>303</v>
      </c>
      <c r="L3854" t="s">
        <v>112</v>
      </c>
      <c r="M3854" t="s">
        <v>113</v>
      </c>
      <c r="R3854" t="s">
        <v>20842</v>
      </c>
      <c r="S3854" t="s">
        <v>20843</v>
      </c>
      <c r="T3854" t="s">
        <v>240</v>
      </c>
      <c r="U3854" t="s">
        <v>117</v>
      </c>
      <c r="V3854" t="str">
        <f>"14221"</f>
        <v>14221</v>
      </c>
      <c r="AC3854" t="s">
        <v>119</v>
      </c>
      <c r="AD3854" t="s">
        <v>113</v>
      </c>
      <c r="AE3854" t="s">
        <v>306</v>
      </c>
      <c r="AG3854" t="s">
        <v>121</v>
      </c>
    </row>
    <row r="3855" spans="1:33" x14ac:dyDescent="0.25">
      <c r="A3855" t="str">
        <f>"1881845980"</f>
        <v>1881845980</v>
      </c>
      <c r="B3855" t="str">
        <f>"03057545"</f>
        <v>03057545</v>
      </c>
      <c r="C3855" t="s">
        <v>20844</v>
      </c>
      <c r="D3855" t="s">
        <v>20845</v>
      </c>
      <c r="E3855" t="s">
        <v>20846</v>
      </c>
      <c r="G3855" t="s">
        <v>20847</v>
      </c>
      <c r="H3855" t="s">
        <v>213</v>
      </c>
      <c r="J3855" t="s">
        <v>20848</v>
      </c>
      <c r="L3855" t="s">
        <v>142</v>
      </c>
      <c r="M3855" t="s">
        <v>199</v>
      </c>
      <c r="R3855" t="s">
        <v>20849</v>
      </c>
      <c r="W3855" t="s">
        <v>20850</v>
      </c>
      <c r="X3855" t="s">
        <v>216</v>
      </c>
      <c r="Y3855" t="s">
        <v>116</v>
      </c>
      <c r="Z3855" t="s">
        <v>117</v>
      </c>
      <c r="AA3855" t="str">
        <f>"14222-2777"</f>
        <v>14222-2777</v>
      </c>
      <c r="AB3855" t="s">
        <v>118</v>
      </c>
      <c r="AC3855" t="s">
        <v>119</v>
      </c>
      <c r="AD3855" t="s">
        <v>113</v>
      </c>
      <c r="AE3855" t="s">
        <v>120</v>
      </c>
      <c r="AG3855" t="s">
        <v>121</v>
      </c>
    </row>
    <row r="3856" spans="1:33" x14ac:dyDescent="0.25">
      <c r="A3856" t="str">
        <f>"1881853695"</f>
        <v>1881853695</v>
      </c>
      <c r="B3856" t="str">
        <f>"03485554"</f>
        <v>03485554</v>
      </c>
      <c r="C3856" t="s">
        <v>20851</v>
      </c>
      <c r="D3856" t="s">
        <v>20852</v>
      </c>
      <c r="E3856" t="s">
        <v>20853</v>
      </c>
      <c r="G3856" t="s">
        <v>20851</v>
      </c>
      <c r="H3856" t="s">
        <v>20854</v>
      </c>
      <c r="J3856" t="s">
        <v>20855</v>
      </c>
      <c r="L3856" t="s">
        <v>142</v>
      </c>
      <c r="M3856" t="s">
        <v>113</v>
      </c>
      <c r="R3856" t="s">
        <v>20856</v>
      </c>
      <c r="W3856" t="s">
        <v>20853</v>
      </c>
      <c r="X3856" t="s">
        <v>216</v>
      </c>
      <c r="Y3856" t="s">
        <v>116</v>
      </c>
      <c r="Z3856" t="s">
        <v>117</v>
      </c>
      <c r="AA3856" t="str">
        <f>"14222-2006"</f>
        <v>14222-2006</v>
      </c>
      <c r="AB3856" t="s">
        <v>118</v>
      </c>
      <c r="AC3856" t="s">
        <v>119</v>
      </c>
      <c r="AD3856" t="s">
        <v>113</v>
      </c>
      <c r="AE3856" t="s">
        <v>120</v>
      </c>
      <c r="AG3856" t="s">
        <v>121</v>
      </c>
    </row>
    <row r="3857" spans="3:33" x14ac:dyDescent="0.25">
      <c r="C3857" t="s">
        <v>968</v>
      </c>
      <c r="G3857" t="s">
        <v>968</v>
      </c>
      <c r="J3857" t="s">
        <v>352</v>
      </c>
      <c r="K3857" t="s">
        <v>303</v>
      </c>
      <c r="L3857" t="s">
        <v>3095</v>
      </c>
      <c r="M3857" t="s">
        <v>113</v>
      </c>
      <c r="AC3857" t="s">
        <v>119</v>
      </c>
      <c r="AD3857" t="s">
        <v>113</v>
      </c>
      <c r="AE3857" t="s">
        <v>3098</v>
      </c>
      <c r="AG3857" t="s">
        <v>121</v>
      </c>
    </row>
    <row r="3858" spans="3:33" x14ac:dyDescent="0.25">
      <c r="C3858" t="s">
        <v>9309</v>
      </c>
      <c r="G3858" t="s">
        <v>9309</v>
      </c>
      <c r="J3858" t="s">
        <v>352</v>
      </c>
      <c r="K3858" t="s">
        <v>303</v>
      </c>
      <c r="L3858" t="s">
        <v>3095</v>
      </c>
      <c r="M3858" t="s">
        <v>113</v>
      </c>
      <c r="AC3858" t="s">
        <v>119</v>
      </c>
      <c r="AD3858" t="s">
        <v>113</v>
      </c>
      <c r="AE3858" t="s">
        <v>3098</v>
      </c>
      <c r="AG3858" t="s">
        <v>121</v>
      </c>
    </row>
    <row r="3859" spans="3:33" x14ac:dyDescent="0.25">
      <c r="C3859" t="s">
        <v>20857</v>
      </c>
      <c r="G3859" t="s">
        <v>20857</v>
      </c>
      <c r="J3859" t="s">
        <v>352</v>
      </c>
      <c r="K3859" t="s">
        <v>303</v>
      </c>
      <c r="L3859" t="s">
        <v>3095</v>
      </c>
      <c r="M3859" t="s">
        <v>113</v>
      </c>
      <c r="AC3859" t="s">
        <v>119</v>
      </c>
      <c r="AD3859" t="s">
        <v>113</v>
      </c>
      <c r="AE3859" t="s">
        <v>3098</v>
      </c>
      <c r="AG3859" t="s">
        <v>121</v>
      </c>
    </row>
    <row r="3860" spans="3:33" x14ac:dyDescent="0.25">
      <c r="C3860" t="s">
        <v>10174</v>
      </c>
      <c r="G3860" t="s">
        <v>10174</v>
      </c>
      <c r="J3860" t="s">
        <v>352</v>
      </c>
      <c r="K3860" t="s">
        <v>303</v>
      </c>
      <c r="L3860" t="s">
        <v>3095</v>
      </c>
      <c r="M3860" t="s">
        <v>113</v>
      </c>
      <c r="AC3860" t="s">
        <v>119</v>
      </c>
      <c r="AD3860" t="s">
        <v>113</v>
      </c>
      <c r="AE3860" t="s">
        <v>3098</v>
      </c>
      <c r="AG3860" t="s">
        <v>121</v>
      </c>
    </row>
    <row r="3861" spans="3:33" x14ac:dyDescent="0.25">
      <c r="C3861" t="s">
        <v>20858</v>
      </c>
      <c r="G3861" t="s">
        <v>20858</v>
      </c>
      <c r="J3861" t="s">
        <v>352</v>
      </c>
      <c r="K3861" t="s">
        <v>303</v>
      </c>
      <c r="L3861" t="s">
        <v>3095</v>
      </c>
      <c r="M3861" t="s">
        <v>113</v>
      </c>
      <c r="AC3861" t="s">
        <v>119</v>
      </c>
      <c r="AD3861" t="s">
        <v>113</v>
      </c>
      <c r="AE3861" t="s">
        <v>3098</v>
      </c>
      <c r="AG3861" t="s">
        <v>121</v>
      </c>
    </row>
    <row r="3862" spans="3:33" x14ac:dyDescent="0.25">
      <c r="C3862" t="s">
        <v>5394</v>
      </c>
      <c r="G3862" t="s">
        <v>5394</v>
      </c>
      <c r="J3862" t="s">
        <v>352</v>
      </c>
      <c r="K3862" t="s">
        <v>303</v>
      </c>
      <c r="L3862" t="s">
        <v>3095</v>
      </c>
      <c r="M3862" t="s">
        <v>113</v>
      </c>
      <c r="AC3862" t="s">
        <v>119</v>
      </c>
      <c r="AD3862" t="s">
        <v>113</v>
      </c>
      <c r="AE3862" t="s">
        <v>3098</v>
      </c>
      <c r="AG3862" t="s">
        <v>121</v>
      </c>
    </row>
    <row r="3863" spans="3:33" x14ac:dyDescent="0.25">
      <c r="C3863" t="s">
        <v>595</v>
      </c>
      <c r="G3863" t="s">
        <v>595</v>
      </c>
      <c r="J3863" t="s">
        <v>352</v>
      </c>
      <c r="K3863" t="s">
        <v>303</v>
      </c>
      <c r="L3863" t="s">
        <v>3095</v>
      </c>
      <c r="M3863" t="s">
        <v>113</v>
      </c>
      <c r="AC3863" t="s">
        <v>119</v>
      </c>
      <c r="AD3863" t="s">
        <v>113</v>
      </c>
      <c r="AE3863" t="s">
        <v>3098</v>
      </c>
      <c r="AG3863" t="s">
        <v>121</v>
      </c>
    </row>
    <row r="3864" spans="3:33" x14ac:dyDescent="0.25">
      <c r="C3864" t="s">
        <v>2269</v>
      </c>
      <c r="G3864" t="s">
        <v>2269</v>
      </c>
      <c r="J3864" t="s">
        <v>352</v>
      </c>
      <c r="K3864" t="s">
        <v>303</v>
      </c>
      <c r="L3864" t="s">
        <v>3095</v>
      </c>
      <c r="M3864" t="s">
        <v>113</v>
      </c>
      <c r="AC3864" t="s">
        <v>119</v>
      </c>
      <c r="AD3864" t="s">
        <v>113</v>
      </c>
      <c r="AE3864" t="s">
        <v>3098</v>
      </c>
      <c r="AG3864" t="s">
        <v>121</v>
      </c>
    </row>
    <row r="3865" spans="3:33" x14ac:dyDescent="0.25">
      <c r="C3865" t="s">
        <v>11294</v>
      </c>
      <c r="G3865" t="s">
        <v>11294</v>
      </c>
      <c r="J3865" t="s">
        <v>11295</v>
      </c>
      <c r="K3865" t="s">
        <v>303</v>
      </c>
      <c r="L3865" t="s">
        <v>3095</v>
      </c>
      <c r="M3865" t="s">
        <v>113</v>
      </c>
      <c r="AC3865" t="s">
        <v>119</v>
      </c>
      <c r="AD3865" t="s">
        <v>113</v>
      </c>
      <c r="AE3865" t="s">
        <v>3098</v>
      </c>
      <c r="AG3865" t="s">
        <v>121</v>
      </c>
    </row>
    <row r="3866" spans="3:33" x14ac:dyDescent="0.25">
      <c r="C3866" t="s">
        <v>20859</v>
      </c>
      <c r="K3866" t="s">
        <v>303</v>
      </c>
      <c r="L3866" t="s">
        <v>3095</v>
      </c>
      <c r="M3866" t="s">
        <v>113</v>
      </c>
      <c r="AC3866" t="s">
        <v>119</v>
      </c>
      <c r="AD3866" t="s">
        <v>113</v>
      </c>
      <c r="AE3866" t="s">
        <v>3098</v>
      </c>
      <c r="AG3866" t="s">
        <v>121</v>
      </c>
    </row>
    <row r="3867" spans="3:33" x14ac:dyDescent="0.25">
      <c r="C3867" t="s">
        <v>20860</v>
      </c>
      <c r="G3867" t="s">
        <v>20861</v>
      </c>
      <c r="H3867" t="s">
        <v>20862</v>
      </c>
      <c r="J3867" t="s">
        <v>20863</v>
      </c>
      <c r="K3867" t="s">
        <v>303</v>
      </c>
      <c r="L3867" t="s">
        <v>3095</v>
      </c>
      <c r="M3867" t="s">
        <v>113</v>
      </c>
      <c r="AC3867" t="s">
        <v>119</v>
      </c>
      <c r="AD3867" t="s">
        <v>113</v>
      </c>
      <c r="AE3867" t="s">
        <v>3098</v>
      </c>
      <c r="AG3867" t="s">
        <v>121</v>
      </c>
    </row>
    <row r="3868" spans="3:33" x14ac:dyDescent="0.25">
      <c r="C3868" t="s">
        <v>20864</v>
      </c>
      <c r="G3868" t="s">
        <v>20864</v>
      </c>
      <c r="J3868" t="s">
        <v>20865</v>
      </c>
      <c r="K3868" t="s">
        <v>303</v>
      </c>
      <c r="L3868" t="s">
        <v>3095</v>
      </c>
      <c r="M3868" t="s">
        <v>113</v>
      </c>
      <c r="AC3868" t="s">
        <v>119</v>
      </c>
      <c r="AD3868" t="s">
        <v>113</v>
      </c>
      <c r="AE3868" t="s">
        <v>3098</v>
      </c>
      <c r="AG3868" t="s">
        <v>121</v>
      </c>
    </row>
    <row r="3869" spans="3:33" x14ac:dyDescent="0.25">
      <c r="C3869" t="s">
        <v>20866</v>
      </c>
      <c r="G3869" t="s">
        <v>20866</v>
      </c>
      <c r="J3869" t="s">
        <v>1774</v>
      </c>
      <c r="K3869" t="s">
        <v>303</v>
      </c>
      <c r="L3869" t="s">
        <v>3095</v>
      </c>
      <c r="M3869" t="s">
        <v>113</v>
      </c>
      <c r="AC3869" t="s">
        <v>119</v>
      </c>
      <c r="AD3869" t="s">
        <v>113</v>
      </c>
      <c r="AE3869" t="s">
        <v>3098</v>
      </c>
      <c r="AG3869" t="s">
        <v>121</v>
      </c>
    </row>
    <row r="3870" spans="3:33" x14ac:dyDescent="0.25">
      <c r="C3870" t="s">
        <v>4131</v>
      </c>
      <c r="G3870" t="s">
        <v>4131</v>
      </c>
      <c r="J3870" t="s">
        <v>4133</v>
      </c>
      <c r="K3870" t="s">
        <v>303</v>
      </c>
      <c r="L3870" t="s">
        <v>3095</v>
      </c>
      <c r="M3870" t="s">
        <v>113</v>
      </c>
      <c r="AC3870" t="s">
        <v>119</v>
      </c>
      <c r="AD3870" t="s">
        <v>113</v>
      </c>
      <c r="AE3870" t="s">
        <v>3098</v>
      </c>
      <c r="AG3870" t="s">
        <v>121</v>
      </c>
    </row>
    <row r="3871" spans="3:33" x14ac:dyDescent="0.25">
      <c r="C3871" t="s">
        <v>20867</v>
      </c>
      <c r="G3871" t="s">
        <v>20868</v>
      </c>
      <c r="H3871" t="s">
        <v>20869</v>
      </c>
      <c r="I3871">
        <v>308</v>
      </c>
      <c r="J3871" t="s">
        <v>20870</v>
      </c>
      <c r="K3871" t="s">
        <v>303</v>
      </c>
      <c r="L3871" t="s">
        <v>3095</v>
      </c>
      <c r="M3871" t="s">
        <v>113</v>
      </c>
      <c r="AC3871" t="s">
        <v>119</v>
      </c>
      <c r="AD3871" t="s">
        <v>113</v>
      </c>
      <c r="AE3871" t="s">
        <v>3098</v>
      </c>
      <c r="AG3871" t="s">
        <v>121</v>
      </c>
    </row>
    <row r="3872" spans="3:33" x14ac:dyDescent="0.25">
      <c r="C3872" t="s">
        <v>20871</v>
      </c>
      <c r="G3872" t="s">
        <v>20872</v>
      </c>
      <c r="H3872" t="s">
        <v>20873</v>
      </c>
      <c r="J3872" t="s">
        <v>20874</v>
      </c>
      <c r="K3872" t="s">
        <v>303</v>
      </c>
      <c r="L3872" t="s">
        <v>3095</v>
      </c>
      <c r="M3872" t="s">
        <v>113</v>
      </c>
      <c r="AC3872" t="s">
        <v>119</v>
      </c>
      <c r="AD3872" t="s">
        <v>113</v>
      </c>
      <c r="AE3872" t="s">
        <v>3098</v>
      </c>
      <c r="AG3872" t="s">
        <v>121</v>
      </c>
    </row>
    <row r="3873" spans="1:33" x14ac:dyDescent="0.25">
      <c r="C3873" t="s">
        <v>20875</v>
      </c>
      <c r="G3873" t="s">
        <v>20082</v>
      </c>
      <c r="H3873" t="s">
        <v>1600</v>
      </c>
      <c r="J3873" t="s">
        <v>20083</v>
      </c>
      <c r="K3873" t="s">
        <v>303</v>
      </c>
      <c r="L3873" t="s">
        <v>3095</v>
      </c>
      <c r="M3873" t="s">
        <v>113</v>
      </c>
      <c r="N3873" t="s">
        <v>20876</v>
      </c>
      <c r="O3873" t="s">
        <v>3097</v>
      </c>
      <c r="P3873" t="s">
        <v>117</v>
      </c>
      <c r="Q3873" t="str">
        <f>"14216"</f>
        <v>14216</v>
      </c>
      <c r="AC3873" t="s">
        <v>119</v>
      </c>
      <c r="AD3873" t="s">
        <v>113</v>
      </c>
      <c r="AE3873" t="s">
        <v>3098</v>
      </c>
      <c r="AG3873" t="s">
        <v>121</v>
      </c>
    </row>
    <row r="3874" spans="1:33" x14ac:dyDescent="0.25">
      <c r="C3874" t="s">
        <v>20877</v>
      </c>
      <c r="G3874" t="s">
        <v>20082</v>
      </c>
      <c r="H3874" t="s">
        <v>1600</v>
      </c>
      <c r="J3874" t="s">
        <v>20083</v>
      </c>
      <c r="K3874" t="s">
        <v>303</v>
      </c>
      <c r="L3874" t="s">
        <v>3095</v>
      </c>
      <c r="M3874" t="s">
        <v>113</v>
      </c>
      <c r="N3874" t="s">
        <v>20876</v>
      </c>
      <c r="O3874" t="s">
        <v>3097</v>
      </c>
      <c r="P3874" t="s">
        <v>117</v>
      </c>
      <c r="Q3874" t="str">
        <f>"14216"</f>
        <v>14216</v>
      </c>
      <c r="AC3874" t="s">
        <v>119</v>
      </c>
      <c r="AD3874" t="s">
        <v>113</v>
      </c>
      <c r="AE3874" t="s">
        <v>3098</v>
      </c>
      <c r="AG3874" t="s">
        <v>121</v>
      </c>
    </row>
    <row r="3875" spans="1:33" x14ac:dyDescent="0.25">
      <c r="C3875" t="s">
        <v>20878</v>
      </c>
      <c r="G3875" t="s">
        <v>20082</v>
      </c>
      <c r="H3875" t="s">
        <v>1600</v>
      </c>
      <c r="J3875" t="s">
        <v>20083</v>
      </c>
      <c r="K3875" t="s">
        <v>303</v>
      </c>
      <c r="L3875" t="s">
        <v>3095</v>
      </c>
      <c r="M3875" t="s">
        <v>113</v>
      </c>
      <c r="N3875" t="s">
        <v>20879</v>
      </c>
      <c r="O3875" t="s">
        <v>3097</v>
      </c>
      <c r="P3875" t="s">
        <v>117</v>
      </c>
      <c r="Q3875" t="str">
        <f>"14216"</f>
        <v>14216</v>
      </c>
      <c r="AC3875" t="s">
        <v>119</v>
      </c>
      <c r="AD3875" t="s">
        <v>113</v>
      </c>
      <c r="AE3875" t="s">
        <v>3098</v>
      </c>
      <c r="AG3875" t="s">
        <v>121</v>
      </c>
    </row>
    <row r="3876" spans="1:33" x14ac:dyDescent="0.25">
      <c r="C3876" t="s">
        <v>20880</v>
      </c>
      <c r="G3876" t="s">
        <v>20082</v>
      </c>
      <c r="H3876" t="s">
        <v>1600</v>
      </c>
      <c r="J3876" t="s">
        <v>20083</v>
      </c>
      <c r="K3876" t="s">
        <v>303</v>
      </c>
      <c r="L3876" t="s">
        <v>3095</v>
      </c>
      <c r="M3876" t="s">
        <v>113</v>
      </c>
      <c r="N3876" t="s">
        <v>20881</v>
      </c>
      <c r="O3876" t="s">
        <v>20882</v>
      </c>
      <c r="P3876" t="s">
        <v>117</v>
      </c>
      <c r="Q3876" t="str">
        <f>"14150"</f>
        <v>14150</v>
      </c>
      <c r="AC3876" t="s">
        <v>119</v>
      </c>
      <c r="AD3876" t="s">
        <v>113</v>
      </c>
      <c r="AE3876" t="s">
        <v>3098</v>
      </c>
      <c r="AG3876" t="s">
        <v>121</v>
      </c>
    </row>
    <row r="3877" spans="1:33" x14ac:dyDescent="0.25">
      <c r="A3877" t="str">
        <f>"1275715625"</f>
        <v>1275715625</v>
      </c>
      <c r="B3877" t="str">
        <f>"01177682"</f>
        <v>01177682</v>
      </c>
      <c r="C3877" t="s">
        <v>20079</v>
      </c>
      <c r="D3877" t="s">
        <v>20883</v>
      </c>
      <c r="E3877" t="s">
        <v>20884</v>
      </c>
      <c r="F3877">
        <v>160975538</v>
      </c>
      <c r="G3877" t="s">
        <v>20082</v>
      </c>
      <c r="H3877" t="s">
        <v>1600</v>
      </c>
      <c r="J3877" t="s">
        <v>20083</v>
      </c>
      <c r="L3877" t="s">
        <v>69</v>
      </c>
      <c r="M3877" t="s">
        <v>199</v>
      </c>
      <c r="R3877" t="s">
        <v>1578</v>
      </c>
      <c r="W3877" t="s">
        <v>20884</v>
      </c>
      <c r="X3877" t="s">
        <v>20885</v>
      </c>
      <c r="Y3877" t="s">
        <v>326</v>
      </c>
      <c r="Z3877" t="s">
        <v>117</v>
      </c>
      <c r="AA3877" t="str">
        <f>"14127-1963"</f>
        <v>14127-1963</v>
      </c>
      <c r="AB3877" t="s">
        <v>282</v>
      </c>
      <c r="AC3877" t="s">
        <v>119</v>
      </c>
      <c r="AD3877" t="s">
        <v>113</v>
      </c>
      <c r="AE3877" t="s">
        <v>120</v>
      </c>
      <c r="AG3877" t="s">
        <v>121</v>
      </c>
    </row>
    <row r="3878" spans="1:33" x14ac:dyDescent="0.25">
      <c r="C3878" t="s">
        <v>20886</v>
      </c>
      <c r="G3878" t="s">
        <v>20082</v>
      </c>
      <c r="H3878" t="s">
        <v>1600</v>
      </c>
      <c r="J3878" t="s">
        <v>20083</v>
      </c>
      <c r="K3878" t="s">
        <v>303</v>
      </c>
      <c r="L3878" t="s">
        <v>3095</v>
      </c>
      <c r="M3878" t="s">
        <v>113</v>
      </c>
      <c r="N3878" t="s">
        <v>20887</v>
      </c>
      <c r="O3878" t="s">
        <v>20888</v>
      </c>
      <c r="P3878" t="s">
        <v>117</v>
      </c>
      <c r="Q3878" t="str">
        <f>"14207"</f>
        <v>14207</v>
      </c>
      <c r="AC3878" t="s">
        <v>119</v>
      </c>
      <c r="AD3878" t="s">
        <v>113</v>
      </c>
      <c r="AE3878" t="s">
        <v>3098</v>
      </c>
      <c r="AG3878" t="s">
        <v>121</v>
      </c>
    </row>
    <row r="3879" spans="1:33" x14ac:dyDescent="0.25">
      <c r="C3879" t="s">
        <v>20889</v>
      </c>
      <c r="G3879" t="s">
        <v>20082</v>
      </c>
      <c r="H3879" t="s">
        <v>1600</v>
      </c>
      <c r="J3879" t="s">
        <v>20083</v>
      </c>
      <c r="K3879" t="s">
        <v>303</v>
      </c>
      <c r="L3879" t="s">
        <v>3095</v>
      </c>
      <c r="M3879" t="s">
        <v>113</v>
      </c>
      <c r="N3879" t="s">
        <v>20890</v>
      </c>
      <c r="O3879" t="s">
        <v>20891</v>
      </c>
      <c r="P3879" t="s">
        <v>117</v>
      </c>
      <c r="Q3879" t="str">
        <f>"14026"</f>
        <v>14026</v>
      </c>
      <c r="AC3879" t="s">
        <v>119</v>
      </c>
      <c r="AD3879" t="s">
        <v>113</v>
      </c>
      <c r="AE3879" t="s">
        <v>3098</v>
      </c>
      <c r="AG3879" t="s">
        <v>121</v>
      </c>
    </row>
    <row r="3880" spans="1:33" x14ac:dyDescent="0.25">
      <c r="A3880" t="str">
        <f>"1992846828"</f>
        <v>1992846828</v>
      </c>
      <c r="B3880" t="str">
        <f>"01681832"</f>
        <v>01681832</v>
      </c>
      <c r="C3880" t="s">
        <v>20892</v>
      </c>
      <c r="D3880" t="s">
        <v>20893</v>
      </c>
      <c r="E3880" t="s">
        <v>20894</v>
      </c>
      <c r="G3880" t="s">
        <v>330</v>
      </c>
      <c r="H3880" t="s">
        <v>7255</v>
      </c>
      <c r="J3880" t="s">
        <v>332</v>
      </c>
      <c r="L3880" t="s">
        <v>150</v>
      </c>
      <c r="M3880" t="s">
        <v>113</v>
      </c>
      <c r="R3880" t="s">
        <v>20895</v>
      </c>
      <c r="W3880" t="s">
        <v>20894</v>
      </c>
      <c r="X3880" t="s">
        <v>20896</v>
      </c>
      <c r="Y3880" t="s">
        <v>240</v>
      </c>
      <c r="Z3880" t="s">
        <v>117</v>
      </c>
      <c r="AA3880" t="str">
        <f>"14221-6315"</f>
        <v>14221-6315</v>
      </c>
      <c r="AB3880" t="s">
        <v>118</v>
      </c>
      <c r="AC3880" t="s">
        <v>119</v>
      </c>
      <c r="AD3880" t="s">
        <v>113</v>
      </c>
      <c r="AE3880" t="s">
        <v>120</v>
      </c>
      <c r="AG3880" t="s">
        <v>121</v>
      </c>
    </row>
    <row r="3881" spans="1:33" x14ac:dyDescent="0.25">
      <c r="A3881" t="str">
        <f>"1992859961"</f>
        <v>1992859961</v>
      </c>
      <c r="B3881" t="str">
        <f>"02774990"</f>
        <v>02774990</v>
      </c>
      <c r="C3881" t="s">
        <v>20897</v>
      </c>
      <c r="D3881" t="s">
        <v>20898</v>
      </c>
      <c r="E3881" t="s">
        <v>20899</v>
      </c>
      <c r="G3881" t="s">
        <v>20900</v>
      </c>
      <c r="H3881" t="s">
        <v>10842</v>
      </c>
      <c r="J3881" t="s">
        <v>20901</v>
      </c>
      <c r="L3881" t="s">
        <v>229</v>
      </c>
      <c r="M3881" t="s">
        <v>113</v>
      </c>
      <c r="R3881" t="s">
        <v>20902</v>
      </c>
      <c r="W3881" t="s">
        <v>20899</v>
      </c>
      <c r="X3881" t="s">
        <v>474</v>
      </c>
      <c r="Y3881" t="s">
        <v>116</v>
      </c>
      <c r="Z3881" t="s">
        <v>117</v>
      </c>
      <c r="AA3881" t="str">
        <f>"14214-1316"</f>
        <v>14214-1316</v>
      </c>
      <c r="AB3881" t="s">
        <v>621</v>
      </c>
      <c r="AC3881" t="s">
        <v>119</v>
      </c>
      <c r="AD3881" t="s">
        <v>113</v>
      </c>
      <c r="AE3881" t="s">
        <v>120</v>
      </c>
      <c r="AG3881" t="s">
        <v>121</v>
      </c>
    </row>
    <row r="3882" spans="1:33" x14ac:dyDescent="0.25">
      <c r="C3882" t="s">
        <v>20903</v>
      </c>
      <c r="G3882" t="s">
        <v>20904</v>
      </c>
      <c r="H3882" t="s">
        <v>20905</v>
      </c>
      <c r="J3882" t="s">
        <v>20905</v>
      </c>
      <c r="K3882" t="s">
        <v>303</v>
      </c>
      <c r="L3882" t="s">
        <v>3095</v>
      </c>
      <c r="M3882" t="s">
        <v>113</v>
      </c>
      <c r="AC3882" t="s">
        <v>119</v>
      </c>
      <c r="AD3882" t="s">
        <v>113</v>
      </c>
      <c r="AE3882" t="s">
        <v>3098</v>
      </c>
      <c r="AG3882" t="s">
        <v>121</v>
      </c>
    </row>
    <row r="3883" spans="1:33" x14ac:dyDescent="0.25">
      <c r="A3883" t="str">
        <f>"1891845467"</f>
        <v>1891845467</v>
      </c>
      <c r="B3883" t="str">
        <f>"02832933"</f>
        <v>02832933</v>
      </c>
      <c r="C3883" t="s">
        <v>20906</v>
      </c>
      <c r="D3883" t="s">
        <v>20907</v>
      </c>
      <c r="E3883" t="s">
        <v>20908</v>
      </c>
      <c r="G3883" t="s">
        <v>20140</v>
      </c>
      <c r="H3883" t="s">
        <v>20141</v>
      </c>
      <c r="J3883" t="s">
        <v>20142</v>
      </c>
      <c r="L3883" t="s">
        <v>112</v>
      </c>
      <c r="M3883" t="s">
        <v>113</v>
      </c>
      <c r="R3883" t="s">
        <v>20909</v>
      </c>
      <c r="W3883" t="s">
        <v>20908</v>
      </c>
      <c r="X3883" t="s">
        <v>3792</v>
      </c>
      <c r="Y3883" t="s">
        <v>3793</v>
      </c>
      <c r="Z3883" t="s">
        <v>117</v>
      </c>
      <c r="AA3883" t="str">
        <f>"14042-9501"</f>
        <v>14042-9501</v>
      </c>
      <c r="AB3883" t="s">
        <v>634</v>
      </c>
      <c r="AC3883" t="s">
        <v>119</v>
      </c>
      <c r="AD3883" t="s">
        <v>113</v>
      </c>
      <c r="AE3883" t="s">
        <v>120</v>
      </c>
      <c r="AG3883" t="s">
        <v>121</v>
      </c>
    </row>
    <row r="3884" spans="1:33" x14ac:dyDescent="0.25">
      <c r="A3884" t="str">
        <f>"1811145774"</f>
        <v>1811145774</v>
      </c>
      <c r="B3884" t="str">
        <f>"03343139"</f>
        <v>03343139</v>
      </c>
      <c r="C3884" t="s">
        <v>20910</v>
      </c>
      <c r="D3884" t="s">
        <v>20911</v>
      </c>
      <c r="E3884" t="s">
        <v>20912</v>
      </c>
      <c r="G3884" t="s">
        <v>20140</v>
      </c>
      <c r="H3884" t="s">
        <v>20141</v>
      </c>
      <c r="J3884" t="s">
        <v>20142</v>
      </c>
      <c r="L3884" t="s">
        <v>112</v>
      </c>
      <c r="M3884" t="s">
        <v>113</v>
      </c>
      <c r="R3884" t="s">
        <v>20913</v>
      </c>
      <c r="W3884" t="s">
        <v>20914</v>
      </c>
      <c r="X3884" t="s">
        <v>1098</v>
      </c>
      <c r="Y3884" t="s">
        <v>305</v>
      </c>
      <c r="Z3884" t="s">
        <v>117</v>
      </c>
      <c r="AA3884" t="str">
        <f>"14760-1513"</f>
        <v>14760-1513</v>
      </c>
      <c r="AB3884" t="s">
        <v>634</v>
      </c>
      <c r="AC3884" t="s">
        <v>119</v>
      </c>
      <c r="AD3884" t="s">
        <v>113</v>
      </c>
      <c r="AE3884" t="s">
        <v>120</v>
      </c>
      <c r="AG3884" t="s">
        <v>121</v>
      </c>
    </row>
    <row r="3885" spans="1:33" x14ac:dyDescent="0.25">
      <c r="A3885" t="str">
        <f>"1659372035"</f>
        <v>1659372035</v>
      </c>
      <c r="B3885" t="str">
        <f>"00604480"</f>
        <v>00604480</v>
      </c>
      <c r="C3885" t="s">
        <v>20915</v>
      </c>
      <c r="D3885" t="s">
        <v>20916</v>
      </c>
      <c r="E3885" t="s">
        <v>20917</v>
      </c>
      <c r="G3885" t="s">
        <v>20918</v>
      </c>
      <c r="H3885" t="s">
        <v>4594</v>
      </c>
      <c r="J3885" t="s">
        <v>1818</v>
      </c>
      <c r="L3885" t="s">
        <v>142</v>
      </c>
      <c r="M3885" t="s">
        <v>113</v>
      </c>
      <c r="R3885" t="s">
        <v>20919</v>
      </c>
      <c r="W3885" t="s">
        <v>20920</v>
      </c>
      <c r="X3885" t="s">
        <v>518</v>
      </c>
      <c r="Y3885" t="s">
        <v>305</v>
      </c>
      <c r="Z3885" t="s">
        <v>117</v>
      </c>
      <c r="AA3885" t="str">
        <f t="shared" ref="AA3885:AA3890" si="3">"14760-1500"</f>
        <v>14760-1500</v>
      </c>
      <c r="AB3885" t="s">
        <v>118</v>
      </c>
      <c r="AC3885" t="s">
        <v>119</v>
      </c>
      <c r="AD3885" t="s">
        <v>113</v>
      </c>
      <c r="AE3885" t="s">
        <v>120</v>
      </c>
      <c r="AG3885" t="s">
        <v>121</v>
      </c>
    </row>
    <row r="3886" spans="1:33" x14ac:dyDescent="0.25">
      <c r="A3886" t="str">
        <f>"1225020738"</f>
        <v>1225020738</v>
      </c>
      <c r="B3886" t="str">
        <f>"00637352"</f>
        <v>00637352</v>
      </c>
      <c r="C3886" t="s">
        <v>20921</v>
      </c>
      <c r="D3886" t="s">
        <v>20922</v>
      </c>
      <c r="E3886" t="s">
        <v>20923</v>
      </c>
      <c r="G3886" t="s">
        <v>20918</v>
      </c>
      <c r="H3886" t="s">
        <v>4594</v>
      </c>
      <c r="J3886" t="s">
        <v>1818</v>
      </c>
      <c r="L3886" t="s">
        <v>142</v>
      </c>
      <c r="M3886" t="s">
        <v>113</v>
      </c>
      <c r="R3886" t="s">
        <v>20924</v>
      </c>
      <c r="W3886" t="s">
        <v>20924</v>
      </c>
      <c r="X3886" t="s">
        <v>518</v>
      </c>
      <c r="Y3886" t="s">
        <v>305</v>
      </c>
      <c r="Z3886" t="s">
        <v>117</v>
      </c>
      <c r="AA3886" t="str">
        <f t="shared" si="3"/>
        <v>14760-1500</v>
      </c>
      <c r="AB3886" t="s">
        <v>118</v>
      </c>
      <c r="AC3886" t="s">
        <v>119</v>
      </c>
      <c r="AD3886" t="s">
        <v>113</v>
      </c>
      <c r="AE3886" t="s">
        <v>120</v>
      </c>
      <c r="AG3886" t="s">
        <v>121</v>
      </c>
    </row>
    <row r="3887" spans="1:33" x14ac:dyDescent="0.25">
      <c r="A3887" t="str">
        <f>"1871747097"</f>
        <v>1871747097</v>
      </c>
      <c r="B3887" t="str">
        <f>"03946756"</f>
        <v>03946756</v>
      </c>
      <c r="C3887" t="s">
        <v>20925</v>
      </c>
      <c r="D3887" t="s">
        <v>20926</v>
      </c>
      <c r="E3887" t="s">
        <v>20927</v>
      </c>
      <c r="G3887" t="s">
        <v>20918</v>
      </c>
      <c r="H3887" t="s">
        <v>4594</v>
      </c>
      <c r="J3887" t="s">
        <v>1818</v>
      </c>
      <c r="L3887" t="s">
        <v>142</v>
      </c>
      <c r="M3887" t="s">
        <v>113</v>
      </c>
      <c r="R3887" t="s">
        <v>20927</v>
      </c>
      <c r="W3887" t="s">
        <v>20927</v>
      </c>
      <c r="X3887" t="s">
        <v>518</v>
      </c>
      <c r="Y3887" t="s">
        <v>305</v>
      </c>
      <c r="Z3887" t="s">
        <v>117</v>
      </c>
      <c r="AA3887" t="str">
        <f t="shared" si="3"/>
        <v>14760-1500</v>
      </c>
      <c r="AB3887" t="s">
        <v>118</v>
      </c>
      <c r="AC3887" t="s">
        <v>119</v>
      </c>
      <c r="AD3887" t="s">
        <v>113</v>
      </c>
      <c r="AE3887" t="s">
        <v>120</v>
      </c>
      <c r="AG3887" t="s">
        <v>121</v>
      </c>
    </row>
    <row r="3888" spans="1:33" x14ac:dyDescent="0.25">
      <c r="A3888" t="str">
        <f>"1093714230"</f>
        <v>1093714230</v>
      </c>
      <c r="B3888" t="str">
        <f>"00762327"</f>
        <v>00762327</v>
      </c>
      <c r="C3888" t="s">
        <v>20928</v>
      </c>
      <c r="D3888" t="s">
        <v>20929</v>
      </c>
      <c r="E3888" t="s">
        <v>20930</v>
      </c>
      <c r="G3888" t="s">
        <v>20918</v>
      </c>
      <c r="H3888" t="s">
        <v>4594</v>
      </c>
      <c r="J3888" t="s">
        <v>1818</v>
      </c>
      <c r="L3888" t="s">
        <v>142</v>
      </c>
      <c r="M3888" t="s">
        <v>113</v>
      </c>
      <c r="R3888" t="s">
        <v>20931</v>
      </c>
      <c r="W3888" t="s">
        <v>20932</v>
      </c>
      <c r="X3888" t="s">
        <v>518</v>
      </c>
      <c r="Y3888" t="s">
        <v>305</v>
      </c>
      <c r="Z3888" t="s">
        <v>117</v>
      </c>
      <c r="AA3888" t="str">
        <f t="shared" si="3"/>
        <v>14760-1500</v>
      </c>
      <c r="AB3888" t="s">
        <v>118</v>
      </c>
      <c r="AC3888" t="s">
        <v>119</v>
      </c>
      <c r="AD3888" t="s">
        <v>113</v>
      </c>
      <c r="AE3888" t="s">
        <v>120</v>
      </c>
      <c r="AG3888" t="s">
        <v>121</v>
      </c>
    </row>
    <row r="3889" spans="1:33" x14ac:dyDescent="0.25">
      <c r="A3889" t="str">
        <f>"1174859300"</f>
        <v>1174859300</v>
      </c>
      <c r="B3889" t="str">
        <f>"03176689"</f>
        <v>03176689</v>
      </c>
      <c r="C3889" t="s">
        <v>20933</v>
      </c>
      <c r="D3889" t="s">
        <v>20934</v>
      </c>
      <c r="E3889" t="s">
        <v>20935</v>
      </c>
      <c r="G3889" t="s">
        <v>20918</v>
      </c>
      <c r="H3889" t="s">
        <v>4594</v>
      </c>
      <c r="J3889" t="s">
        <v>1818</v>
      </c>
      <c r="L3889" t="s">
        <v>142</v>
      </c>
      <c r="M3889" t="s">
        <v>113</v>
      </c>
      <c r="R3889" t="s">
        <v>20936</v>
      </c>
      <c r="W3889" t="s">
        <v>20936</v>
      </c>
      <c r="X3889" t="s">
        <v>518</v>
      </c>
      <c r="Y3889" t="s">
        <v>305</v>
      </c>
      <c r="Z3889" t="s">
        <v>117</v>
      </c>
      <c r="AA3889" t="str">
        <f t="shared" si="3"/>
        <v>14760-1500</v>
      </c>
      <c r="AB3889" t="s">
        <v>118</v>
      </c>
      <c r="AC3889" t="s">
        <v>119</v>
      </c>
      <c r="AD3889" t="s">
        <v>113</v>
      </c>
      <c r="AE3889" t="s">
        <v>120</v>
      </c>
      <c r="AG3889" t="s">
        <v>121</v>
      </c>
    </row>
    <row r="3890" spans="1:33" x14ac:dyDescent="0.25">
      <c r="A3890" t="str">
        <f>"1467435453"</f>
        <v>1467435453</v>
      </c>
      <c r="B3890" t="str">
        <f>"02651545"</f>
        <v>02651545</v>
      </c>
      <c r="C3890" t="s">
        <v>20937</v>
      </c>
      <c r="D3890" t="s">
        <v>20938</v>
      </c>
      <c r="E3890" t="s">
        <v>20939</v>
      </c>
      <c r="G3890" t="s">
        <v>20918</v>
      </c>
      <c r="H3890" t="s">
        <v>4594</v>
      </c>
      <c r="J3890" t="s">
        <v>1818</v>
      </c>
      <c r="L3890" t="s">
        <v>142</v>
      </c>
      <c r="M3890" t="s">
        <v>113</v>
      </c>
      <c r="R3890" t="s">
        <v>20940</v>
      </c>
      <c r="W3890" t="s">
        <v>20939</v>
      </c>
      <c r="X3890" t="s">
        <v>518</v>
      </c>
      <c r="Y3890" t="s">
        <v>305</v>
      </c>
      <c r="Z3890" t="s">
        <v>117</v>
      </c>
      <c r="AA3890" t="str">
        <f t="shared" si="3"/>
        <v>14760-1500</v>
      </c>
      <c r="AB3890" t="s">
        <v>118</v>
      </c>
      <c r="AC3890" t="s">
        <v>119</v>
      </c>
      <c r="AD3890" t="s">
        <v>113</v>
      </c>
      <c r="AE3890" t="s">
        <v>120</v>
      </c>
      <c r="AG3890" t="s">
        <v>121</v>
      </c>
    </row>
    <row r="3891" spans="1:33" x14ac:dyDescent="0.25">
      <c r="A3891" t="str">
        <f>"1851383327"</f>
        <v>1851383327</v>
      </c>
      <c r="B3891" t="str">
        <f>"01271714"</f>
        <v>01271714</v>
      </c>
      <c r="C3891" t="s">
        <v>20941</v>
      </c>
      <c r="D3891" t="s">
        <v>20942</v>
      </c>
      <c r="E3891" t="s">
        <v>20943</v>
      </c>
      <c r="G3891" t="s">
        <v>20918</v>
      </c>
      <c r="H3891" t="s">
        <v>4594</v>
      </c>
      <c r="J3891" t="s">
        <v>1818</v>
      </c>
      <c r="L3891" t="s">
        <v>142</v>
      </c>
      <c r="M3891" t="s">
        <v>113</v>
      </c>
      <c r="R3891" t="s">
        <v>20944</v>
      </c>
      <c r="W3891" t="s">
        <v>20945</v>
      </c>
      <c r="X3891" t="s">
        <v>20946</v>
      </c>
      <c r="Y3891" t="s">
        <v>20947</v>
      </c>
      <c r="Z3891" t="s">
        <v>117</v>
      </c>
      <c r="AA3891" t="str">
        <f>"14813-1015"</f>
        <v>14813-1015</v>
      </c>
      <c r="AB3891" t="s">
        <v>118</v>
      </c>
      <c r="AC3891" t="s">
        <v>119</v>
      </c>
      <c r="AD3891" t="s">
        <v>113</v>
      </c>
      <c r="AE3891" t="s">
        <v>120</v>
      </c>
      <c r="AG3891" t="s">
        <v>121</v>
      </c>
    </row>
    <row r="3892" spans="1:33" x14ac:dyDescent="0.25">
      <c r="A3892" t="str">
        <f>"1114927084"</f>
        <v>1114927084</v>
      </c>
      <c r="B3892" t="str">
        <f>"01122334"</f>
        <v>01122334</v>
      </c>
      <c r="C3892" t="s">
        <v>20948</v>
      </c>
      <c r="D3892" t="s">
        <v>20949</v>
      </c>
      <c r="E3892" t="s">
        <v>20950</v>
      </c>
      <c r="G3892" t="s">
        <v>20918</v>
      </c>
      <c r="H3892" t="s">
        <v>4594</v>
      </c>
      <c r="J3892" t="s">
        <v>1818</v>
      </c>
      <c r="L3892" t="s">
        <v>112</v>
      </c>
      <c r="M3892" t="s">
        <v>113</v>
      </c>
      <c r="R3892" t="s">
        <v>20951</v>
      </c>
      <c r="W3892" t="s">
        <v>20950</v>
      </c>
      <c r="X3892" t="s">
        <v>518</v>
      </c>
      <c r="Y3892" t="s">
        <v>305</v>
      </c>
      <c r="Z3892" t="s">
        <v>117</v>
      </c>
      <c r="AA3892" t="str">
        <f>"14760-1500"</f>
        <v>14760-1500</v>
      </c>
      <c r="AB3892" t="s">
        <v>223</v>
      </c>
      <c r="AC3892" t="s">
        <v>119</v>
      </c>
      <c r="AD3892" t="s">
        <v>113</v>
      </c>
      <c r="AE3892" t="s">
        <v>120</v>
      </c>
      <c r="AG3892" t="s">
        <v>121</v>
      </c>
    </row>
    <row r="3893" spans="1:33" x14ac:dyDescent="0.25">
      <c r="A3893" t="str">
        <f>"1518966746"</f>
        <v>1518966746</v>
      </c>
      <c r="B3893" t="str">
        <f>"00520705"</f>
        <v>00520705</v>
      </c>
      <c r="C3893" t="s">
        <v>20952</v>
      </c>
      <c r="D3893" t="s">
        <v>20953</v>
      </c>
      <c r="E3893" t="s">
        <v>20954</v>
      </c>
      <c r="G3893" t="s">
        <v>20918</v>
      </c>
      <c r="H3893" t="s">
        <v>4594</v>
      </c>
      <c r="J3893" t="s">
        <v>1818</v>
      </c>
      <c r="L3893" t="s">
        <v>142</v>
      </c>
      <c r="M3893" t="s">
        <v>113</v>
      </c>
      <c r="R3893" t="s">
        <v>20955</v>
      </c>
      <c r="W3893" t="s">
        <v>20954</v>
      </c>
      <c r="X3893" t="s">
        <v>518</v>
      </c>
      <c r="Y3893" t="s">
        <v>305</v>
      </c>
      <c r="Z3893" t="s">
        <v>117</v>
      </c>
      <c r="AA3893" t="str">
        <f>"14760-1500"</f>
        <v>14760-1500</v>
      </c>
      <c r="AB3893" t="s">
        <v>118</v>
      </c>
      <c r="AC3893" t="s">
        <v>119</v>
      </c>
      <c r="AD3893" t="s">
        <v>113</v>
      </c>
      <c r="AE3893" t="s">
        <v>120</v>
      </c>
      <c r="AG3893" t="s">
        <v>121</v>
      </c>
    </row>
    <row r="3894" spans="1:33" x14ac:dyDescent="0.25">
      <c r="A3894" t="str">
        <f>"1265417737"</f>
        <v>1265417737</v>
      </c>
      <c r="B3894" t="str">
        <f>"01071618"</f>
        <v>01071618</v>
      </c>
      <c r="C3894" t="s">
        <v>20956</v>
      </c>
      <c r="D3894" t="s">
        <v>20957</v>
      </c>
      <c r="E3894" t="s">
        <v>20958</v>
      </c>
      <c r="G3894" t="s">
        <v>20918</v>
      </c>
      <c r="H3894" t="s">
        <v>4594</v>
      </c>
      <c r="J3894" t="s">
        <v>1818</v>
      </c>
      <c r="L3894" t="s">
        <v>142</v>
      </c>
      <c r="M3894" t="s">
        <v>113</v>
      </c>
      <c r="R3894" t="s">
        <v>20959</v>
      </c>
      <c r="W3894" t="s">
        <v>20960</v>
      </c>
      <c r="X3894" t="s">
        <v>20961</v>
      </c>
      <c r="Y3894" t="s">
        <v>20201</v>
      </c>
      <c r="Z3894" t="s">
        <v>117</v>
      </c>
      <c r="AA3894" t="str">
        <f>"12801-4449"</f>
        <v>12801-4449</v>
      </c>
      <c r="AB3894" t="s">
        <v>118</v>
      </c>
      <c r="AC3894" t="s">
        <v>119</v>
      </c>
      <c r="AD3894" t="s">
        <v>113</v>
      </c>
      <c r="AE3894" t="s">
        <v>120</v>
      </c>
      <c r="AG3894" t="s">
        <v>121</v>
      </c>
    </row>
    <row r="3895" spans="1:33" x14ac:dyDescent="0.25">
      <c r="A3895" t="str">
        <f>"1528068491"</f>
        <v>1528068491</v>
      </c>
      <c r="B3895" t="str">
        <f>"01122343"</f>
        <v>01122343</v>
      </c>
      <c r="C3895" t="s">
        <v>20962</v>
      </c>
      <c r="D3895" t="s">
        <v>20963</v>
      </c>
      <c r="E3895" t="s">
        <v>20964</v>
      </c>
      <c r="G3895" t="s">
        <v>20918</v>
      </c>
      <c r="H3895" t="s">
        <v>4594</v>
      </c>
      <c r="J3895" t="s">
        <v>1818</v>
      </c>
      <c r="L3895" t="s">
        <v>112</v>
      </c>
      <c r="M3895" t="s">
        <v>113</v>
      </c>
      <c r="R3895" t="s">
        <v>20965</v>
      </c>
      <c r="W3895" t="s">
        <v>20964</v>
      </c>
      <c r="X3895" t="s">
        <v>518</v>
      </c>
      <c r="Y3895" t="s">
        <v>305</v>
      </c>
      <c r="Z3895" t="s">
        <v>117</v>
      </c>
      <c r="AA3895" t="str">
        <f>"14760-1500"</f>
        <v>14760-1500</v>
      </c>
      <c r="AB3895" t="s">
        <v>223</v>
      </c>
      <c r="AC3895" t="s">
        <v>119</v>
      </c>
      <c r="AD3895" t="s">
        <v>113</v>
      </c>
      <c r="AE3895" t="s">
        <v>120</v>
      </c>
      <c r="AG3895" t="s">
        <v>121</v>
      </c>
    </row>
    <row r="3896" spans="1:33" x14ac:dyDescent="0.25">
      <c r="A3896" t="str">
        <f>"1710030853"</f>
        <v>1710030853</v>
      </c>
      <c r="B3896" t="str">
        <f>"03511199"</f>
        <v>03511199</v>
      </c>
      <c r="C3896" t="s">
        <v>20966</v>
      </c>
      <c r="D3896" t="s">
        <v>20967</v>
      </c>
      <c r="E3896" t="s">
        <v>20968</v>
      </c>
      <c r="G3896" t="s">
        <v>20969</v>
      </c>
      <c r="H3896" t="s">
        <v>20970</v>
      </c>
      <c r="J3896" t="s">
        <v>20971</v>
      </c>
      <c r="L3896" t="s">
        <v>142</v>
      </c>
      <c r="M3896" t="s">
        <v>113</v>
      </c>
      <c r="R3896" t="s">
        <v>20972</v>
      </c>
      <c r="W3896" t="s">
        <v>20968</v>
      </c>
      <c r="X3896" t="s">
        <v>10711</v>
      </c>
      <c r="Y3896" t="s">
        <v>2762</v>
      </c>
      <c r="Z3896" t="s">
        <v>117</v>
      </c>
      <c r="AA3896" t="str">
        <f>"14605-2929"</f>
        <v>14605-2929</v>
      </c>
      <c r="AB3896" t="s">
        <v>118</v>
      </c>
      <c r="AC3896" t="s">
        <v>119</v>
      </c>
      <c r="AD3896" t="s">
        <v>113</v>
      </c>
      <c r="AE3896" t="s">
        <v>120</v>
      </c>
      <c r="AG3896" t="s">
        <v>121</v>
      </c>
    </row>
    <row r="3897" spans="1:33" x14ac:dyDescent="0.25">
      <c r="A3897" t="str">
        <f>"1558611814"</f>
        <v>1558611814</v>
      </c>
      <c r="B3897" t="str">
        <f>"03705424"</f>
        <v>03705424</v>
      </c>
      <c r="C3897" t="s">
        <v>20973</v>
      </c>
      <c r="D3897" t="s">
        <v>20974</v>
      </c>
      <c r="E3897" t="s">
        <v>20975</v>
      </c>
      <c r="G3897" t="s">
        <v>20969</v>
      </c>
      <c r="H3897" t="s">
        <v>20970</v>
      </c>
      <c r="J3897" t="s">
        <v>20971</v>
      </c>
      <c r="L3897" t="s">
        <v>142</v>
      </c>
      <c r="M3897" t="s">
        <v>113</v>
      </c>
      <c r="R3897" t="s">
        <v>20976</v>
      </c>
      <c r="W3897" t="s">
        <v>20975</v>
      </c>
      <c r="X3897" t="s">
        <v>20977</v>
      </c>
      <c r="Y3897" t="s">
        <v>20978</v>
      </c>
      <c r="Z3897" t="s">
        <v>117</v>
      </c>
      <c r="AA3897" t="str">
        <f>"14424-2049"</f>
        <v>14424-2049</v>
      </c>
      <c r="AB3897" t="s">
        <v>118</v>
      </c>
      <c r="AC3897" t="s">
        <v>119</v>
      </c>
      <c r="AD3897" t="s">
        <v>113</v>
      </c>
      <c r="AE3897" t="s">
        <v>120</v>
      </c>
      <c r="AG3897" t="s">
        <v>121</v>
      </c>
    </row>
    <row r="3898" spans="1:33" x14ac:dyDescent="0.25">
      <c r="A3898" t="str">
        <f>"1205882859"</f>
        <v>1205882859</v>
      </c>
      <c r="B3898" t="str">
        <f>"03015776"</f>
        <v>03015776</v>
      </c>
      <c r="C3898" t="s">
        <v>20979</v>
      </c>
      <c r="D3898" t="s">
        <v>20980</v>
      </c>
      <c r="E3898" t="s">
        <v>20981</v>
      </c>
      <c r="G3898" t="s">
        <v>20969</v>
      </c>
      <c r="H3898" t="s">
        <v>20970</v>
      </c>
      <c r="J3898" t="s">
        <v>20971</v>
      </c>
      <c r="L3898" t="s">
        <v>142</v>
      </c>
      <c r="M3898" t="s">
        <v>199</v>
      </c>
      <c r="R3898" t="s">
        <v>20981</v>
      </c>
      <c r="W3898" t="s">
        <v>20982</v>
      </c>
      <c r="X3898" t="s">
        <v>20983</v>
      </c>
      <c r="Y3898" t="s">
        <v>2762</v>
      </c>
      <c r="Z3898" t="s">
        <v>117</v>
      </c>
      <c r="AA3898" t="str">
        <f>"14623-4284"</f>
        <v>14623-4284</v>
      </c>
      <c r="AB3898" t="s">
        <v>118</v>
      </c>
      <c r="AC3898" t="s">
        <v>119</v>
      </c>
      <c r="AD3898" t="s">
        <v>113</v>
      </c>
      <c r="AE3898" t="s">
        <v>120</v>
      </c>
      <c r="AG3898" t="s">
        <v>121</v>
      </c>
    </row>
    <row r="3899" spans="1:33" x14ac:dyDescent="0.25">
      <c r="A3899" t="str">
        <f>"1477602266"</f>
        <v>1477602266</v>
      </c>
      <c r="B3899" t="str">
        <f>"03523948"</f>
        <v>03523948</v>
      </c>
      <c r="C3899" t="s">
        <v>20984</v>
      </c>
      <c r="D3899" t="s">
        <v>20985</v>
      </c>
      <c r="E3899" t="s">
        <v>20986</v>
      </c>
      <c r="G3899" t="s">
        <v>20969</v>
      </c>
      <c r="H3899" t="s">
        <v>20970</v>
      </c>
      <c r="J3899" t="s">
        <v>20971</v>
      </c>
      <c r="L3899" t="s">
        <v>142</v>
      </c>
      <c r="M3899" t="s">
        <v>113</v>
      </c>
      <c r="R3899" t="s">
        <v>20987</v>
      </c>
      <c r="W3899" t="s">
        <v>20986</v>
      </c>
      <c r="X3899" t="s">
        <v>20988</v>
      </c>
      <c r="Y3899" t="s">
        <v>192</v>
      </c>
      <c r="Z3899" t="s">
        <v>117</v>
      </c>
      <c r="AA3899" t="str">
        <f>"14020-1909"</f>
        <v>14020-1909</v>
      </c>
      <c r="AB3899" t="s">
        <v>118</v>
      </c>
      <c r="AC3899" t="s">
        <v>119</v>
      </c>
      <c r="AD3899" t="s">
        <v>113</v>
      </c>
      <c r="AE3899" t="s">
        <v>120</v>
      </c>
      <c r="AG3899" t="s">
        <v>121</v>
      </c>
    </row>
    <row r="3900" spans="1:33" x14ac:dyDescent="0.25">
      <c r="A3900" t="str">
        <f>"1336222447"</f>
        <v>1336222447</v>
      </c>
      <c r="B3900" t="str">
        <f>"02507904"</f>
        <v>02507904</v>
      </c>
      <c r="C3900" t="s">
        <v>20989</v>
      </c>
      <c r="D3900" t="s">
        <v>20990</v>
      </c>
      <c r="E3900" t="s">
        <v>20991</v>
      </c>
      <c r="G3900" t="s">
        <v>20969</v>
      </c>
      <c r="H3900" t="s">
        <v>20970</v>
      </c>
      <c r="J3900" t="s">
        <v>20971</v>
      </c>
      <c r="L3900" t="s">
        <v>142</v>
      </c>
      <c r="M3900" t="s">
        <v>199</v>
      </c>
      <c r="R3900" t="s">
        <v>20992</v>
      </c>
      <c r="W3900" t="s">
        <v>20991</v>
      </c>
      <c r="X3900" t="s">
        <v>20988</v>
      </c>
      <c r="Y3900" t="s">
        <v>192</v>
      </c>
      <c r="Z3900" t="s">
        <v>117</v>
      </c>
      <c r="AA3900" t="str">
        <f>"14020-1909"</f>
        <v>14020-1909</v>
      </c>
      <c r="AB3900" t="s">
        <v>118</v>
      </c>
      <c r="AC3900" t="s">
        <v>119</v>
      </c>
      <c r="AD3900" t="s">
        <v>113</v>
      </c>
      <c r="AE3900" t="s">
        <v>120</v>
      </c>
      <c r="AG3900" t="s">
        <v>121</v>
      </c>
    </row>
    <row r="3901" spans="1:33" x14ac:dyDescent="0.25">
      <c r="A3901" t="str">
        <f>"1285668764"</f>
        <v>1285668764</v>
      </c>
      <c r="B3901" t="str">
        <f>"00575255"</f>
        <v>00575255</v>
      </c>
      <c r="C3901" t="s">
        <v>20993</v>
      </c>
      <c r="D3901" t="s">
        <v>20994</v>
      </c>
      <c r="E3901" t="s">
        <v>20995</v>
      </c>
      <c r="G3901" t="s">
        <v>20969</v>
      </c>
      <c r="H3901" t="s">
        <v>20970</v>
      </c>
      <c r="J3901" t="s">
        <v>20971</v>
      </c>
      <c r="L3901" t="s">
        <v>142</v>
      </c>
      <c r="M3901" t="s">
        <v>199</v>
      </c>
      <c r="W3901" t="s">
        <v>20995</v>
      </c>
      <c r="X3901" t="s">
        <v>20996</v>
      </c>
      <c r="Y3901" t="s">
        <v>880</v>
      </c>
      <c r="Z3901" t="s">
        <v>117</v>
      </c>
      <c r="AA3901" t="str">
        <f>"13210-1756"</f>
        <v>13210-1756</v>
      </c>
      <c r="AB3901" t="s">
        <v>118</v>
      </c>
      <c r="AC3901" t="s">
        <v>119</v>
      </c>
      <c r="AD3901" t="s">
        <v>113</v>
      </c>
      <c r="AE3901" t="s">
        <v>120</v>
      </c>
      <c r="AG3901" t="s">
        <v>121</v>
      </c>
    </row>
    <row r="3902" spans="1:33" x14ac:dyDescent="0.25">
      <c r="A3902" t="str">
        <f>"1497929806"</f>
        <v>1497929806</v>
      </c>
      <c r="B3902" t="str">
        <f>"03877396"</f>
        <v>03877396</v>
      </c>
      <c r="C3902" t="s">
        <v>20997</v>
      </c>
      <c r="D3902" t="s">
        <v>20998</v>
      </c>
      <c r="E3902" t="s">
        <v>20999</v>
      </c>
      <c r="G3902" t="s">
        <v>20969</v>
      </c>
      <c r="H3902" t="s">
        <v>20970</v>
      </c>
      <c r="J3902" t="s">
        <v>20971</v>
      </c>
      <c r="L3902" t="s">
        <v>142</v>
      </c>
      <c r="M3902" t="s">
        <v>113</v>
      </c>
      <c r="R3902" t="s">
        <v>21000</v>
      </c>
      <c r="W3902" t="s">
        <v>20999</v>
      </c>
      <c r="X3902" t="s">
        <v>10711</v>
      </c>
      <c r="Y3902" t="s">
        <v>2762</v>
      </c>
      <c r="Z3902" t="s">
        <v>117</v>
      </c>
      <c r="AA3902" t="str">
        <f>"14605-2929"</f>
        <v>14605-2929</v>
      </c>
      <c r="AB3902" t="s">
        <v>118</v>
      </c>
      <c r="AC3902" t="s">
        <v>119</v>
      </c>
      <c r="AD3902" t="s">
        <v>113</v>
      </c>
      <c r="AE3902" t="s">
        <v>120</v>
      </c>
      <c r="AG3902" t="s">
        <v>121</v>
      </c>
    </row>
    <row r="3903" spans="1:33" x14ac:dyDescent="0.25">
      <c r="A3903" t="str">
        <f>"1437151354"</f>
        <v>1437151354</v>
      </c>
      <c r="B3903" t="str">
        <f>"03361906"</f>
        <v>03361906</v>
      </c>
      <c r="C3903" t="s">
        <v>21001</v>
      </c>
      <c r="D3903" t="s">
        <v>21002</v>
      </c>
      <c r="E3903" t="s">
        <v>21003</v>
      </c>
      <c r="G3903" t="s">
        <v>20969</v>
      </c>
      <c r="H3903" t="s">
        <v>20970</v>
      </c>
      <c r="J3903" t="s">
        <v>20971</v>
      </c>
      <c r="L3903" t="s">
        <v>142</v>
      </c>
      <c r="M3903" t="s">
        <v>199</v>
      </c>
      <c r="R3903" t="s">
        <v>21003</v>
      </c>
      <c r="W3903" t="s">
        <v>21004</v>
      </c>
      <c r="X3903" t="s">
        <v>21005</v>
      </c>
      <c r="Y3903" t="s">
        <v>2762</v>
      </c>
      <c r="Z3903" t="s">
        <v>117</v>
      </c>
      <c r="AA3903" t="str">
        <f>"14642-0001"</f>
        <v>14642-0001</v>
      </c>
      <c r="AB3903" t="s">
        <v>118</v>
      </c>
      <c r="AC3903" t="s">
        <v>119</v>
      </c>
      <c r="AD3903" t="s">
        <v>113</v>
      </c>
      <c r="AE3903" t="s">
        <v>120</v>
      </c>
      <c r="AG3903" t="s">
        <v>121</v>
      </c>
    </row>
    <row r="3904" spans="1:33" x14ac:dyDescent="0.25">
      <c r="A3904" t="str">
        <f>"1689727711"</f>
        <v>1689727711</v>
      </c>
      <c r="B3904" t="str">
        <f>"02393800"</f>
        <v>02393800</v>
      </c>
      <c r="C3904" t="s">
        <v>21006</v>
      </c>
      <c r="D3904" t="s">
        <v>21007</v>
      </c>
      <c r="E3904" t="s">
        <v>21008</v>
      </c>
      <c r="G3904" t="s">
        <v>20969</v>
      </c>
      <c r="H3904" t="s">
        <v>20970</v>
      </c>
      <c r="J3904" t="s">
        <v>20971</v>
      </c>
      <c r="L3904" t="s">
        <v>142</v>
      </c>
      <c r="M3904" t="s">
        <v>199</v>
      </c>
      <c r="R3904" t="s">
        <v>21009</v>
      </c>
      <c r="W3904" t="s">
        <v>21008</v>
      </c>
      <c r="X3904" t="s">
        <v>20988</v>
      </c>
      <c r="Y3904" t="s">
        <v>192</v>
      </c>
      <c r="Z3904" t="s">
        <v>117</v>
      </c>
      <c r="AA3904" t="str">
        <f>"14020-1909"</f>
        <v>14020-1909</v>
      </c>
      <c r="AB3904" t="s">
        <v>118</v>
      </c>
      <c r="AC3904" t="s">
        <v>119</v>
      </c>
      <c r="AD3904" t="s">
        <v>113</v>
      </c>
      <c r="AE3904" t="s">
        <v>120</v>
      </c>
      <c r="AG3904" t="s">
        <v>121</v>
      </c>
    </row>
    <row r="3905" spans="1:33" x14ac:dyDescent="0.25">
      <c r="A3905" t="str">
        <f>"1033146493"</f>
        <v>1033146493</v>
      </c>
      <c r="B3905" t="str">
        <f>"02393713"</f>
        <v>02393713</v>
      </c>
      <c r="C3905" t="s">
        <v>21010</v>
      </c>
      <c r="D3905" t="s">
        <v>21011</v>
      </c>
      <c r="E3905" t="s">
        <v>21012</v>
      </c>
      <c r="G3905" t="s">
        <v>20969</v>
      </c>
      <c r="H3905" t="s">
        <v>20970</v>
      </c>
      <c r="J3905" t="s">
        <v>20971</v>
      </c>
      <c r="L3905" t="s">
        <v>142</v>
      </c>
      <c r="M3905" t="s">
        <v>199</v>
      </c>
      <c r="R3905" t="s">
        <v>21013</v>
      </c>
      <c r="W3905" t="s">
        <v>21012</v>
      </c>
      <c r="X3905" t="s">
        <v>20977</v>
      </c>
      <c r="Y3905" t="s">
        <v>20978</v>
      </c>
      <c r="Z3905" t="s">
        <v>117</v>
      </c>
      <c r="AA3905" t="str">
        <f>"14424-2049"</f>
        <v>14424-2049</v>
      </c>
      <c r="AB3905" t="s">
        <v>118</v>
      </c>
      <c r="AC3905" t="s">
        <v>119</v>
      </c>
      <c r="AD3905" t="s">
        <v>113</v>
      </c>
      <c r="AE3905" t="s">
        <v>120</v>
      </c>
      <c r="AG3905" t="s">
        <v>121</v>
      </c>
    </row>
    <row r="3906" spans="1:33" x14ac:dyDescent="0.25">
      <c r="A3906" t="str">
        <f>"1558674242"</f>
        <v>1558674242</v>
      </c>
      <c r="B3906" t="str">
        <f>"03308770"</f>
        <v>03308770</v>
      </c>
      <c r="C3906" t="s">
        <v>21014</v>
      </c>
      <c r="D3906" t="s">
        <v>21015</v>
      </c>
      <c r="E3906" t="s">
        <v>21016</v>
      </c>
      <c r="G3906" t="s">
        <v>20969</v>
      </c>
      <c r="H3906" t="s">
        <v>20970</v>
      </c>
      <c r="J3906" t="s">
        <v>20971</v>
      </c>
      <c r="L3906" t="s">
        <v>142</v>
      </c>
      <c r="M3906" t="s">
        <v>199</v>
      </c>
      <c r="R3906" t="s">
        <v>21017</v>
      </c>
      <c r="W3906" t="s">
        <v>21018</v>
      </c>
      <c r="X3906" t="s">
        <v>1973</v>
      </c>
      <c r="Y3906" t="s">
        <v>116</v>
      </c>
      <c r="Z3906" t="s">
        <v>117</v>
      </c>
      <c r="AA3906" t="str">
        <f>"14214-1701"</f>
        <v>14214-1701</v>
      </c>
      <c r="AB3906" t="s">
        <v>118</v>
      </c>
      <c r="AC3906" t="s">
        <v>119</v>
      </c>
      <c r="AD3906" t="s">
        <v>113</v>
      </c>
      <c r="AE3906" t="s">
        <v>120</v>
      </c>
      <c r="AG3906" t="s">
        <v>121</v>
      </c>
    </row>
    <row r="3907" spans="1:33" x14ac:dyDescent="0.25">
      <c r="A3907" t="str">
        <f>"1326359134"</f>
        <v>1326359134</v>
      </c>
      <c r="B3907" t="str">
        <f>"03619409"</f>
        <v>03619409</v>
      </c>
      <c r="C3907" t="s">
        <v>21019</v>
      </c>
      <c r="D3907" t="s">
        <v>21020</v>
      </c>
      <c r="E3907" t="s">
        <v>21021</v>
      </c>
      <c r="G3907" t="s">
        <v>20969</v>
      </c>
      <c r="H3907" t="s">
        <v>20970</v>
      </c>
      <c r="J3907" t="s">
        <v>20971</v>
      </c>
      <c r="L3907" t="s">
        <v>142</v>
      </c>
      <c r="M3907" t="s">
        <v>113</v>
      </c>
      <c r="R3907" t="s">
        <v>21022</v>
      </c>
      <c r="W3907" t="s">
        <v>21021</v>
      </c>
      <c r="X3907" t="s">
        <v>1973</v>
      </c>
      <c r="Y3907" t="s">
        <v>116</v>
      </c>
      <c r="Z3907" t="s">
        <v>117</v>
      </c>
      <c r="AA3907" t="str">
        <f>"14214-1701"</f>
        <v>14214-1701</v>
      </c>
      <c r="AB3907" t="s">
        <v>118</v>
      </c>
      <c r="AC3907" t="s">
        <v>119</v>
      </c>
      <c r="AD3907" t="s">
        <v>113</v>
      </c>
      <c r="AE3907" t="s">
        <v>120</v>
      </c>
      <c r="AG3907" t="s">
        <v>121</v>
      </c>
    </row>
    <row r="3908" spans="1:33" x14ac:dyDescent="0.25">
      <c r="A3908" t="str">
        <f>"1821166307"</f>
        <v>1821166307</v>
      </c>
      <c r="B3908" t="str">
        <f>"00652433"</f>
        <v>00652433</v>
      </c>
      <c r="C3908" t="s">
        <v>21023</v>
      </c>
      <c r="D3908" t="s">
        <v>21024</v>
      </c>
      <c r="E3908" t="s">
        <v>21025</v>
      </c>
      <c r="G3908" t="s">
        <v>20969</v>
      </c>
      <c r="H3908" t="s">
        <v>20970</v>
      </c>
      <c r="J3908" t="s">
        <v>20971</v>
      </c>
      <c r="L3908" t="s">
        <v>150</v>
      </c>
      <c r="M3908" t="s">
        <v>199</v>
      </c>
      <c r="R3908" t="s">
        <v>21026</v>
      </c>
      <c r="W3908" t="s">
        <v>21027</v>
      </c>
      <c r="X3908" t="s">
        <v>21028</v>
      </c>
      <c r="Y3908" t="s">
        <v>21029</v>
      </c>
      <c r="Z3908" t="s">
        <v>117</v>
      </c>
      <c r="AA3908" t="str">
        <f>"14886-9201"</f>
        <v>14886-9201</v>
      </c>
      <c r="AB3908" t="s">
        <v>118</v>
      </c>
      <c r="AC3908" t="s">
        <v>119</v>
      </c>
      <c r="AD3908" t="s">
        <v>113</v>
      </c>
      <c r="AE3908" t="s">
        <v>120</v>
      </c>
      <c r="AG3908" t="s">
        <v>121</v>
      </c>
    </row>
    <row r="3909" spans="1:33" x14ac:dyDescent="0.25">
      <c r="A3909" t="str">
        <f>"1013285725"</f>
        <v>1013285725</v>
      </c>
      <c r="B3909" t="str">
        <f>"03400144"</f>
        <v>03400144</v>
      </c>
      <c r="C3909" t="s">
        <v>21030</v>
      </c>
      <c r="D3909" t="s">
        <v>21031</v>
      </c>
      <c r="E3909" t="s">
        <v>21032</v>
      </c>
      <c r="G3909" t="s">
        <v>20969</v>
      </c>
      <c r="H3909" t="s">
        <v>20970</v>
      </c>
      <c r="J3909" t="s">
        <v>20971</v>
      </c>
      <c r="L3909" t="s">
        <v>142</v>
      </c>
      <c r="M3909" t="s">
        <v>199</v>
      </c>
      <c r="R3909" t="s">
        <v>21033</v>
      </c>
      <c r="W3909" t="s">
        <v>21032</v>
      </c>
      <c r="X3909" t="s">
        <v>1973</v>
      </c>
      <c r="Y3909" t="s">
        <v>116</v>
      </c>
      <c r="Z3909" t="s">
        <v>117</v>
      </c>
      <c r="AA3909" t="str">
        <f>"14214-1701"</f>
        <v>14214-1701</v>
      </c>
      <c r="AB3909" t="s">
        <v>118</v>
      </c>
      <c r="AC3909" t="s">
        <v>119</v>
      </c>
      <c r="AD3909" t="s">
        <v>113</v>
      </c>
      <c r="AE3909" t="s">
        <v>120</v>
      </c>
      <c r="AG3909" t="s">
        <v>121</v>
      </c>
    </row>
    <row r="3910" spans="1:33" x14ac:dyDescent="0.25">
      <c r="A3910" t="str">
        <f>"1427144534"</f>
        <v>1427144534</v>
      </c>
      <c r="B3910" t="str">
        <f>"02393644"</f>
        <v>02393644</v>
      </c>
      <c r="C3910" t="s">
        <v>21034</v>
      </c>
      <c r="D3910" t="s">
        <v>21035</v>
      </c>
      <c r="E3910" t="s">
        <v>21036</v>
      </c>
      <c r="G3910" t="s">
        <v>20969</v>
      </c>
      <c r="H3910" t="s">
        <v>20970</v>
      </c>
      <c r="J3910" t="s">
        <v>20971</v>
      </c>
      <c r="L3910" t="s">
        <v>150</v>
      </c>
      <c r="M3910" t="s">
        <v>199</v>
      </c>
      <c r="R3910" t="s">
        <v>21037</v>
      </c>
      <c r="W3910" t="s">
        <v>21038</v>
      </c>
      <c r="X3910" t="s">
        <v>20977</v>
      </c>
      <c r="Y3910" t="s">
        <v>20978</v>
      </c>
      <c r="Z3910" t="s">
        <v>117</v>
      </c>
      <c r="AA3910" t="str">
        <f>"14424-2049"</f>
        <v>14424-2049</v>
      </c>
      <c r="AB3910" t="s">
        <v>118</v>
      </c>
      <c r="AC3910" t="s">
        <v>119</v>
      </c>
      <c r="AD3910" t="s">
        <v>113</v>
      </c>
      <c r="AE3910" t="s">
        <v>120</v>
      </c>
      <c r="AG3910" t="s">
        <v>121</v>
      </c>
    </row>
    <row r="3911" spans="1:33" x14ac:dyDescent="0.25">
      <c r="A3911" t="str">
        <f>"1942394184"</f>
        <v>1942394184</v>
      </c>
      <c r="B3911" t="str">
        <f>"02048828"</f>
        <v>02048828</v>
      </c>
      <c r="C3911" t="s">
        <v>21039</v>
      </c>
      <c r="D3911" t="s">
        <v>21040</v>
      </c>
      <c r="E3911" t="s">
        <v>21041</v>
      </c>
      <c r="G3911" t="s">
        <v>20969</v>
      </c>
      <c r="H3911" t="s">
        <v>20970</v>
      </c>
      <c r="J3911" t="s">
        <v>20971</v>
      </c>
      <c r="L3911" t="s">
        <v>150</v>
      </c>
      <c r="M3911" t="s">
        <v>113</v>
      </c>
      <c r="R3911" t="s">
        <v>21042</v>
      </c>
      <c r="W3911" t="s">
        <v>21041</v>
      </c>
      <c r="X3911" t="s">
        <v>21043</v>
      </c>
      <c r="Y3911" t="s">
        <v>2762</v>
      </c>
      <c r="Z3911" t="s">
        <v>117</v>
      </c>
      <c r="AA3911" t="str">
        <f>"14620-0000"</f>
        <v>14620-0000</v>
      </c>
      <c r="AB3911" t="s">
        <v>118</v>
      </c>
      <c r="AC3911" t="s">
        <v>119</v>
      </c>
      <c r="AD3911" t="s">
        <v>113</v>
      </c>
      <c r="AE3911" t="s">
        <v>120</v>
      </c>
      <c r="AG3911" t="s">
        <v>121</v>
      </c>
    </row>
    <row r="3912" spans="1:33" x14ac:dyDescent="0.25">
      <c r="A3912" t="str">
        <f>"1962574806"</f>
        <v>1962574806</v>
      </c>
      <c r="B3912" t="str">
        <f>"00471843"</f>
        <v>00471843</v>
      </c>
      <c r="C3912" t="s">
        <v>21044</v>
      </c>
      <c r="D3912" t="s">
        <v>21045</v>
      </c>
      <c r="E3912" t="s">
        <v>21046</v>
      </c>
      <c r="G3912" t="s">
        <v>20969</v>
      </c>
      <c r="H3912" t="s">
        <v>20970</v>
      </c>
      <c r="J3912" t="s">
        <v>20971</v>
      </c>
      <c r="L3912" t="s">
        <v>142</v>
      </c>
      <c r="M3912" t="s">
        <v>113</v>
      </c>
      <c r="R3912" t="s">
        <v>21047</v>
      </c>
      <c r="W3912" t="s">
        <v>21046</v>
      </c>
      <c r="X3912" t="s">
        <v>8909</v>
      </c>
      <c r="Y3912" t="s">
        <v>2762</v>
      </c>
      <c r="Z3912" t="s">
        <v>117</v>
      </c>
      <c r="AA3912" t="str">
        <f>"14607-4002"</f>
        <v>14607-4002</v>
      </c>
      <c r="AB3912" t="s">
        <v>118</v>
      </c>
      <c r="AC3912" t="s">
        <v>119</v>
      </c>
      <c r="AD3912" t="s">
        <v>113</v>
      </c>
      <c r="AE3912" t="s">
        <v>120</v>
      </c>
      <c r="AG3912" t="s">
        <v>121</v>
      </c>
    </row>
    <row r="3913" spans="1:33" x14ac:dyDescent="0.25">
      <c r="A3913" t="str">
        <f>"1396087144"</f>
        <v>1396087144</v>
      </c>
      <c r="B3913" t="str">
        <f>"03581353"</f>
        <v>03581353</v>
      </c>
      <c r="C3913" t="s">
        <v>21048</v>
      </c>
      <c r="D3913" t="s">
        <v>21049</v>
      </c>
      <c r="E3913" t="s">
        <v>21050</v>
      </c>
      <c r="G3913" t="s">
        <v>20969</v>
      </c>
      <c r="H3913" t="s">
        <v>20970</v>
      </c>
      <c r="J3913" t="s">
        <v>20971</v>
      </c>
      <c r="L3913" t="s">
        <v>142</v>
      </c>
      <c r="M3913" t="s">
        <v>199</v>
      </c>
      <c r="R3913" t="s">
        <v>21051</v>
      </c>
      <c r="W3913" t="s">
        <v>21050</v>
      </c>
      <c r="X3913" t="s">
        <v>20988</v>
      </c>
      <c r="Y3913" t="s">
        <v>192</v>
      </c>
      <c r="Z3913" t="s">
        <v>117</v>
      </c>
      <c r="AA3913" t="str">
        <f>"14020-1909"</f>
        <v>14020-1909</v>
      </c>
      <c r="AB3913" t="s">
        <v>118</v>
      </c>
      <c r="AC3913" t="s">
        <v>119</v>
      </c>
      <c r="AD3913" t="s">
        <v>113</v>
      </c>
      <c r="AE3913" t="s">
        <v>120</v>
      </c>
      <c r="AG3913" t="s">
        <v>121</v>
      </c>
    </row>
    <row r="3914" spans="1:33" x14ac:dyDescent="0.25">
      <c r="A3914" t="str">
        <f>"1659696300"</f>
        <v>1659696300</v>
      </c>
      <c r="B3914" t="str">
        <f>"03961951"</f>
        <v>03961951</v>
      </c>
      <c r="C3914" t="s">
        <v>21052</v>
      </c>
      <c r="D3914" t="s">
        <v>21053</v>
      </c>
      <c r="E3914" t="s">
        <v>21054</v>
      </c>
      <c r="G3914" t="s">
        <v>20969</v>
      </c>
      <c r="H3914" t="s">
        <v>20970</v>
      </c>
      <c r="J3914" t="s">
        <v>20971</v>
      </c>
      <c r="L3914" t="s">
        <v>142</v>
      </c>
      <c r="M3914" t="s">
        <v>113</v>
      </c>
      <c r="R3914" t="s">
        <v>21055</v>
      </c>
      <c r="W3914" t="s">
        <v>21054</v>
      </c>
      <c r="X3914" t="s">
        <v>21056</v>
      </c>
      <c r="Y3914" t="s">
        <v>2762</v>
      </c>
      <c r="Z3914" t="s">
        <v>117</v>
      </c>
      <c r="AA3914" t="str">
        <f>"14605-2929"</f>
        <v>14605-2929</v>
      </c>
      <c r="AB3914" t="s">
        <v>118</v>
      </c>
      <c r="AC3914" t="s">
        <v>119</v>
      </c>
      <c r="AD3914" t="s">
        <v>113</v>
      </c>
      <c r="AE3914" t="s">
        <v>120</v>
      </c>
      <c r="AG3914" t="s">
        <v>121</v>
      </c>
    </row>
    <row r="3915" spans="1:33" x14ac:dyDescent="0.25">
      <c r="A3915" t="str">
        <f>"1992898019"</f>
        <v>1992898019</v>
      </c>
      <c r="B3915" t="str">
        <f>"00629290"</f>
        <v>00629290</v>
      </c>
      <c r="C3915" t="s">
        <v>21057</v>
      </c>
      <c r="D3915" t="s">
        <v>21058</v>
      </c>
      <c r="E3915" t="s">
        <v>21059</v>
      </c>
      <c r="G3915" t="s">
        <v>21057</v>
      </c>
      <c r="H3915" t="s">
        <v>21060</v>
      </c>
      <c r="J3915" t="s">
        <v>21061</v>
      </c>
      <c r="L3915" t="s">
        <v>150</v>
      </c>
      <c r="M3915" t="s">
        <v>113</v>
      </c>
      <c r="R3915" t="s">
        <v>21062</v>
      </c>
      <c r="W3915" t="s">
        <v>21059</v>
      </c>
      <c r="X3915" t="s">
        <v>21063</v>
      </c>
      <c r="Y3915" t="s">
        <v>3649</v>
      </c>
      <c r="Z3915" t="s">
        <v>117</v>
      </c>
      <c r="AA3915" t="str">
        <f>"14072-1804"</f>
        <v>14072-1804</v>
      </c>
      <c r="AB3915" t="s">
        <v>118</v>
      </c>
      <c r="AC3915" t="s">
        <v>119</v>
      </c>
      <c r="AD3915" t="s">
        <v>113</v>
      </c>
      <c r="AE3915" t="s">
        <v>120</v>
      </c>
      <c r="AG3915" t="s">
        <v>121</v>
      </c>
    </row>
    <row r="3916" spans="1:33" x14ac:dyDescent="0.25">
      <c r="A3916" t="str">
        <f>"1992922082"</f>
        <v>1992922082</v>
      </c>
      <c r="B3916" t="str">
        <f>"03393464"</f>
        <v>03393464</v>
      </c>
      <c r="C3916" t="s">
        <v>21064</v>
      </c>
      <c r="D3916" t="s">
        <v>21065</v>
      </c>
      <c r="E3916" t="s">
        <v>21066</v>
      </c>
      <c r="G3916" t="s">
        <v>21064</v>
      </c>
      <c r="H3916" t="s">
        <v>227</v>
      </c>
      <c r="J3916" t="s">
        <v>21067</v>
      </c>
      <c r="L3916" t="s">
        <v>142</v>
      </c>
      <c r="M3916" t="s">
        <v>113</v>
      </c>
      <c r="R3916" t="s">
        <v>21068</v>
      </c>
      <c r="W3916" t="s">
        <v>21066</v>
      </c>
      <c r="X3916" t="s">
        <v>2689</v>
      </c>
      <c r="Y3916" t="s">
        <v>2690</v>
      </c>
      <c r="Z3916" t="s">
        <v>117</v>
      </c>
      <c r="AA3916" t="str">
        <f>"10451"</f>
        <v>10451</v>
      </c>
      <c r="AB3916" t="s">
        <v>118</v>
      </c>
      <c r="AC3916" t="s">
        <v>119</v>
      </c>
      <c r="AD3916" t="s">
        <v>113</v>
      </c>
      <c r="AE3916" t="s">
        <v>120</v>
      </c>
      <c r="AG3916" t="s">
        <v>121</v>
      </c>
    </row>
    <row r="3917" spans="1:33" x14ac:dyDescent="0.25">
      <c r="A3917" t="str">
        <f>"1992936595"</f>
        <v>1992936595</v>
      </c>
      <c r="B3917" t="str">
        <f>"03731519"</f>
        <v>03731519</v>
      </c>
      <c r="C3917" t="s">
        <v>21069</v>
      </c>
      <c r="D3917" t="s">
        <v>21070</v>
      </c>
      <c r="E3917" t="s">
        <v>21071</v>
      </c>
      <c r="G3917" t="s">
        <v>21069</v>
      </c>
      <c r="H3917" t="s">
        <v>21072</v>
      </c>
      <c r="J3917" t="s">
        <v>21073</v>
      </c>
      <c r="L3917" t="s">
        <v>112</v>
      </c>
      <c r="M3917" t="s">
        <v>113</v>
      </c>
      <c r="R3917" t="s">
        <v>21074</v>
      </c>
      <c r="W3917" t="s">
        <v>21071</v>
      </c>
      <c r="X3917" t="s">
        <v>5380</v>
      </c>
      <c r="Y3917" t="s">
        <v>816</v>
      </c>
      <c r="Z3917" t="s">
        <v>117</v>
      </c>
      <c r="AA3917" t="str">
        <f>"14120-5816"</f>
        <v>14120-5816</v>
      </c>
      <c r="AB3917" t="s">
        <v>118</v>
      </c>
      <c r="AC3917" t="s">
        <v>119</v>
      </c>
      <c r="AD3917" t="s">
        <v>113</v>
      </c>
      <c r="AE3917" t="s">
        <v>120</v>
      </c>
      <c r="AG3917" t="s">
        <v>121</v>
      </c>
    </row>
    <row r="3918" spans="1:33" x14ac:dyDescent="0.25">
      <c r="A3918" t="str">
        <f>"1992946834"</f>
        <v>1992946834</v>
      </c>
      <c r="B3918" t="str">
        <f>"03112461"</f>
        <v>03112461</v>
      </c>
      <c r="C3918" t="s">
        <v>21075</v>
      </c>
      <c r="D3918" t="s">
        <v>21076</v>
      </c>
      <c r="E3918" t="s">
        <v>21077</v>
      </c>
      <c r="G3918" t="s">
        <v>21078</v>
      </c>
      <c r="H3918" t="s">
        <v>3942</v>
      </c>
      <c r="J3918" t="s">
        <v>21079</v>
      </c>
      <c r="L3918" t="s">
        <v>142</v>
      </c>
      <c r="M3918" t="s">
        <v>113</v>
      </c>
      <c r="R3918" t="s">
        <v>21080</v>
      </c>
      <c r="W3918" t="s">
        <v>21077</v>
      </c>
      <c r="X3918" t="s">
        <v>9609</v>
      </c>
      <c r="Y3918" t="s">
        <v>326</v>
      </c>
      <c r="Z3918" t="s">
        <v>117</v>
      </c>
      <c r="AA3918" t="str">
        <f>"14127-1749"</f>
        <v>14127-1749</v>
      </c>
      <c r="AB3918" t="s">
        <v>118</v>
      </c>
      <c r="AC3918" t="s">
        <v>119</v>
      </c>
      <c r="AD3918" t="s">
        <v>113</v>
      </c>
      <c r="AE3918" t="s">
        <v>120</v>
      </c>
      <c r="AG3918" t="s">
        <v>121</v>
      </c>
    </row>
    <row r="3919" spans="1:33" x14ac:dyDescent="0.25">
      <c r="A3919" t="str">
        <f>"1992949846"</f>
        <v>1992949846</v>
      </c>
      <c r="B3919" t="str">
        <f>"02345971"</f>
        <v>02345971</v>
      </c>
      <c r="C3919" t="s">
        <v>21081</v>
      </c>
      <c r="D3919" t="s">
        <v>21082</v>
      </c>
      <c r="E3919" t="s">
        <v>21083</v>
      </c>
      <c r="L3919" t="s">
        <v>150</v>
      </c>
      <c r="M3919" t="s">
        <v>199</v>
      </c>
      <c r="R3919" t="s">
        <v>21081</v>
      </c>
      <c r="W3919" t="s">
        <v>21084</v>
      </c>
      <c r="X3919" t="s">
        <v>21085</v>
      </c>
      <c r="Y3919" t="s">
        <v>116</v>
      </c>
      <c r="Z3919" t="s">
        <v>117</v>
      </c>
      <c r="AA3919" t="str">
        <f>"14214-1720"</f>
        <v>14214-1720</v>
      </c>
      <c r="AB3919" t="s">
        <v>118</v>
      </c>
      <c r="AC3919" t="s">
        <v>119</v>
      </c>
      <c r="AD3919" t="s">
        <v>113</v>
      </c>
      <c r="AE3919" t="s">
        <v>120</v>
      </c>
      <c r="AG3919" t="s">
        <v>121</v>
      </c>
    </row>
    <row r="3920" spans="1:33" x14ac:dyDescent="0.25">
      <c r="A3920" t="str">
        <f>"1992951651"</f>
        <v>1992951651</v>
      </c>
      <c r="B3920" t="str">
        <f>"03735779"</f>
        <v>03735779</v>
      </c>
      <c r="C3920" t="s">
        <v>21086</v>
      </c>
      <c r="D3920" t="s">
        <v>21087</v>
      </c>
      <c r="E3920" t="s">
        <v>21088</v>
      </c>
      <c r="G3920" t="s">
        <v>21086</v>
      </c>
      <c r="H3920" t="s">
        <v>227</v>
      </c>
      <c r="J3920" t="s">
        <v>21089</v>
      </c>
      <c r="L3920" t="s">
        <v>142</v>
      </c>
      <c r="M3920" t="s">
        <v>113</v>
      </c>
      <c r="R3920" t="s">
        <v>21090</v>
      </c>
      <c r="W3920" t="s">
        <v>21088</v>
      </c>
      <c r="X3920" t="s">
        <v>21091</v>
      </c>
      <c r="Y3920" t="s">
        <v>2690</v>
      </c>
      <c r="Z3920" t="s">
        <v>117</v>
      </c>
      <c r="AA3920" t="str">
        <f>"10451-5504"</f>
        <v>10451-5504</v>
      </c>
      <c r="AB3920" t="s">
        <v>118</v>
      </c>
      <c r="AC3920" t="s">
        <v>119</v>
      </c>
      <c r="AD3920" t="s">
        <v>113</v>
      </c>
      <c r="AE3920" t="s">
        <v>120</v>
      </c>
      <c r="AG3920" t="s">
        <v>121</v>
      </c>
    </row>
    <row r="3921" spans="1:33" x14ac:dyDescent="0.25">
      <c r="A3921" t="str">
        <f>"1992956494"</f>
        <v>1992956494</v>
      </c>
      <c r="C3921" t="s">
        <v>21092</v>
      </c>
      <c r="G3921" t="s">
        <v>21092</v>
      </c>
      <c r="H3921" t="s">
        <v>227</v>
      </c>
      <c r="J3921" t="s">
        <v>21093</v>
      </c>
      <c r="K3921" t="s">
        <v>303</v>
      </c>
      <c r="L3921" t="s">
        <v>112</v>
      </c>
      <c r="M3921" t="s">
        <v>113</v>
      </c>
      <c r="R3921" t="s">
        <v>21094</v>
      </c>
      <c r="S3921" t="s">
        <v>21095</v>
      </c>
      <c r="T3921" t="s">
        <v>21096</v>
      </c>
      <c r="U3921" t="s">
        <v>5493</v>
      </c>
      <c r="V3921" t="str">
        <f>"605231738"</f>
        <v>605231738</v>
      </c>
      <c r="AC3921" t="s">
        <v>119</v>
      </c>
      <c r="AD3921" t="s">
        <v>113</v>
      </c>
      <c r="AE3921" t="s">
        <v>306</v>
      </c>
      <c r="AG3921" t="s">
        <v>121</v>
      </c>
    </row>
    <row r="3922" spans="1:33" x14ac:dyDescent="0.25">
      <c r="C3922" t="s">
        <v>12027</v>
      </c>
      <c r="G3922" t="s">
        <v>12027</v>
      </c>
      <c r="J3922" t="s">
        <v>352</v>
      </c>
      <c r="K3922" t="s">
        <v>303</v>
      </c>
      <c r="L3922" t="s">
        <v>3095</v>
      </c>
      <c r="M3922" t="s">
        <v>113</v>
      </c>
      <c r="AC3922" t="s">
        <v>119</v>
      </c>
      <c r="AD3922" t="s">
        <v>113</v>
      </c>
      <c r="AE3922" t="s">
        <v>3098</v>
      </c>
      <c r="AG3922" t="s">
        <v>121</v>
      </c>
    </row>
    <row r="3923" spans="1:33" x14ac:dyDescent="0.25">
      <c r="C3923" t="s">
        <v>16225</v>
      </c>
      <c r="G3923" t="s">
        <v>16225</v>
      </c>
      <c r="J3923" t="s">
        <v>352</v>
      </c>
      <c r="K3923" t="s">
        <v>303</v>
      </c>
      <c r="L3923" t="s">
        <v>3095</v>
      </c>
      <c r="M3923" t="s">
        <v>113</v>
      </c>
      <c r="AC3923" t="s">
        <v>119</v>
      </c>
      <c r="AD3923" t="s">
        <v>113</v>
      </c>
      <c r="AE3923" t="s">
        <v>3098</v>
      </c>
      <c r="AG3923" t="s">
        <v>121</v>
      </c>
    </row>
    <row r="3924" spans="1:33" x14ac:dyDescent="0.25">
      <c r="C3924" t="s">
        <v>7357</v>
      </c>
      <c r="G3924" t="s">
        <v>7357</v>
      </c>
      <c r="J3924" t="s">
        <v>352</v>
      </c>
      <c r="K3924" t="s">
        <v>303</v>
      </c>
      <c r="L3924" t="s">
        <v>3095</v>
      </c>
      <c r="M3924" t="s">
        <v>113</v>
      </c>
      <c r="AC3924" t="s">
        <v>119</v>
      </c>
      <c r="AD3924" t="s">
        <v>113</v>
      </c>
      <c r="AE3924" t="s">
        <v>3098</v>
      </c>
      <c r="AG3924" t="s">
        <v>121</v>
      </c>
    </row>
    <row r="3925" spans="1:33" x14ac:dyDescent="0.25">
      <c r="C3925" t="s">
        <v>13355</v>
      </c>
      <c r="G3925" t="s">
        <v>13355</v>
      </c>
      <c r="J3925" t="s">
        <v>352</v>
      </c>
      <c r="K3925" t="s">
        <v>303</v>
      </c>
      <c r="L3925" t="s">
        <v>3095</v>
      </c>
      <c r="M3925" t="s">
        <v>113</v>
      </c>
      <c r="AC3925" t="s">
        <v>119</v>
      </c>
      <c r="AD3925" t="s">
        <v>113</v>
      </c>
      <c r="AE3925" t="s">
        <v>3098</v>
      </c>
      <c r="AG3925" t="s">
        <v>121</v>
      </c>
    </row>
    <row r="3926" spans="1:33" x14ac:dyDescent="0.25">
      <c r="C3926" t="s">
        <v>10777</v>
      </c>
      <c r="G3926" t="s">
        <v>10777</v>
      </c>
      <c r="J3926" t="s">
        <v>352</v>
      </c>
      <c r="K3926" t="s">
        <v>303</v>
      </c>
      <c r="L3926" t="s">
        <v>3095</v>
      </c>
      <c r="M3926" t="s">
        <v>113</v>
      </c>
      <c r="AC3926" t="s">
        <v>119</v>
      </c>
      <c r="AD3926" t="s">
        <v>113</v>
      </c>
      <c r="AE3926" t="s">
        <v>3098</v>
      </c>
      <c r="AG3926" t="s">
        <v>121</v>
      </c>
    </row>
    <row r="3927" spans="1:33" x14ac:dyDescent="0.25">
      <c r="C3927" t="s">
        <v>17425</v>
      </c>
      <c r="G3927" t="s">
        <v>17425</v>
      </c>
      <c r="J3927" t="s">
        <v>352</v>
      </c>
      <c r="K3927" t="s">
        <v>303</v>
      </c>
      <c r="L3927" t="s">
        <v>3095</v>
      </c>
      <c r="M3927" t="s">
        <v>113</v>
      </c>
      <c r="AC3927" t="s">
        <v>119</v>
      </c>
      <c r="AD3927" t="s">
        <v>113</v>
      </c>
      <c r="AE3927" t="s">
        <v>3098</v>
      </c>
      <c r="AG3927" t="s">
        <v>121</v>
      </c>
    </row>
    <row r="3928" spans="1:33" x14ac:dyDescent="0.25">
      <c r="C3928" t="s">
        <v>10417</v>
      </c>
      <c r="G3928" t="s">
        <v>10417</v>
      </c>
      <c r="J3928" t="s">
        <v>352</v>
      </c>
      <c r="K3928" t="s">
        <v>303</v>
      </c>
      <c r="L3928" t="s">
        <v>3095</v>
      </c>
      <c r="M3928" t="s">
        <v>113</v>
      </c>
      <c r="AC3928" t="s">
        <v>119</v>
      </c>
      <c r="AD3928" t="s">
        <v>113</v>
      </c>
      <c r="AE3928" t="s">
        <v>3098</v>
      </c>
      <c r="AG3928" t="s">
        <v>121</v>
      </c>
    </row>
    <row r="3929" spans="1:33" x14ac:dyDescent="0.25">
      <c r="C3929" t="s">
        <v>17128</v>
      </c>
      <c r="G3929" t="s">
        <v>17128</v>
      </c>
      <c r="J3929" t="s">
        <v>352</v>
      </c>
      <c r="K3929" t="s">
        <v>303</v>
      </c>
      <c r="L3929" t="s">
        <v>3095</v>
      </c>
      <c r="M3929" t="s">
        <v>113</v>
      </c>
      <c r="AC3929" t="s">
        <v>119</v>
      </c>
      <c r="AD3929" t="s">
        <v>113</v>
      </c>
      <c r="AE3929" t="s">
        <v>3098</v>
      </c>
      <c r="AG3929" t="s">
        <v>121</v>
      </c>
    </row>
    <row r="3930" spans="1:33" x14ac:dyDescent="0.25">
      <c r="C3930" t="s">
        <v>17843</v>
      </c>
      <c r="G3930" t="s">
        <v>17843</v>
      </c>
      <c r="J3930" t="s">
        <v>352</v>
      </c>
      <c r="K3930" t="s">
        <v>303</v>
      </c>
      <c r="L3930" t="s">
        <v>3095</v>
      </c>
      <c r="M3930" t="s">
        <v>113</v>
      </c>
      <c r="AC3930" t="s">
        <v>119</v>
      </c>
      <c r="AD3930" t="s">
        <v>113</v>
      </c>
      <c r="AE3930" t="s">
        <v>3098</v>
      </c>
      <c r="AG3930" t="s">
        <v>121</v>
      </c>
    </row>
    <row r="3931" spans="1:33" x14ac:dyDescent="0.25">
      <c r="C3931" t="s">
        <v>11487</v>
      </c>
      <c r="G3931" t="s">
        <v>11487</v>
      </c>
      <c r="J3931" t="s">
        <v>352</v>
      </c>
      <c r="K3931" t="s">
        <v>303</v>
      </c>
      <c r="L3931" t="s">
        <v>3095</v>
      </c>
      <c r="M3931" t="s">
        <v>113</v>
      </c>
      <c r="AC3931" t="s">
        <v>119</v>
      </c>
      <c r="AD3931" t="s">
        <v>113</v>
      </c>
      <c r="AE3931" t="s">
        <v>3098</v>
      </c>
      <c r="AG3931" t="s">
        <v>121</v>
      </c>
    </row>
    <row r="3932" spans="1:33" x14ac:dyDescent="0.25">
      <c r="C3932" t="s">
        <v>3715</v>
      </c>
      <c r="G3932" t="s">
        <v>3715</v>
      </c>
      <c r="J3932" t="s">
        <v>352</v>
      </c>
      <c r="K3932" t="s">
        <v>303</v>
      </c>
      <c r="L3932" t="s">
        <v>3095</v>
      </c>
      <c r="M3932" t="s">
        <v>113</v>
      </c>
      <c r="AC3932" t="s">
        <v>119</v>
      </c>
      <c r="AD3932" t="s">
        <v>113</v>
      </c>
      <c r="AE3932" t="s">
        <v>3098</v>
      </c>
      <c r="AG3932" t="s">
        <v>121</v>
      </c>
    </row>
    <row r="3933" spans="1:33" x14ac:dyDescent="0.25">
      <c r="C3933" t="s">
        <v>6777</v>
      </c>
      <c r="G3933" t="s">
        <v>6777</v>
      </c>
      <c r="J3933" t="s">
        <v>352</v>
      </c>
      <c r="K3933" t="s">
        <v>303</v>
      </c>
      <c r="L3933" t="s">
        <v>3095</v>
      </c>
      <c r="M3933" t="s">
        <v>113</v>
      </c>
      <c r="AC3933" t="s">
        <v>119</v>
      </c>
      <c r="AD3933" t="s">
        <v>113</v>
      </c>
      <c r="AE3933" t="s">
        <v>3098</v>
      </c>
      <c r="AG3933" t="s">
        <v>121</v>
      </c>
    </row>
    <row r="3934" spans="1:33" x14ac:dyDescent="0.25">
      <c r="C3934" t="s">
        <v>11363</v>
      </c>
      <c r="G3934" t="s">
        <v>11363</v>
      </c>
      <c r="J3934" t="s">
        <v>352</v>
      </c>
      <c r="K3934" t="s">
        <v>303</v>
      </c>
      <c r="L3934" t="s">
        <v>3095</v>
      </c>
      <c r="M3934" t="s">
        <v>113</v>
      </c>
      <c r="AC3934" t="s">
        <v>119</v>
      </c>
      <c r="AD3934" t="s">
        <v>113</v>
      </c>
      <c r="AE3934" t="s">
        <v>3098</v>
      </c>
      <c r="AG3934" t="s">
        <v>121</v>
      </c>
    </row>
    <row r="3935" spans="1:33" x14ac:dyDescent="0.25">
      <c r="C3935" t="s">
        <v>10904</v>
      </c>
      <c r="G3935" t="s">
        <v>10904</v>
      </c>
      <c r="J3935" t="s">
        <v>352</v>
      </c>
      <c r="K3935" t="s">
        <v>303</v>
      </c>
      <c r="L3935" t="s">
        <v>3095</v>
      </c>
      <c r="M3935" t="s">
        <v>113</v>
      </c>
      <c r="AC3935" t="s">
        <v>119</v>
      </c>
      <c r="AD3935" t="s">
        <v>113</v>
      </c>
      <c r="AE3935" t="s">
        <v>3098</v>
      </c>
      <c r="AG3935" t="s">
        <v>121</v>
      </c>
    </row>
    <row r="3936" spans="1:33" x14ac:dyDescent="0.25">
      <c r="C3936" t="s">
        <v>18425</v>
      </c>
      <c r="G3936" t="s">
        <v>18425</v>
      </c>
      <c r="J3936" t="s">
        <v>352</v>
      </c>
      <c r="K3936" t="s">
        <v>303</v>
      </c>
      <c r="L3936" t="s">
        <v>3095</v>
      </c>
      <c r="M3936" t="s">
        <v>113</v>
      </c>
      <c r="AC3936" t="s">
        <v>119</v>
      </c>
      <c r="AD3936" t="s">
        <v>113</v>
      </c>
      <c r="AE3936" t="s">
        <v>3098</v>
      </c>
      <c r="AG3936" t="s">
        <v>121</v>
      </c>
    </row>
    <row r="3937" spans="1:33" x14ac:dyDescent="0.25">
      <c r="C3937" t="s">
        <v>12280</v>
      </c>
      <c r="G3937" t="s">
        <v>12280</v>
      </c>
      <c r="J3937" t="s">
        <v>352</v>
      </c>
      <c r="K3937" t="s">
        <v>303</v>
      </c>
      <c r="L3937" t="s">
        <v>3095</v>
      </c>
      <c r="M3937" t="s">
        <v>113</v>
      </c>
      <c r="AC3937" t="s">
        <v>119</v>
      </c>
      <c r="AD3937" t="s">
        <v>113</v>
      </c>
      <c r="AE3937" t="s">
        <v>3098</v>
      </c>
      <c r="AG3937" t="s">
        <v>121</v>
      </c>
    </row>
    <row r="3938" spans="1:33" x14ac:dyDescent="0.25">
      <c r="C3938" t="s">
        <v>21097</v>
      </c>
      <c r="G3938" t="s">
        <v>21097</v>
      </c>
      <c r="J3938" t="s">
        <v>352</v>
      </c>
      <c r="K3938" t="s">
        <v>303</v>
      </c>
      <c r="L3938" t="s">
        <v>3095</v>
      </c>
      <c r="M3938" t="s">
        <v>113</v>
      </c>
      <c r="AC3938" t="s">
        <v>119</v>
      </c>
      <c r="AD3938" t="s">
        <v>113</v>
      </c>
      <c r="AE3938" t="s">
        <v>3098</v>
      </c>
      <c r="AG3938" t="s">
        <v>121</v>
      </c>
    </row>
    <row r="3939" spans="1:33" x14ac:dyDescent="0.25">
      <c r="C3939" t="s">
        <v>10705</v>
      </c>
      <c r="G3939" t="s">
        <v>10705</v>
      </c>
      <c r="J3939" t="s">
        <v>352</v>
      </c>
      <c r="K3939" t="s">
        <v>303</v>
      </c>
      <c r="L3939" t="s">
        <v>3095</v>
      </c>
      <c r="M3939" t="s">
        <v>113</v>
      </c>
      <c r="AC3939" t="s">
        <v>119</v>
      </c>
      <c r="AD3939" t="s">
        <v>113</v>
      </c>
      <c r="AE3939" t="s">
        <v>3098</v>
      </c>
      <c r="AG3939" t="s">
        <v>121</v>
      </c>
    </row>
    <row r="3940" spans="1:33" x14ac:dyDescent="0.25">
      <c r="C3940" t="s">
        <v>10912</v>
      </c>
      <c r="G3940" t="s">
        <v>10912</v>
      </c>
      <c r="J3940" t="s">
        <v>352</v>
      </c>
      <c r="K3940" t="s">
        <v>303</v>
      </c>
      <c r="L3940" t="s">
        <v>3095</v>
      </c>
      <c r="M3940" t="s">
        <v>113</v>
      </c>
      <c r="AC3940" t="s">
        <v>119</v>
      </c>
      <c r="AD3940" t="s">
        <v>113</v>
      </c>
      <c r="AE3940" t="s">
        <v>3098</v>
      </c>
      <c r="AG3940" t="s">
        <v>121</v>
      </c>
    </row>
    <row r="3941" spans="1:33" x14ac:dyDescent="0.25">
      <c r="C3941" t="s">
        <v>4120</v>
      </c>
      <c r="G3941" t="s">
        <v>4120</v>
      </c>
      <c r="J3941" t="s">
        <v>352</v>
      </c>
      <c r="K3941" t="s">
        <v>303</v>
      </c>
      <c r="L3941" t="s">
        <v>3095</v>
      </c>
      <c r="M3941" t="s">
        <v>113</v>
      </c>
      <c r="AC3941" t="s">
        <v>119</v>
      </c>
      <c r="AD3941" t="s">
        <v>113</v>
      </c>
      <c r="AE3941" t="s">
        <v>3098</v>
      </c>
      <c r="AG3941" t="s">
        <v>121</v>
      </c>
    </row>
    <row r="3942" spans="1:33" x14ac:dyDescent="0.25">
      <c r="C3942" t="s">
        <v>6706</v>
      </c>
      <c r="G3942" t="s">
        <v>6706</v>
      </c>
      <c r="J3942" t="s">
        <v>352</v>
      </c>
      <c r="K3942" t="s">
        <v>303</v>
      </c>
      <c r="L3942" t="s">
        <v>3095</v>
      </c>
      <c r="M3942" t="s">
        <v>113</v>
      </c>
      <c r="AC3942" t="s">
        <v>119</v>
      </c>
      <c r="AD3942" t="s">
        <v>113</v>
      </c>
      <c r="AE3942" t="s">
        <v>3098</v>
      </c>
      <c r="AG3942" t="s">
        <v>121</v>
      </c>
    </row>
    <row r="3943" spans="1:33" x14ac:dyDescent="0.25">
      <c r="A3943" t="str">
        <f>"1740481431"</f>
        <v>1740481431</v>
      </c>
      <c r="B3943" t="str">
        <f>"03353651"</f>
        <v>03353651</v>
      </c>
      <c r="C3943" t="s">
        <v>21098</v>
      </c>
      <c r="D3943" t="s">
        <v>21099</v>
      </c>
      <c r="E3943" t="s">
        <v>21100</v>
      </c>
      <c r="G3943" t="s">
        <v>20732</v>
      </c>
      <c r="H3943" t="s">
        <v>443</v>
      </c>
      <c r="J3943" t="s">
        <v>20733</v>
      </c>
      <c r="L3943" t="s">
        <v>1033</v>
      </c>
      <c r="M3943" t="s">
        <v>113</v>
      </c>
      <c r="R3943" t="s">
        <v>21100</v>
      </c>
      <c r="W3943" t="s">
        <v>21100</v>
      </c>
      <c r="X3943" t="s">
        <v>405</v>
      </c>
      <c r="Y3943" t="s">
        <v>116</v>
      </c>
      <c r="Z3943" t="s">
        <v>117</v>
      </c>
      <c r="AA3943" t="str">
        <f>"14215-1139"</f>
        <v>14215-1139</v>
      </c>
      <c r="AB3943" t="s">
        <v>118</v>
      </c>
      <c r="AC3943" t="s">
        <v>119</v>
      </c>
      <c r="AD3943" t="s">
        <v>113</v>
      </c>
      <c r="AE3943" t="s">
        <v>120</v>
      </c>
      <c r="AG3943" t="s">
        <v>121</v>
      </c>
    </row>
    <row r="3944" spans="1:33" x14ac:dyDescent="0.25">
      <c r="A3944" t="str">
        <f>"1558467308"</f>
        <v>1558467308</v>
      </c>
      <c r="C3944" t="s">
        <v>21101</v>
      </c>
      <c r="G3944" t="s">
        <v>20732</v>
      </c>
      <c r="H3944" t="s">
        <v>443</v>
      </c>
      <c r="J3944" t="s">
        <v>20733</v>
      </c>
      <c r="K3944" t="s">
        <v>303</v>
      </c>
      <c r="L3944" t="s">
        <v>112</v>
      </c>
      <c r="M3944" t="s">
        <v>113</v>
      </c>
      <c r="AC3944" t="s">
        <v>119</v>
      </c>
      <c r="AD3944" t="s">
        <v>113</v>
      </c>
      <c r="AE3944" t="s">
        <v>306</v>
      </c>
      <c r="AG3944" t="s">
        <v>121</v>
      </c>
    </row>
    <row r="3945" spans="1:33" x14ac:dyDescent="0.25">
      <c r="A3945" t="str">
        <f>"1730132424"</f>
        <v>1730132424</v>
      </c>
      <c r="B3945" t="str">
        <f>"00629612"</f>
        <v>00629612</v>
      </c>
      <c r="C3945" t="s">
        <v>21102</v>
      </c>
      <c r="D3945" t="s">
        <v>21103</v>
      </c>
      <c r="E3945" t="s">
        <v>21104</v>
      </c>
      <c r="G3945" t="s">
        <v>20732</v>
      </c>
      <c r="H3945" t="s">
        <v>443</v>
      </c>
      <c r="J3945" t="s">
        <v>20733</v>
      </c>
      <c r="L3945" t="s">
        <v>112</v>
      </c>
      <c r="M3945" t="s">
        <v>199</v>
      </c>
      <c r="R3945" t="s">
        <v>21105</v>
      </c>
      <c r="W3945" t="s">
        <v>21104</v>
      </c>
      <c r="X3945" t="s">
        <v>21106</v>
      </c>
      <c r="Y3945" t="s">
        <v>116</v>
      </c>
      <c r="Z3945" t="s">
        <v>117</v>
      </c>
      <c r="AA3945" t="str">
        <f>"14215-3098"</f>
        <v>14215-3098</v>
      </c>
      <c r="AB3945" t="s">
        <v>118</v>
      </c>
      <c r="AC3945" t="s">
        <v>119</v>
      </c>
      <c r="AD3945" t="s">
        <v>113</v>
      </c>
      <c r="AE3945" t="s">
        <v>120</v>
      </c>
      <c r="AG3945" t="s">
        <v>121</v>
      </c>
    </row>
    <row r="3946" spans="1:33" x14ac:dyDescent="0.25">
      <c r="A3946" t="str">
        <f>"1912066655"</f>
        <v>1912066655</v>
      </c>
      <c r="C3946" t="s">
        <v>21107</v>
      </c>
      <c r="G3946" t="s">
        <v>21107</v>
      </c>
      <c r="H3946" t="s">
        <v>937</v>
      </c>
      <c r="J3946" t="s">
        <v>21108</v>
      </c>
      <c r="K3946" t="s">
        <v>303</v>
      </c>
      <c r="L3946" t="s">
        <v>229</v>
      </c>
      <c r="M3946" t="s">
        <v>113</v>
      </c>
      <c r="R3946" t="s">
        <v>21109</v>
      </c>
      <c r="S3946" t="s">
        <v>3739</v>
      </c>
      <c r="T3946" t="s">
        <v>240</v>
      </c>
      <c r="U3946" t="s">
        <v>117</v>
      </c>
      <c r="V3946" t="str">
        <f>"142216728"</f>
        <v>142216728</v>
      </c>
      <c r="AC3946" t="s">
        <v>119</v>
      </c>
      <c r="AD3946" t="s">
        <v>113</v>
      </c>
      <c r="AE3946" t="s">
        <v>306</v>
      </c>
      <c r="AG3946" t="s">
        <v>121</v>
      </c>
    </row>
    <row r="3947" spans="1:33" x14ac:dyDescent="0.25">
      <c r="A3947" t="str">
        <f>"1912086885"</f>
        <v>1912086885</v>
      </c>
      <c r="B3947" t="str">
        <f>"02079798"</f>
        <v>02079798</v>
      </c>
      <c r="C3947" t="s">
        <v>21110</v>
      </c>
      <c r="D3947" t="s">
        <v>21111</v>
      </c>
      <c r="E3947" t="s">
        <v>21112</v>
      </c>
      <c r="G3947" t="s">
        <v>21113</v>
      </c>
      <c r="H3947" t="s">
        <v>21114</v>
      </c>
      <c r="J3947" t="s">
        <v>21115</v>
      </c>
      <c r="L3947" t="s">
        <v>142</v>
      </c>
      <c r="M3947" t="s">
        <v>113</v>
      </c>
      <c r="R3947" t="s">
        <v>21116</v>
      </c>
      <c r="W3947" t="s">
        <v>21112</v>
      </c>
      <c r="X3947" t="s">
        <v>838</v>
      </c>
      <c r="Y3947" t="s">
        <v>240</v>
      </c>
      <c r="Z3947" t="s">
        <v>117</v>
      </c>
      <c r="AA3947" t="str">
        <f>"14221-3647"</f>
        <v>14221-3647</v>
      </c>
      <c r="AB3947" t="s">
        <v>118</v>
      </c>
      <c r="AC3947" t="s">
        <v>119</v>
      </c>
      <c r="AD3947" t="s">
        <v>113</v>
      </c>
      <c r="AE3947" t="s">
        <v>120</v>
      </c>
      <c r="AG3947" t="s">
        <v>121</v>
      </c>
    </row>
    <row r="3948" spans="1:33" x14ac:dyDescent="0.25">
      <c r="B3948" t="str">
        <f>"02011998"</f>
        <v>02011998</v>
      </c>
      <c r="C3948" t="s">
        <v>1598</v>
      </c>
      <c r="D3948" t="s">
        <v>1599</v>
      </c>
      <c r="E3948" t="s">
        <v>1598</v>
      </c>
      <c r="F3948">
        <v>160975538</v>
      </c>
      <c r="H3948" t="s">
        <v>1600</v>
      </c>
      <c r="L3948" t="s">
        <v>69</v>
      </c>
      <c r="M3948" t="s">
        <v>199</v>
      </c>
      <c r="W3948" t="s">
        <v>1598</v>
      </c>
      <c r="X3948" t="s">
        <v>1601</v>
      </c>
      <c r="Y3948" t="s">
        <v>240</v>
      </c>
      <c r="Z3948" t="s">
        <v>117</v>
      </c>
      <c r="AA3948" t="str">
        <f>"14221-3230"</f>
        <v>14221-3230</v>
      </c>
      <c r="AB3948" t="s">
        <v>291</v>
      </c>
      <c r="AC3948" t="s">
        <v>119</v>
      </c>
      <c r="AD3948" t="s">
        <v>113</v>
      </c>
      <c r="AE3948" t="s">
        <v>120</v>
      </c>
      <c r="AG3948" t="s">
        <v>121</v>
      </c>
    </row>
    <row r="3949" spans="1:33" x14ac:dyDescent="0.25">
      <c r="A3949" t="str">
        <f>"1841259108"</f>
        <v>1841259108</v>
      </c>
      <c r="B3949" t="str">
        <f>"01033889"</f>
        <v>01033889</v>
      </c>
      <c r="C3949" t="s">
        <v>21118</v>
      </c>
      <c r="D3949" t="s">
        <v>21119</v>
      </c>
      <c r="E3949" t="s">
        <v>21120</v>
      </c>
      <c r="G3949" t="s">
        <v>21118</v>
      </c>
      <c r="H3949" t="s">
        <v>3305</v>
      </c>
      <c r="J3949" t="s">
        <v>21121</v>
      </c>
      <c r="L3949" t="s">
        <v>142</v>
      </c>
      <c r="M3949" t="s">
        <v>113</v>
      </c>
      <c r="R3949" t="s">
        <v>21122</v>
      </c>
      <c r="W3949" t="s">
        <v>21120</v>
      </c>
      <c r="X3949" t="s">
        <v>21123</v>
      </c>
      <c r="Y3949" t="s">
        <v>116</v>
      </c>
      <c r="Z3949" t="s">
        <v>117</v>
      </c>
      <c r="AA3949" t="str">
        <f>"14215-1713"</f>
        <v>14215-1713</v>
      </c>
      <c r="AB3949" t="s">
        <v>118</v>
      </c>
      <c r="AC3949" t="s">
        <v>119</v>
      </c>
      <c r="AD3949" t="s">
        <v>113</v>
      </c>
      <c r="AE3949" t="s">
        <v>120</v>
      </c>
      <c r="AG3949" t="s">
        <v>121</v>
      </c>
    </row>
    <row r="3950" spans="1:33" x14ac:dyDescent="0.25">
      <c r="A3950" t="str">
        <f>"1841261484"</f>
        <v>1841261484</v>
      </c>
      <c r="B3950" t="str">
        <f>"01671489"</f>
        <v>01671489</v>
      </c>
      <c r="C3950" t="s">
        <v>21124</v>
      </c>
      <c r="D3950" t="s">
        <v>21125</v>
      </c>
      <c r="E3950" t="s">
        <v>21126</v>
      </c>
      <c r="G3950" t="s">
        <v>21124</v>
      </c>
      <c r="H3950" t="s">
        <v>2280</v>
      </c>
      <c r="J3950" t="s">
        <v>21127</v>
      </c>
      <c r="L3950" t="s">
        <v>142</v>
      </c>
      <c r="M3950" t="s">
        <v>113</v>
      </c>
      <c r="R3950" t="s">
        <v>21128</v>
      </c>
      <c r="W3950" t="s">
        <v>21126</v>
      </c>
      <c r="X3950" t="s">
        <v>176</v>
      </c>
      <c r="Y3950" t="s">
        <v>116</v>
      </c>
      <c r="Z3950" t="s">
        <v>117</v>
      </c>
      <c r="AA3950" t="str">
        <f>"14203-1126"</f>
        <v>14203-1126</v>
      </c>
      <c r="AB3950" t="s">
        <v>118</v>
      </c>
      <c r="AC3950" t="s">
        <v>119</v>
      </c>
      <c r="AD3950" t="s">
        <v>113</v>
      </c>
      <c r="AE3950" t="s">
        <v>120</v>
      </c>
      <c r="AG3950" t="s">
        <v>121</v>
      </c>
    </row>
    <row r="3951" spans="1:33" x14ac:dyDescent="0.25">
      <c r="A3951" t="str">
        <f>"1841263290"</f>
        <v>1841263290</v>
      </c>
      <c r="B3951" t="str">
        <f>"02430468"</f>
        <v>02430468</v>
      </c>
      <c r="C3951" t="s">
        <v>21129</v>
      </c>
      <c r="D3951" t="s">
        <v>21130</v>
      </c>
      <c r="E3951" t="s">
        <v>21131</v>
      </c>
      <c r="G3951" t="s">
        <v>21129</v>
      </c>
      <c r="H3951" t="s">
        <v>21132</v>
      </c>
      <c r="J3951" t="s">
        <v>21133</v>
      </c>
      <c r="L3951" t="s">
        <v>142</v>
      </c>
      <c r="M3951" t="s">
        <v>113</v>
      </c>
      <c r="R3951" t="s">
        <v>21131</v>
      </c>
      <c r="W3951" t="s">
        <v>21134</v>
      </c>
      <c r="X3951" t="s">
        <v>7730</v>
      </c>
      <c r="Y3951" t="s">
        <v>958</v>
      </c>
      <c r="Z3951" t="s">
        <v>117</v>
      </c>
      <c r="AA3951" t="str">
        <f>"14226-2500"</f>
        <v>14226-2500</v>
      </c>
      <c r="AB3951" t="s">
        <v>118</v>
      </c>
      <c r="AC3951" t="s">
        <v>119</v>
      </c>
      <c r="AD3951" t="s">
        <v>113</v>
      </c>
      <c r="AE3951" t="s">
        <v>120</v>
      </c>
      <c r="AG3951" t="s">
        <v>121</v>
      </c>
    </row>
    <row r="3952" spans="1:33" x14ac:dyDescent="0.25">
      <c r="A3952" t="str">
        <f>"1841263605"</f>
        <v>1841263605</v>
      </c>
      <c r="B3952" t="str">
        <f>"01001183"</f>
        <v>01001183</v>
      </c>
      <c r="C3952" t="s">
        <v>21135</v>
      </c>
      <c r="D3952" t="s">
        <v>21136</v>
      </c>
      <c r="E3952" t="s">
        <v>21137</v>
      </c>
      <c r="G3952" t="s">
        <v>21135</v>
      </c>
      <c r="H3952" t="s">
        <v>559</v>
      </c>
      <c r="J3952" t="s">
        <v>21138</v>
      </c>
      <c r="L3952" t="s">
        <v>142</v>
      </c>
      <c r="M3952" t="s">
        <v>113</v>
      </c>
      <c r="R3952" t="s">
        <v>21139</v>
      </c>
      <c r="W3952" t="s">
        <v>21137</v>
      </c>
      <c r="X3952" t="s">
        <v>5526</v>
      </c>
      <c r="Y3952" t="s">
        <v>116</v>
      </c>
      <c r="Z3952" t="s">
        <v>117</v>
      </c>
      <c r="AA3952" t="str">
        <f>"14215-3021"</f>
        <v>14215-3021</v>
      </c>
      <c r="AB3952" t="s">
        <v>118</v>
      </c>
      <c r="AC3952" t="s">
        <v>119</v>
      </c>
      <c r="AD3952" t="s">
        <v>113</v>
      </c>
      <c r="AE3952" t="s">
        <v>120</v>
      </c>
      <c r="AG3952" t="s">
        <v>121</v>
      </c>
    </row>
    <row r="3953" spans="1:33" x14ac:dyDescent="0.25">
      <c r="A3953" t="str">
        <f>"1841267838"</f>
        <v>1841267838</v>
      </c>
      <c r="B3953" t="str">
        <f>"01806133"</f>
        <v>01806133</v>
      </c>
      <c r="C3953" t="s">
        <v>21140</v>
      </c>
      <c r="D3953" t="s">
        <v>21141</v>
      </c>
      <c r="E3953" t="s">
        <v>21142</v>
      </c>
      <c r="H3953" t="s">
        <v>7298</v>
      </c>
      <c r="L3953" t="s">
        <v>142</v>
      </c>
      <c r="M3953" t="s">
        <v>113</v>
      </c>
      <c r="R3953" t="s">
        <v>21143</v>
      </c>
      <c r="W3953" t="s">
        <v>21142</v>
      </c>
      <c r="X3953" t="s">
        <v>21144</v>
      </c>
      <c r="Y3953" t="s">
        <v>527</v>
      </c>
      <c r="Z3953" t="s">
        <v>117</v>
      </c>
      <c r="AA3953" t="str">
        <f>"14103-1095"</f>
        <v>14103-1095</v>
      </c>
      <c r="AB3953" t="s">
        <v>118</v>
      </c>
      <c r="AC3953" t="s">
        <v>119</v>
      </c>
      <c r="AD3953" t="s">
        <v>113</v>
      </c>
      <c r="AE3953" t="s">
        <v>120</v>
      </c>
      <c r="AG3953" t="s">
        <v>121</v>
      </c>
    </row>
    <row r="3954" spans="1:33" x14ac:dyDescent="0.25">
      <c r="A3954" t="str">
        <f>"1841273166"</f>
        <v>1841273166</v>
      </c>
      <c r="B3954" t="str">
        <f>"00955615"</f>
        <v>00955615</v>
      </c>
      <c r="C3954" t="s">
        <v>21145</v>
      </c>
      <c r="D3954" t="s">
        <v>21146</v>
      </c>
      <c r="E3954" t="s">
        <v>21147</v>
      </c>
      <c r="G3954" t="s">
        <v>330</v>
      </c>
      <c r="H3954" t="s">
        <v>21148</v>
      </c>
      <c r="J3954" t="s">
        <v>332</v>
      </c>
      <c r="L3954" t="s">
        <v>142</v>
      </c>
      <c r="M3954" t="s">
        <v>113</v>
      </c>
      <c r="R3954" t="s">
        <v>21149</v>
      </c>
      <c r="W3954" t="s">
        <v>21147</v>
      </c>
      <c r="X3954" t="s">
        <v>21150</v>
      </c>
      <c r="Y3954" t="s">
        <v>2683</v>
      </c>
      <c r="Z3954" t="s">
        <v>117</v>
      </c>
      <c r="AA3954" t="str">
        <f>"14009"</f>
        <v>14009</v>
      </c>
      <c r="AB3954" t="s">
        <v>118</v>
      </c>
      <c r="AC3954" t="s">
        <v>119</v>
      </c>
      <c r="AD3954" t="s">
        <v>113</v>
      </c>
      <c r="AE3954" t="s">
        <v>120</v>
      </c>
      <c r="AG3954" t="s">
        <v>121</v>
      </c>
    </row>
    <row r="3955" spans="1:33" x14ac:dyDescent="0.25">
      <c r="A3955" t="str">
        <f>"1841276763"</f>
        <v>1841276763</v>
      </c>
      <c r="B3955" t="str">
        <f>"01339624"</f>
        <v>01339624</v>
      </c>
      <c r="C3955" t="s">
        <v>21151</v>
      </c>
      <c r="D3955" t="s">
        <v>21152</v>
      </c>
      <c r="E3955" t="s">
        <v>21153</v>
      </c>
      <c r="G3955" t="s">
        <v>21151</v>
      </c>
      <c r="H3955" t="s">
        <v>1006</v>
      </c>
      <c r="J3955" t="s">
        <v>21154</v>
      </c>
      <c r="L3955" t="s">
        <v>142</v>
      </c>
      <c r="M3955" t="s">
        <v>113</v>
      </c>
      <c r="R3955" t="s">
        <v>21155</v>
      </c>
      <c r="W3955" t="s">
        <v>21153</v>
      </c>
      <c r="X3955" t="s">
        <v>176</v>
      </c>
      <c r="Y3955" t="s">
        <v>116</v>
      </c>
      <c r="Z3955" t="s">
        <v>117</v>
      </c>
      <c r="AA3955" t="str">
        <f>"14203-1126"</f>
        <v>14203-1126</v>
      </c>
      <c r="AB3955" t="s">
        <v>118</v>
      </c>
      <c r="AC3955" t="s">
        <v>119</v>
      </c>
      <c r="AD3955" t="s">
        <v>113</v>
      </c>
      <c r="AE3955" t="s">
        <v>120</v>
      </c>
      <c r="AG3955" t="s">
        <v>121</v>
      </c>
    </row>
    <row r="3956" spans="1:33" x14ac:dyDescent="0.25">
      <c r="A3956" t="str">
        <f>"1841281086"</f>
        <v>1841281086</v>
      </c>
      <c r="B3956" t="str">
        <f>"01202184"</f>
        <v>01202184</v>
      </c>
      <c r="C3956" t="s">
        <v>21156</v>
      </c>
      <c r="D3956" t="s">
        <v>21157</v>
      </c>
      <c r="E3956" t="s">
        <v>21158</v>
      </c>
      <c r="G3956" t="s">
        <v>21156</v>
      </c>
      <c r="H3956" t="s">
        <v>744</v>
      </c>
      <c r="J3956" t="s">
        <v>21159</v>
      </c>
      <c r="L3956" t="s">
        <v>150</v>
      </c>
      <c r="M3956" t="s">
        <v>113</v>
      </c>
      <c r="R3956" t="s">
        <v>21160</v>
      </c>
      <c r="W3956" t="s">
        <v>21158</v>
      </c>
      <c r="X3956" t="s">
        <v>21161</v>
      </c>
      <c r="Y3956" t="s">
        <v>240</v>
      </c>
      <c r="Z3956" t="s">
        <v>117</v>
      </c>
      <c r="AA3956" t="str">
        <f>"14221-4695"</f>
        <v>14221-4695</v>
      </c>
      <c r="AB3956" t="s">
        <v>118</v>
      </c>
      <c r="AC3956" t="s">
        <v>119</v>
      </c>
      <c r="AD3956" t="s">
        <v>113</v>
      </c>
      <c r="AE3956" t="s">
        <v>120</v>
      </c>
      <c r="AG3956" t="s">
        <v>121</v>
      </c>
    </row>
    <row r="3957" spans="1:33" x14ac:dyDescent="0.25">
      <c r="A3957" t="str">
        <f>"1841283629"</f>
        <v>1841283629</v>
      </c>
      <c r="B3957" t="str">
        <f>"02411594"</f>
        <v>02411594</v>
      </c>
      <c r="C3957" t="s">
        <v>21162</v>
      </c>
      <c r="D3957" t="s">
        <v>21163</v>
      </c>
      <c r="E3957" t="s">
        <v>21164</v>
      </c>
      <c r="G3957" t="s">
        <v>21162</v>
      </c>
      <c r="H3957" t="s">
        <v>21165</v>
      </c>
      <c r="J3957" t="s">
        <v>21166</v>
      </c>
      <c r="L3957" t="s">
        <v>150</v>
      </c>
      <c r="M3957" t="s">
        <v>113</v>
      </c>
      <c r="R3957" t="s">
        <v>21164</v>
      </c>
      <c r="W3957" t="s">
        <v>21164</v>
      </c>
      <c r="X3957" t="s">
        <v>21167</v>
      </c>
      <c r="Y3957" t="s">
        <v>116</v>
      </c>
      <c r="Z3957" t="s">
        <v>117</v>
      </c>
      <c r="AA3957" t="str">
        <f>"14203-1154"</f>
        <v>14203-1154</v>
      </c>
      <c r="AB3957" t="s">
        <v>118</v>
      </c>
      <c r="AC3957" t="s">
        <v>119</v>
      </c>
      <c r="AD3957" t="s">
        <v>113</v>
      </c>
      <c r="AE3957" t="s">
        <v>120</v>
      </c>
      <c r="AG3957" t="s">
        <v>121</v>
      </c>
    </row>
    <row r="3958" spans="1:33" x14ac:dyDescent="0.25">
      <c r="A3958" t="str">
        <f>"1043345713"</f>
        <v>1043345713</v>
      </c>
      <c r="B3958" t="str">
        <f>"02993759"</f>
        <v>02993759</v>
      </c>
      <c r="C3958" t="s">
        <v>5109</v>
      </c>
      <c r="D3958" t="s">
        <v>9454</v>
      </c>
      <c r="E3958" t="s">
        <v>9455</v>
      </c>
      <c r="G3958" t="s">
        <v>9456</v>
      </c>
      <c r="H3958" t="s">
        <v>7199</v>
      </c>
      <c r="J3958" t="s">
        <v>9457</v>
      </c>
      <c r="L3958" t="s">
        <v>9458</v>
      </c>
      <c r="M3958" t="s">
        <v>199</v>
      </c>
      <c r="R3958" t="s">
        <v>5109</v>
      </c>
      <c r="W3958" t="s">
        <v>9459</v>
      </c>
      <c r="X3958" t="s">
        <v>5114</v>
      </c>
      <c r="Y3958" t="s">
        <v>1628</v>
      </c>
      <c r="Z3958" t="s">
        <v>117</v>
      </c>
      <c r="AA3958" t="str">
        <f>"14411-9301"</f>
        <v>14411-9301</v>
      </c>
      <c r="AB3958" t="s">
        <v>1460</v>
      </c>
      <c r="AC3958" t="s">
        <v>119</v>
      </c>
      <c r="AD3958" t="s">
        <v>113</v>
      </c>
      <c r="AE3958" t="s">
        <v>120</v>
      </c>
      <c r="AG3958" t="s">
        <v>121</v>
      </c>
    </row>
    <row r="3959" spans="1:33" x14ac:dyDescent="0.25">
      <c r="A3959" t="str">
        <f>"1841286747"</f>
        <v>1841286747</v>
      </c>
      <c r="B3959" t="str">
        <f>"01075727"</f>
        <v>01075727</v>
      </c>
      <c r="C3959" t="s">
        <v>21172</v>
      </c>
      <c r="D3959" t="s">
        <v>21173</v>
      </c>
      <c r="E3959" t="s">
        <v>21174</v>
      </c>
      <c r="G3959" t="s">
        <v>21172</v>
      </c>
      <c r="H3959" t="s">
        <v>3336</v>
      </c>
      <c r="J3959" t="s">
        <v>21175</v>
      </c>
      <c r="L3959" t="s">
        <v>728</v>
      </c>
      <c r="M3959" t="s">
        <v>113</v>
      </c>
      <c r="R3959" t="s">
        <v>21176</v>
      </c>
      <c r="W3959" t="s">
        <v>21174</v>
      </c>
      <c r="X3959" t="s">
        <v>176</v>
      </c>
      <c r="Y3959" t="s">
        <v>116</v>
      </c>
      <c r="Z3959" t="s">
        <v>117</v>
      </c>
      <c r="AA3959" t="str">
        <f>"14203-1126"</f>
        <v>14203-1126</v>
      </c>
      <c r="AB3959" t="s">
        <v>118</v>
      </c>
      <c r="AC3959" t="s">
        <v>119</v>
      </c>
      <c r="AD3959" t="s">
        <v>113</v>
      </c>
      <c r="AE3959" t="s">
        <v>120</v>
      </c>
      <c r="AG3959" t="s">
        <v>121</v>
      </c>
    </row>
    <row r="3960" spans="1:33" x14ac:dyDescent="0.25">
      <c r="A3960" t="str">
        <f>"1841297496"</f>
        <v>1841297496</v>
      </c>
      <c r="B3960" t="str">
        <f>"01566072"</f>
        <v>01566072</v>
      </c>
      <c r="C3960" t="s">
        <v>21177</v>
      </c>
      <c r="D3960" t="s">
        <v>21178</v>
      </c>
      <c r="E3960" t="s">
        <v>21179</v>
      </c>
      <c r="G3960" t="s">
        <v>21177</v>
      </c>
      <c r="H3960" t="s">
        <v>9222</v>
      </c>
      <c r="J3960" t="s">
        <v>21180</v>
      </c>
      <c r="L3960" t="s">
        <v>142</v>
      </c>
      <c r="M3960" t="s">
        <v>113</v>
      </c>
      <c r="R3960" t="s">
        <v>21181</v>
      </c>
      <c r="W3960" t="s">
        <v>21182</v>
      </c>
      <c r="X3960" t="s">
        <v>9883</v>
      </c>
      <c r="Y3960" t="s">
        <v>116</v>
      </c>
      <c r="Z3960" t="s">
        <v>117</v>
      </c>
      <c r="AA3960" t="str">
        <f>"14209-1118"</f>
        <v>14209-1118</v>
      </c>
      <c r="AB3960" t="s">
        <v>118</v>
      </c>
      <c r="AC3960" t="s">
        <v>119</v>
      </c>
      <c r="AD3960" t="s">
        <v>113</v>
      </c>
      <c r="AE3960" t="s">
        <v>120</v>
      </c>
      <c r="AG3960" t="s">
        <v>121</v>
      </c>
    </row>
    <row r="3961" spans="1:33" x14ac:dyDescent="0.25">
      <c r="A3961" t="str">
        <f>"1841305349"</f>
        <v>1841305349</v>
      </c>
      <c r="B3961" t="str">
        <f>"02937924"</f>
        <v>02937924</v>
      </c>
      <c r="C3961" t="s">
        <v>21183</v>
      </c>
      <c r="D3961" t="s">
        <v>21184</v>
      </c>
      <c r="E3961" t="s">
        <v>21185</v>
      </c>
      <c r="G3961" t="s">
        <v>21186</v>
      </c>
      <c r="H3961" t="s">
        <v>213</v>
      </c>
      <c r="J3961" t="s">
        <v>21187</v>
      </c>
      <c r="L3961" t="s">
        <v>142</v>
      </c>
      <c r="M3961" t="s">
        <v>199</v>
      </c>
      <c r="R3961" t="s">
        <v>21185</v>
      </c>
      <c r="W3961" t="s">
        <v>21188</v>
      </c>
      <c r="X3961" t="s">
        <v>216</v>
      </c>
      <c r="Y3961" t="s">
        <v>116</v>
      </c>
      <c r="Z3961" t="s">
        <v>117</v>
      </c>
      <c r="AA3961" t="str">
        <f>"14222-2006"</f>
        <v>14222-2006</v>
      </c>
      <c r="AB3961" t="s">
        <v>118</v>
      </c>
      <c r="AC3961" t="s">
        <v>119</v>
      </c>
      <c r="AD3961" t="s">
        <v>113</v>
      </c>
      <c r="AE3961" t="s">
        <v>120</v>
      </c>
      <c r="AG3961" t="s">
        <v>121</v>
      </c>
    </row>
    <row r="3962" spans="1:33" x14ac:dyDescent="0.25">
      <c r="A3962" t="str">
        <f>"1841340569"</f>
        <v>1841340569</v>
      </c>
      <c r="B3962" t="str">
        <f>"00618777"</f>
        <v>00618777</v>
      </c>
      <c r="C3962" t="s">
        <v>21189</v>
      </c>
      <c r="D3962" t="s">
        <v>21190</v>
      </c>
      <c r="E3962" t="s">
        <v>21191</v>
      </c>
      <c r="G3962" t="s">
        <v>21192</v>
      </c>
      <c r="H3962" t="s">
        <v>10422</v>
      </c>
      <c r="J3962" t="s">
        <v>18927</v>
      </c>
      <c r="L3962" t="s">
        <v>1714</v>
      </c>
      <c r="M3962" t="s">
        <v>199</v>
      </c>
      <c r="R3962" t="s">
        <v>6563</v>
      </c>
      <c r="W3962" t="s">
        <v>21191</v>
      </c>
      <c r="X3962" t="s">
        <v>21193</v>
      </c>
      <c r="Y3962" t="s">
        <v>153</v>
      </c>
      <c r="Z3962" t="s">
        <v>117</v>
      </c>
      <c r="AA3962" t="str">
        <f>"14302-1201"</f>
        <v>14302-1201</v>
      </c>
      <c r="AB3962" t="s">
        <v>1146</v>
      </c>
      <c r="AC3962" t="s">
        <v>119</v>
      </c>
      <c r="AD3962" t="s">
        <v>113</v>
      </c>
      <c r="AE3962" t="s">
        <v>120</v>
      </c>
      <c r="AG3962" t="s">
        <v>121</v>
      </c>
    </row>
    <row r="3963" spans="1:33" x14ac:dyDescent="0.25">
      <c r="A3963" t="str">
        <f>"1841350931"</f>
        <v>1841350931</v>
      </c>
      <c r="B3963" t="str">
        <f>"02411989"</f>
        <v>02411989</v>
      </c>
      <c r="C3963" t="s">
        <v>21194</v>
      </c>
      <c r="D3963" t="s">
        <v>21195</v>
      </c>
      <c r="E3963" t="s">
        <v>21196</v>
      </c>
      <c r="G3963" t="s">
        <v>21194</v>
      </c>
      <c r="H3963" t="s">
        <v>21197</v>
      </c>
      <c r="J3963" t="s">
        <v>21198</v>
      </c>
      <c r="L3963" t="s">
        <v>112</v>
      </c>
      <c r="M3963" t="s">
        <v>199</v>
      </c>
      <c r="R3963" t="s">
        <v>21199</v>
      </c>
      <c r="W3963" t="s">
        <v>21200</v>
      </c>
      <c r="X3963" t="s">
        <v>21201</v>
      </c>
      <c r="Y3963" t="s">
        <v>1593</v>
      </c>
      <c r="Z3963" t="s">
        <v>117</v>
      </c>
      <c r="AA3963" t="str">
        <f>"14068-1061"</f>
        <v>14068-1061</v>
      </c>
      <c r="AB3963" t="s">
        <v>634</v>
      </c>
      <c r="AC3963" t="s">
        <v>119</v>
      </c>
      <c r="AD3963" t="s">
        <v>113</v>
      </c>
      <c r="AE3963" t="s">
        <v>120</v>
      </c>
      <c r="AG3963" t="s">
        <v>121</v>
      </c>
    </row>
    <row r="3964" spans="1:33" x14ac:dyDescent="0.25">
      <c r="A3964" t="str">
        <f>"1841365368"</f>
        <v>1841365368</v>
      </c>
      <c r="C3964" t="s">
        <v>21202</v>
      </c>
      <c r="G3964" t="s">
        <v>21203</v>
      </c>
      <c r="H3964" t="s">
        <v>351</v>
      </c>
      <c r="J3964" t="s">
        <v>352</v>
      </c>
      <c r="K3964" t="s">
        <v>303</v>
      </c>
      <c r="L3964" t="s">
        <v>229</v>
      </c>
      <c r="M3964" t="s">
        <v>113</v>
      </c>
      <c r="R3964" t="s">
        <v>21204</v>
      </c>
      <c r="S3964" t="s">
        <v>13175</v>
      </c>
      <c r="T3964" t="s">
        <v>153</v>
      </c>
      <c r="U3964" t="s">
        <v>117</v>
      </c>
      <c r="V3964" t="str">
        <f>"143012232"</f>
        <v>143012232</v>
      </c>
      <c r="AC3964" t="s">
        <v>119</v>
      </c>
      <c r="AD3964" t="s">
        <v>113</v>
      </c>
      <c r="AE3964" t="s">
        <v>306</v>
      </c>
      <c r="AG3964" t="s">
        <v>121</v>
      </c>
    </row>
    <row r="3965" spans="1:33" x14ac:dyDescent="0.25">
      <c r="A3965" t="str">
        <f>"1841377132"</f>
        <v>1841377132</v>
      </c>
      <c r="B3965" t="str">
        <f>"02697405"</f>
        <v>02697405</v>
      </c>
      <c r="C3965" t="s">
        <v>21205</v>
      </c>
      <c r="D3965" t="s">
        <v>21206</v>
      </c>
      <c r="E3965" t="s">
        <v>21207</v>
      </c>
      <c r="G3965" t="s">
        <v>6204</v>
      </c>
      <c r="H3965" t="s">
        <v>11175</v>
      </c>
      <c r="J3965" t="s">
        <v>6205</v>
      </c>
      <c r="L3965" t="s">
        <v>150</v>
      </c>
      <c r="M3965" t="s">
        <v>113</v>
      </c>
      <c r="R3965" t="s">
        <v>21208</v>
      </c>
      <c r="W3965" t="s">
        <v>21209</v>
      </c>
      <c r="X3965" t="s">
        <v>253</v>
      </c>
      <c r="Y3965" t="s">
        <v>116</v>
      </c>
      <c r="Z3965" t="s">
        <v>117</v>
      </c>
      <c r="AA3965" t="str">
        <f>"14215-3021"</f>
        <v>14215-3021</v>
      </c>
      <c r="AB3965" t="s">
        <v>118</v>
      </c>
      <c r="AC3965" t="s">
        <v>119</v>
      </c>
      <c r="AD3965" t="s">
        <v>113</v>
      </c>
      <c r="AE3965" t="s">
        <v>120</v>
      </c>
      <c r="AG3965" t="s">
        <v>121</v>
      </c>
    </row>
    <row r="3966" spans="1:33" x14ac:dyDescent="0.25">
      <c r="A3966" t="str">
        <f>"1841384906"</f>
        <v>1841384906</v>
      </c>
      <c r="B3966" t="str">
        <f>"01185657"</f>
        <v>01185657</v>
      </c>
      <c r="C3966" t="s">
        <v>21210</v>
      </c>
      <c r="D3966" t="s">
        <v>21211</v>
      </c>
      <c r="E3966" t="s">
        <v>21212</v>
      </c>
      <c r="H3966" t="s">
        <v>21213</v>
      </c>
      <c r="L3966" t="s">
        <v>69</v>
      </c>
      <c r="M3966" t="s">
        <v>113</v>
      </c>
      <c r="R3966" t="s">
        <v>21210</v>
      </c>
      <c r="W3966" t="s">
        <v>21212</v>
      </c>
      <c r="X3966" t="s">
        <v>21214</v>
      </c>
      <c r="Y3966" t="s">
        <v>318</v>
      </c>
      <c r="Z3966" t="s">
        <v>117</v>
      </c>
      <c r="AA3966" t="str">
        <f>"14225-4914"</f>
        <v>14225-4914</v>
      </c>
      <c r="AB3966" t="s">
        <v>528</v>
      </c>
      <c r="AC3966" t="s">
        <v>119</v>
      </c>
      <c r="AD3966" t="s">
        <v>113</v>
      </c>
      <c r="AE3966" t="s">
        <v>120</v>
      </c>
      <c r="AG3966" t="s">
        <v>121</v>
      </c>
    </row>
    <row r="3967" spans="1:33" x14ac:dyDescent="0.25">
      <c r="A3967" t="str">
        <f>"1841406022"</f>
        <v>1841406022</v>
      </c>
      <c r="B3967" t="str">
        <f>"02006393"</f>
        <v>02006393</v>
      </c>
      <c r="C3967" t="s">
        <v>21215</v>
      </c>
      <c r="D3967" t="s">
        <v>21216</v>
      </c>
      <c r="E3967" t="s">
        <v>21217</v>
      </c>
      <c r="G3967" t="s">
        <v>21215</v>
      </c>
      <c r="H3967" t="s">
        <v>4748</v>
      </c>
      <c r="J3967" t="s">
        <v>21218</v>
      </c>
      <c r="L3967" t="s">
        <v>142</v>
      </c>
      <c r="M3967" t="s">
        <v>199</v>
      </c>
      <c r="R3967" t="s">
        <v>21219</v>
      </c>
      <c r="W3967" t="s">
        <v>21217</v>
      </c>
      <c r="X3967" t="s">
        <v>216</v>
      </c>
      <c r="Y3967" t="s">
        <v>116</v>
      </c>
      <c r="Z3967" t="s">
        <v>117</v>
      </c>
      <c r="AA3967" t="str">
        <f>"14222-2006"</f>
        <v>14222-2006</v>
      </c>
      <c r="AB3967" t="s">
        <v>118</v>
      </c>
      <c r="AC3967" t="s">
        <v>119</v>
      </c>
      <c r="AD3967" t="s">
        <v>113</v>
      </c>
      <c r="AE3967" t="s">
        <v>120</v>
      </c>
      <c r="AG3967" t="s">
        <v>121</v>
      </c>
    </row>
    <row r="3968" spans="1:33" x14ac:dyDescent="0.25">
      <c r="A3968" t="str">
        <f>"1962479634"</f>
        <v>1962479634</v>
      </c>
      <c r="B3968" t="str">
        <f>"02568156"</f>
        <v>02568156</v>
      </c>
      <c r="C3968" t="s">
        <v>21220</v>
      </c>
      <c r="D3968" t="s">
        <v>21221</v>
      </c>
      <c r="E3968" t="s">
        <v>21222</v>
      </c>
      <c r="G3968" t="s">
        <v>21220</v>
      </c>
      <c r="H3968" t="s">
        <v>21223</v>
      </c>
      <c r="J3968" t="s">
        <v>21224</v>
      </c>
      <c r="L3968" t="s">
        <v>142</v>
      </c>
      <c r="M3968" t="s">
        <v>199</v>
      </c>
      <c r="R3968" t="s">
        <v>21225</v>
      </c>
      <c r="W3968" t="s">
        <v>21226</v>
      </c>
      <c r="X3968" t="s">
        <v>216</v>
      </c>
      <c r="Y3968" t="s">
        <v>116</v>
      </c>
      <c r="Z3968" t="s">
        <v>117</v>
      </c>
      <c r="AA3968" t="str">
        <f>"14222-2006"</f>
        <v>14222-2006</v>
      </c>
      <c r="AB3968" t="s">
        <v>118</v>
      </c>
      <c r="AC3968" t="s">
        <v>119</v>
      </c>
      <c r="AD3968" t="s">
        <v>113</v>
      </c>
      <c r="AE3968" t="s">
        <v>120</v>
      </c>
      <c r="AG3968" t="s">
        <v>121</v>
      </c>
    </row>
    <row r="3969" spans="1:33" x14ac:dyDescent="0.25">
      <c r="A3969" t="str">
        <f>"1962481911"</f>
        <v>1962481911</v>
      </c>
      <c r="B3969" t="str">
        <f>"02247354"</f>
        <v>02247354</v>
      </c>
      <c r="C3969" t="s">
        <v>21227</v>
      </c>
      <c r="D3969" t="s">
        <v>21228</v>
      </c>
      <c r="E3969" t="s">
        <v>21229</v>
      </c>
      <c r="G3969" t="s">
        <v>21227</v>
      </c>
      <c r="H3969" t="s">
        <v>366</v>
      </c>
      <c r="J3969" t="s">
        <v>21230</v>
      </c>
      <c r="L3969" t="s">
        <v>142</v>
      </c>
      <c r="M3969" t="s">
        <v>113</v>
      </c>
      <c r="R3969" t="s">
        <v>21231</v>
      </c>
      <c r="W3969" t="s">
        <v>21229</v>
      </c>
      <c r="X3969" t="s">
        <v>21232</v>
      </c>
      <c r="Y3969" t="s">
        <v>116</v>
      </c>
      <c r="Z3969" t="s">
        <v>117</v>
      </c>
      <c r="AA3969" t="str">
        <f>"14203-1194"</f>
        <v>14203-1194</v>
      </c>
      <c r="AB3969" t="s">
        <v>118</v>
      </c>
      <c r="AC3969" t="s">
        <v>119</v>
      </c>
      <c r="AD3969" t="s">
        <v>113</v>
      </c>
      <c r="AE3969" t="s">
        <v>120</v>
      </c>
      <c r="AG3969" t="s">
        <v>121</v>
      </c>
    </row>
    <row r="3970" spans="1:33" x14ac:dyDescent="0.25">
      <c r="A3970" t="str">
        <f>"1962485268"</f>
        <v>1962485268</v>
      </c>
      <c r="B3970" t="str">
        <f>"02344030"</f>
        <v>02344030</v>
      </c>
      <c r="C3970" t="s">
        <v>21233</v>
      </c>
      <c r="D3970" t="s">
        <v>21234</v>
      </c>
      <c r="E3970" t="s">
        <v>21235</v>
      </c>
      <c r="G3970" t="s">
        <v>21236</v>
      </c>
      <c r="H3970" t="s">
        <v>707</v>
      </c>
      <c r="J3970" t="s">
        <v>21237</v>
      </c>
      <c r="L3970" t="s">
        <v>142</v>
      </c>
      <c r="M3970" t="s">
        <v>113</v>
      </c>
      <c r="R3970" t="s">
        <v>21238</v>
      </c>
      <c r="W3970" t="s">
        <v>21235</v>
      </c>
      <c r="X3970" t="s">
        <v>709</v>
      </c>
      <c r="Y3970" t="s">
        <v>116</v>
      </c>
      <c r="Z3970" t="s">
        <v>117</v>
      </c>
      <c r="AA3970" t="str">
        <f>"14263-0001"</f>
        <v>14263-0001</v>
      </c>
      <c r="AB3970" t="s">
        <v>118</v>
      </c>
      <c r="AC3970" t="s">
        <v>119</v>
      </c>
      <c r="AD3970" t="s">
        <v>113</v>
      </c>
      <c r="AE3970" t="s">
        <v>120</v>
      </c>
      <c r="AG3970" t="s">
        <v>121</v>
      </c>
    </row>
    <row r="3971" spans="1:33" x14ac:dyDescent="0.25">
      <c r="A3971" t="str">
        <f>"1962515692"</f>
        <v>1962515692</v>
      </c>
      <c r="C3971" t="s">
        <v>21239</v>
      </c>
      <c r="G3971" t="s">
        <v>21240</v>
      </c>
      <c r="H3971" t="s">
        <v>21241</v>
      </c>
      <c r="J3971" t="s">
        <v>21242</v>
      </c>
      <c r="K3971" t="s">
        <v>303</v>
      </c>
      <c r="L3971" t="s">
        <v>229</v>
      </c>
      <c r="M3971" t="s">
        <v>113</v>
      </c>
      <c r="R3971" t="s">
        <v>21239</v>
      </c>
      <c r="S3971" t="s">
        <v>5114</v>
      </c>
      <c r="T3971" t="s">
        <v>1628</v>
      </c>
      <c r="U3971" t="s">
        <v>117</v>
      </c>
      <c r="V3971" t="str">
        <f>"144119301"</f>
        <v>144119301</v>
      </c>
      <c r="AC3971" t="s">
        <v>119</v>
      </c>
      <c r="AD3971" t="s">
        <v>113</v>
      </c>
      <c r="AE3971" t="s">
        <v>306</v>
      </c>
      <c r="AG3971" t="s">
        <v>121</v>
      </c>
    </row>
    <row r="3972" spans="1:33" x14ac:dyDescent="0.25">
      <c r="A3972" t="str">
        <f>"1962533554"</f>
        <v>1962533554</v>
      </c>
      <c r="B3972" t="str">
        <f>"02863972"</f>
        <v>02863972</v>
      </c>
      <c r="C3972" t="s">
        <v>21243</v>
      </c>
      <c r="D3972" t="s">
        <v>21244</v>
      </c>
      <c r="E3972" t="s">
        <v>21245</v>
      </c>
      <c r="G3972" t="s">
        <v>21243</v>
      </c>
      <c r="H3972" t="s">
        <v>2347</v>
      </c>
      <c r="J3972" t="s">
        <v>21246</v>
      </c>
      <c r="L3972" t="s">
        <v>142</v>
      </c>
      <c r="M3972" t="s">
        <v>113</v>
      </c>
      <c r="R3972" t="s">
        <v>21247</v>
      </c>
      <c r="W3972" t="s">
        <v>21248</v>
      </c>
      <c r="X3972" t="s">
        <v>152</v>
      </c>
      <c r="Y3972" t="s">
        <v>153</v>
      </c>
      <c r="Z3972" t="s">
        <v>117</v>
      </c>
      <c r="AA3972" t="str">
        <f>"14301-1813"</f>
        <v>14301-1813</v>
      </c>
      <c r="AB3972" t="s">
        <v>118</v>
      </c>
      <c r="AC3972" t="s">
        <v>119</v>
      </c>
      <c r="AD3972" t="s">
        <v>113</v>
      </c>
      <c r="AE3972" t="s">
        <v>120</v>
      </c>
      <c r="AG3972" t="s">
        <v>121</v>
      </c>
    </row>
    <row r="3973" spans="1:33" x14ac:dyDescent="0.25">
      <c r="A3973" t="str">
        <f>"1962548511"</f>
        <v>1962548511</v>
      </c>
      <c r="B3973" t="str">
        <f>"03850391"</f>
        <v>03850391</v>
      </c>
      <c r="C3973" t="s">
        <v>21249</v>
      </c>
      <c r="D3973" t="s">
        <v>21250</v>
      </c>
      <c r="E3973" t="s">
        <v>21251</v>
      </c>
      <c r="G3973" t="s">
        <v>21252</v>
      </c>
      <c r="H3973" t="s">
        <v>21253</v>
      </c>
      <c r="J3973" t="s">
        <v>21254</v>
      </c>
      <c r="L3973" t="s">
        <v>8364</v>
      </c>
      <c r="M3973" t="s">
        <v>113</v>
      </c>
      <c r="R3973" t="s">
        <v>21255</v>
      </c>
      <c r="W3973" t="s">
        <v>21251</v>
      </c>
      <c r="X3973" t="s">
        <v>8739</v>
      </c>
      <c r="Y3973" t="s">
        <v>116</v>
      </c>
      <c r="Z3973" t="s">
        <v>117</v>
      </c>
      <c r="AA3973" t="str">
        <f>"14203-2209"</f>
        <v>14203-2209</v>
      </c>
      <c r="AB3973" t="s">
        <v>118</v>
      </c>
      <c r="AC3973" t="s">
        <v>119</v>
      </c>
      <c r="AD3973" t="s">
        <v>113</v>
      </c>
      <c r="AE3973" t="s">
        <v>120</v>
      </c>
      <c r="AG3973" t="s">
        <v>121</v>
      </c>
    </row>
    <row r="3974" spans="1:33" x14ac:dyDescent="0.25">
      <c r="C3974" t="s">
        <v>21256</v>
      </c>
      <c r="G3974" t="s">
        <v>21257</v>
      </c>
      <c r="H3974" t="s">
        <v>21258</v>
      </c>
      <c r="I3974">
        <v>304</v>
      </c>
      <c r="J3974" t="s">
        <v>21259</v>
      </c>
      <c r="K3974" t="s">
        <v>303</v>
      </c>
      <c r="L3974" t="s">
        <v>3095</v>
      </c>
      <c r="M3974" t="s">
        <v>113</v>
      </c>
      <c r="AC3974" t="s">
        <v>119</v>
      </c>
      <c r="AD3974" t="s">
        <v>113</v>
      </c>
      <c r="AE3974" t="s">
        <v>3098</v>
      </c>
      <c r="AG3974" t="s">
        <v>121</v>
      </c>
    </row>
    <row r="3975" spans="1:33" x14ac:dyDescent="0.25">
      <c r="C3975" t="s">
        <v>21260</v>
      </c>
      <c r="G3975" t="s">
        <v>21261</v>
      </c>
      <c r="H3975" t="s">
        <v>21262</v>
      </c>
      <c r="J3975" t="s">
        <v>3094</v>
      </c>
      <c r="K3975" t="s">
        <v>303</v>
      </c>
      <c r="L3975" t="s">
        <v>3095</v>
      </c>
      <c r="M3975" t="s">
        <v>113</v>
      </c>
      <c r="N3975" t="s">
        <v>21263</v>
      </c>
      <c r="O3975" t="s">
        <v>3097</v>
      </c>
      <c r="P3975" t="s">
        <v>117</v>
      </c>
      <c r="Q3975" t="str">
        <f>"14211"</f>
        <v>14211</v>
      </c>
      <c r="AC3975" t="s">
        <v>119</v>
      </c>
      <c r="AD3975" t="s">
        <v>113</v>
      </c>
      <c r="AE3975" t="s">
        <v>3098</v>
      </c>
      <c r="AG3975" t="s">
        <v>121</v>
      </c>
    </row>
    <row r="3976" spans="1:33" x14ac:dyDescent="0.25">
      <c r="C3976" t="s">
        <v>21264</v>
      </c>
      <c r="G3976" t="s">
        <v>21265</v>
      </c>
      <c r="H3976" t="s">
        <v>21266</v>
      </c>
      <c r="J3976" t="s">
        <v>3094</v>
      </c>
      <c r="K3976" t="s">
        <v>303</v>
      </c>
      <c r="L3976" t="s">
        <v>3095</v>
      </c>
      <c r="M3976" t="s">
        <v>113</v>
      </c>
      <c r="N3976" t="s">
        <v>21267</v>
      </c>
      <c r="O3976" t="s">
        <v>3097</v>
      </c>
      <c r="P3976" t="s">
        <v>117</v>
      </c>
      <c r="Q3976" t="str">
        <f>"14211"</f>
        <v>14211</v>
      </c>
      <c r="AC3976" t="s">
        <v>119</v>
      </c>
      <c r="AD3976" t="s">
        <v>113</v>
      </c>
      <c r="AE3976" t="s">
        <v>3098</v>
      </c>
      <c r="AG3976" t="s">
        <v>121</v>
      </c>
    </row>
    <row r="3977" spans="1:33" x14ac:dyDescent="0.25">
      <c r="C3977" t="s">
        <v>21268</v>
      </c>
      <c r="G3977" t="s">
        <v>21269</v>
      </c>
      <c r="H3977" t="s">
        <v>21270</v>
      </c>
      <c r="J3977" t="s">
        <v>3094</v>
      </c>
      <c r="K3977" t="s">
        <v>303</v>
      </c>
      <c r="L3977" t="s">
        <v>3095</v>
      </c>
      <c r="M3977" t="s">
        <v>113</v>
      </c>
      <c r="N3977" t="s">
        <v>21271</v>
      </c>
      <c r="O3977" t="s">
        <v>3097</v>
      </c>
      <c r="P3977" t="s">
        <v>117</v>
      </c>
      <c r="Q3977" t="str">
        <f>"14225"</f>
        <v>14225</v>
      </c>
      <c r="AC3977" t="s">
        <v>119</v>
      </c>
      <c r="AD3977" t="s">
        <v>113</v>
      </c>
      <c r="AE3977" t="s">
        <v>3098</v>
      </c>
      <c r="AG3977" t="s">
        <v>121</v>
      </c>
    </row>
    <row r="3978" spans="1:33" x14ac:dyDescent="0.25">
      <c r="C3978" t="s">
        <v>21272</v>
      </c>
      <c r="G3978" t="s">
        <v>21273</v>
      </c>
      <c r="H3978" t="s">
        <v>21274</v>
      </c>
      <c r="J3978" t="s">
        <v>3094</v>
      </c>
      <c r="K3978" t="s">
        <v>303</v>
      </c>
      <c r="L3978" t="s">
        <v>3095</v>
      </c>
      <c r="M3978" t="s">
        <v>113</v>
      </c>
      <c r="N3978" t="s">
        <v>21275</v>
      </c>
      <c r="O3978" t="s">
        <v>3097</v>
      </c>
      <c r="P3978" t="s">
        <v>117</v>
      </c>
      <c r="Q3978" t="str">
        <f>"14211"</f>
        <v>14211</v>
      </c>
      <c r="AC3978" t="s">
        <v>119</v>
      </c>
      <c r="AD3978" t="s">
        <v>113</v>
      </c>
      <c r="AE3978" t="s">
        <v>3098</v>
      </c>
      <c r="AG3978" t="s">
        <v>121</v>
      </c>
    </row>
    <row r="3979" spans="1:33" x14ac:dyDescent="0.25">
      <c r="C3979" t="s">
        <v>11478</v>
      </c>
      <c r="G3979" t="s">
        <v>11478</v>
      </c>
      <c r="J3979" t="s">
        <v>352</v>
      </c>
      <c r="K3979" t="s">
        <v>303</v>
      </c>
      <c r="L3979" t="s">
        <v>3095</v>
      </c>
      <c r="M3979" t="s">
        <v>113</v>
      </c>
      <c r="AC3979" t="s">
        <v>119</v>
      </c>
      <c r="AD3979" t="s">
        <v>113</v>
      </c>
      <c r="AE3979" t="s">
        <v>3098</v>
      </c>
      <c r="AG3979" t="s">
        <v>121</v>
      </c>
    </row>
    <row r="3980" spans="1:33" x14ac:dyDescent="0.25">
      <c r="C3980" t="s">
        <v>21276</v>
      </c>
      <c r="G3980" t="s">
        <v>21276</v>
      </c>
      <c r="J3980" t="s">
        <v>352</v>
      </c>
      <c r="K3980" t="s">
        <v>303</v>
      </c>
      <c r="L3980" t="s">
        <v>3095</v>
      </c>
      <c r="M3980" t="s">
        <v>113</v>
      </c>
      <c r="AC3980" t="s">
        <v>119</v>
      </c>
      <c r="AD3980" t="s">
        <v>113</v>
      </c>
      <c r="AE3980" t="s">
        <v>3098</v>
      </c>
      <c r="AG3980" t="s">
        <v>121</v>
      </c>
    </row>
    <row r="3981" spans="1:33" x14ac:dyDescent="0.25">
      <c r="C3981" t="s">
        <v>9276</v>
      </c>
      <c r="G3981" t="s">
        <v>9276</v>
      </c>
      <c r="J3981" t="s">
        <v>352</v>
      </c>
      <c r="K3981" t="s">
        <v>303</v>
      </c>
      <c r="L3981" t="s">
        <v>3095</v>
      </c>
      <c r="M3981" t="s">
        <v>113</v>
      </c>
      <c r="AC3981" t="s">
        <v>119</v>
      </c>
      <c r="AD3981" t="s">
        <v>113</v>
      </c>
      <c r="AE3981" t="s">
        <v>3098</v>
      </c>
      <c r="AG3981" t="s">
        <v>121</v>
      </c>
    </row>
    <row r="3982" spans="1:33" x14ac:dyDescent="0.25">
      <c r="C3982" t="s">
        <v>6802</v>
      </c>
      <c r="G3982" t="s">
        <v>6802</v>
      </c>
      <c r="J3982" t="s">
        <v>352</v>
      </c>
      <c r="K3982" t="s">
        <v>303</v>
      </c>
      <c r="L3982" t="s">
        <v>3095</v>
      </c>
      <c r="M3982" t="s">
        <v>113</v>
      </c>
      <c r="AC3982" t="s">
        <v>119</v>
      </c>
      <c r="AD3982" t="s">
        <v>113</v>
      </c>
      <c r="AE3982" t="s">
        <v>3098</v>
      </c>
      <c r="AG3982" t="s">
        <v>121</v>
      </c>
    </row>
    <row r="3983" spans="1:33" x14ac:dyDescent="0.25">
      <c r="C3983" t="s">
        <v>10798</v>
      </c>
      <c r="G3983" t="s">
        <v>10798</v>
      </c>
      <c r="J3983" t="s">
        <v>352</v>
      </c>
      <c r="K3983" t="s">
        <v>303</v>
      </c>
      <c r="L3983" t="s">
        <v>3095</v>
      </c>
      <c r="M3983" t="s">
        <v>113</v>
      </c>
      <c r="AC3983" t="s">
        <v>119</v>
      </c>
      <c r="AD3983" t="s">
        <v>113</v>
      </c>
      <c r="AE3983" t="s">
        <v>3098</v>
      </c>
      <c r="AG3983" t="s">
        <v>121</v>
      </c>
    </row>
    <row r="3984" spans="1:33" x14ac:dyDescent="0.25">
      <c r="C3984" t="s">
        <v>16096</v>
      </c>
      <c r="G3984" t="s">
        <v>16096</v>
      </c>
      <c r="J3984" t="s">
        <v>352</v>
      </c>
      <c r="K3984" t="s">
        <v>303</v>
      </c>
      <c r="L3984" t="s">
        <v>3095</v>
      </c>
      <c r="M3984" t="s">
        <v>113</v>
      </c>
      <c r="AC3984" t="s">
        <v>119</v>
      </c>
      <c r="AD3984" t="s">
        <v>113</v>
      </c>
      <c r="AE3984" t="s">
        <v>3098</v>
      </c>
      <c r="AG3984" t="s">
        <v>121</v>
      </c>
    </row>
    <row r="3985" spans="1:33" x14ac:dyDescent="0.25">
      <c r="C3985" t="s">
        <v>4236</v>
      </c>
      <c r="G3985" t="s">
        <v>4236</v>
      </c>
      <c r="J3985" t="s">
        <v>352</v>
      </c>
      <c r="K3985" t="s">
        <v>303</v>
      </c>
      <c r="L3985" t="s">
        <v>3095</v>
      </c>
      <c r="M3985" t="s">
        <v>113</v>
      </c>
      <c r="AC3985" t="s">
        <v>119</v>
      </c>
      <c r="AD3985" t="s">
        <v>113</v>
      </c>
      <c r="AE3985" t="s">
        <v>3098</v>
      </c>
      <c r="AG3985" t="s">
        <v>121</v>
      </c>
    </row>
    <row r="3986" spans="1:33" x14ac:dyDescent="0.25">
      <c r="C3986" t="s">
        <v>5254</v>
      </c>
      <c r="G3986" t="s">
        <v>5254</v>
      </c>
      <c r="J3986" t="s">
        <v>352</v>
      </c>
      <c r="K3986" t="s">
        <v>303</v>
      </c>
      <c r="L3986" t="s">
        <v>3095</v>
      </c>
      <c r="M3986" t="s">
        <v>113</v>
      </c>
      <c r="AC3986" t="s">
        <v>119</v>
      </c>
      <c r="AD3986" t="s">
        <v>113</v>
      </c>
      <c r="AE3986" t="s">
        <v>3098</v>
      </c>
      <c r="AG3986" t="s">
        <v>121</v>
      </c>
    </row>
    <row r="3987" spans="1:33" x14ac:dyDescent="0.25">
      <c r="C3987" t="s">
        <v>7890</v>
      </c>
      <c r="G3987" t="s">
        <v>7890</v>
      </c>
      <c r="J3987" t="s">
        <v>352</v>
      </c>
      <c r="K3987" t="s">
        <v>303</v>
      </c>
      <c r="L3987" t="s">
        <v>3095</v>
      </c>
      <c r="M3987" t="s">
        <v>113</v>
      </c>
      <c r="AC3987" t="s">
        <v>119</v>
      </c>
      <c r="AD3987" t="s">
        <v>113</v>
      </c>
      <c r="AE3987" t="s">
        <v>3098</v>
      </c>
      <c r="AG3987" t="s">
        <v>121</v>
      </c>
    </row>
    <row r="3988" spans="1:33" x14ac:dyDescent="0.25">
      <c r="C3988" t="s">
        <v>2119</v>
      </c>
      <c r="G3988" t="s">
        <v>2119</v>
      </c>
      <c r="J3988" t="s">
        <v>352</v>
      </c>
      <c r="K3988" t="s">
        <v>303</v>
      </c>
      <c r="L3988" t="s">
        <v>3095</v>
      </c>
      <c r="M3988" t="s">
        <v>113</v>
      </c>
      <c r="AC3988" t="s">
        <v>119</v>
      </c>
      <c r="AD3988" t="s">
        <v>113</v>
      </c>
      <c r="AE3988" t="s">
        <v>3098</v>
      </c>
      <c r="AG3988" t="s">
        <v>121</v>
      </c>
    </row>
    <row r="3989" spans="1:33" x14ac:dyDescent="0.25">
      <c r="C3989" t="s">
        <v>1502</v>
      </c>
      <c r="G3989" t="s">
        <v>1502</v>
      </c>
      <c r="J3989" t="s">
        <v>352</v>
      </c>
      <c r="K3989" t="s">
        <v>303</v>
      </c>
      <c r="L3989" t="s">
        <v>3095</v>
      </c>
      <c r="M3989" t="s">
        <v>113</v>
      </c>
      <c r="AC3989" t="s">
        <v>119</v>
      </c>
      <c r="AD3989" t="s">
        <v>113</v>
      </c>
      <c r="AE3989" t="s">
        <v>3098</v>
      </c>
      <c r="AG3989" t="s">
        <v>121</v>
      </c>
    </row>
    <row r="3990" spans="1:33" x14ac:dyDescent="0.25">
      <c r="C3990" t="s">
        <v>21277</v>
      </c>
      <c r="G3990" t="s">
        <v>21277</v>
      </c>
      <c r="J3990" t="s">
        <v>21278</v>
      </c>
      <c r="K3990" t="s">
        <v>303</v>
      </c>
      <c r="L3990" t="s">
        <v>3095</v>
      </c>
      <c r="M3990" t="s">
        <v>113</v>
      </c>
      <c r="AC3990" t="s">
        <v>119</v>
      </c>
      <c r="AD3990" t="s">
        <v>113</v>
      </c>
      <c r="AE3990" t="s">
        <v>3098</v>
      </c>
      <c r="AG3990" t="s">
        <v>121</v>
      </c>
    </row>
    <row r="3991" spans="1:33" x14ac:dyDescent="0.25">
      <c r="C3991" t="s">
        <v>21279</v>
      </c>
      <c r="G3991" t="s">
        <v>21279</v>
      </c>
      <c r="J3991" t="s">
        <v>352</v>
      </c>
      <c r="K3991" t="s">
        <v>303</v>
      </c>
      <c r="L3991" t="s">
        <v>3095</v>
      </c>
      <c r="M3991" t="s">
        <v>113</v>
      </c>
      <c r="AC3991" t="s">
        <v>119</v>
      </c>
      <c r="AD3991" t="s">
        <v>113</v>
      </c>
      <c r="AE3991" t="s">
        <v>3098</v>
      </c>
      <c r="AG3991" t="s">
        <v>121</v>
      </c>
    </row>
    <row r="3992" spans="1:33" x14ac:dyDescent="0.25">
      <c r="C3992" t="s">
        <v>8782</v>
      </c>
      <c r="G3992" t="s">
        <v>8782</v>
      </c>
      <c r="J3992" t="s">
        <v>352</v>
      </c>
      <c r="K3992" t="s">
        <v>303</v>
      </c>
      <c r="L3992" t="s">
        <v>3095</v>
      </c>
      <c r="M3992" t="s">
        <v>113</v>
      </c>
      <c r="AC3992" t="s">
        <v>119</v>
      </c>
      <c r="AD3992" t="s">
        <v>113</v>
      </c>
      <c r="AE3992" t="s">
        <v>3098</v>
      </c>
      <c r="AG3992" t="s">
        <v>121</v>
      </c>
    </row>
    <row r="3993" spans="1:33" x14ac:dyDescent="0.25">
      <c r="C3993" t="s">
        <v>10873</v>
      </c>
      <c r="G3993" t="s">
        <v>10873</v>
      </c>
      <c r="J3993" t="s">
        <v>352</v>
      </c>
      <c r="K3993" t="s">
        <v>303</v>
      </c>
      <c r="L3993" t="s">
        <v>3095</v>
      </c>
      <c r="M3993" t="s">
        <v>113</v>
      </c>
      <c r="AC3993" t="s">
        <v>119</v>
      </c>
      <c r="AD3993" t="s">
        <v>113</v>
      </c>
      <c r="AE3993" t="s">
        <v>3098</v>
      </c>
      <c r="AG3993" t="s">
        <v>121</v>
      </c>
    </row>
    <row r="3994" spans="1:33" x14ac:dyDescent="0.25">
      <c r="C3994" t="s">
        <v>17177</v>
      </c>
      <c r="G3994" t="s">
        <v>17177</v>
      </c>
      <c r="J3994" t="s">
        <v>352</v>
      </c>
      <c r="K3994" t="s">
        <v>303</v>
      </c>
      <c r="L3994" t="s">
        <v>3095</v>
      </c>
      <c r="M3994" t="s">
        <v>113</v>
      </c>
      <c r="AC3994" t="s">
        <v>119</v>
      </c>
      <c r="AD3994" t="s">
        <v>113</v>
      </c>
      <c r="AE3994" t="s">
        <v>3098</v>
      </c>
      <c r="AG3994" t="s">
        <v>121</v>
      </c>
    </row>
    <row r="3995" spans="1:33" x14ac:dyDescent="0.25">
      <c r="C3995" t="s">
        <v>16560</v>
      </c>
      <c r="G3995" t="s">
        <v>16560</v>
      </c>
      <c r="J3995" t="s">
        <v>352</v>
      </c>
      <c r="K3995" t="s">
        <v>303</v>
      </c>
      <c r="L3995" t="s">
        <v>3095</v>
      </c>
      <c r="M3995" t="s">
        <v>113</v>
      </c>
      <c r="AC3995" t="s">
        <v>119</v>
      </c>
      <c r="AD3995" t="s">
        <v>113</v>
      </c>
      <c r="AE3995" t="s">
        <v>3098</v>
      </c>
      <c r="AG3995" t="s">
        <v>121</v>
      </c>
    </row>
    <row r="3996" spans="1:33" x14ac:dyDescent="0.25">
      <c r="C3996" t="s">
        <v>15299</v>
      </c>
      <c r="G3996" t="s">
        <v>15299</v>
      </c>
      <c r="J3996" t="s">
        <v>352</v>
      </c>
      <c r="K3996" t="s">
        <v>303</v>
      </c>
      <c r="L3996" t="s">
        <v>3095</v>
      </c>
      <c r="M3996" t="s">
        <v>113</v>
      </c>
      <c r="AC3996" t="s">
        <v>119</v>
      </c>
      <c r="AD3996" t="s">
        <v>113</v>
      </c>
      <c r="AE3996" t="s">
        <v>3098</v>
      </c>
      <c r="AG3996" t="s">
        <v>121</v>
      </c>
    </row>
    <row r="3997" spans="1:33" x14ac:dyDescent="0.25">
      <c r="C3997" t="s">
        <v>10770</v>
      </c>
      <c r="G3997" t="s">
        <v>10770</v>
      </c>
      <c r="J3997" t="s">
        <v>352</v>
      </c>
      <c r="K3997" t="s">
        <v>303</v>
      </c>
      <c r="L3997" t="s">
        <v>3095</v>
      </c>
      <c r="M3997" t="s">
        <v>113</v>
      </c>
      <c r="AC3997" t="s">
        <v>119</v>
      </c>
      <c r="AD3997" t="s">
        <v>113</v>
      </c>
      <c r="AE3997" t="s">
        <v>3098</v>
      </c>
      <c r="AG3997" t="s">
        <v>121</v>
      </c>
    </row>
    <row r="3998" spans="1:33" x14ac:dyDescent="0.25">
      <c r="A3998" t="str">
        <f>"1790839447"</f>
        <v>1790839447</v>
      </c>
      <c r="C3998" t="s">
        <v>21280</v>
      </c>
      <c r="G3998" t="s">
        <v>21281</v>
      </c>
      <c r="H3998" t="s">
        <v>21282</v>
      </c>
      <c r="J3998" t="s">
        <v>21283</v>
      </c>
      <c r="K3998" t="s">
        <v>303</v>
      </c>
      <c r="L3998" t="s">
        <v>112</v>
      </c>
      <c r="M3998" t="s">
        <v>113</v>
      </c>
      <c r="R3998" t="s">
        <v>21284</v>
      </c>
      <c r="S3998" t="s">
        <v>21285</v>
      </c>
      <c r="T3998" t="s">
        <v>816</v>
      </c>
      <c r="U3998" t="s">
        <v>117</v>
      </c>
      <c r="V3998" t="str">
        <f>"141209520"</f>
        <v>141209520</v>
      </c>
      <c r="AC3998" t="s">
        <v>119</v>
      </c>
      <c r="AD3998" t="s">
        <v>113</v>
      </c>
      <c r="AE3998" t="s">
        <v>306</v>
      </c>
      <c r="AG3998" t="s">
        <v>121</v>
      </c>
    </row>
    <row r="3999" spans="1:33" x14ac:dyDescent="0.25">
      <c r="A3999" t="str">
        <f>"1790865145"</f>
        <v>1790865145</v>
      </c>
      <c r="B3999" t="str">
        <f>"00623767"</f>
        <v>00623767</v>
      </c>
      <c r="C3999" t="s">
        <v>21286</v>
      </c>
      <c r="D3999" t="s">
        <v>21287</v>
      </c>
      <c r="E3999" t="s">
        <v>21288</v>
      </c>
      <c r="H3999" t="s">
        <v>21289</v>
      </c>
      <c r="L3999" t="s">
        <v>69</v>
      </c>
      <c r="M3999" t="s">
        <v>113</v>
      </c>
      <c r="R3999" t="s">
        <v>21286</v>
      </c>
      <c r="W3999" t="s">
        <v>21288</v>
      </c>
      <c r="X3999" t="s">
        <v>21290</v>
      </c>
      <c r="Y3999" t="s">
        <v>116</v>
      </c>
      <c r="Z3999" t="s">
        <v>117</v>
      </c>
      <c r="AA3999" t="str">
        <f>"14203-1014"</f>
        <v>14203-1014</v>
      </c>
      <c r="AB3999" t="s">
        <v>21291</v>
      </c>
      <c r="AC3999" t="s">
        <v>119</v>
      </c>
      <c r="AD3999" t="s">
        <v>113</v>
      </c>
      <c r="AE3999" t="s">
        <v>120</v>
      </c>
      <c r="AG3999" t="s">
        <v>121</v>
      </c>
    </row>
    <row r="4000" spans="1:33" x14ac:dyDescent="0.25">
      <c r="B4000" t="str">
        <f>"02088333"</f>
        <v>02088333</v>
      </c>
      <c r="C4000" t="s">
        <v>1610</v>
      </c>
      <c r="D4000" t="s">
        <v>1611</v>
      </c>
      <c r="E4000" t="s">
        <v>1610</v>
      </c>
      <c r="F4000">
        <v>160975538</v>
      </c>
      <c r="H4000" t="s">
        <v>1600</v>
      </c>
      <c r="L4000" t="s">
        <v>69</v>
      </c>
      <c r="M4000" t="s">
        <v>199</v>
      </c>
      <c r="W4000" t="s">
        <v>1610</v>
      </c>
      <c r="X4000" t="s">
        <v>1612</v>
      </c>
      <c r="Y4000" t="s">
        <v>240</v>
      </c>
      <c r="Z4000" t="s">
        <v>117</v>
      </c>
      <c r="AA4000" t="str">
        <f>"14221-3230"</f>
        <v>14221-3230</v>
      </c>
      <c r="AB4000" t="s">
        <v>291</v>
      </c>
      <c r="AC4000" t="s">
        <v>119</v>
      </c>
      <c r="AD4000" t="s">
        <v>113</v>
      </c>
      <c r="AE4000" t="s">
        <v>120</v>
      </c>
      <c r="AG4000" t="s">
        <v>121</v>
      </c>
    </row>
    <row r="4001" spans="1:33" x14ac:dyDescent="0.25">
      <c r="A4001" t="str">
        <f>"1861588402"</f>
        <v>1861588402</v>
      </c>
      <c r="B4001" t="str">
        <f>"01704127"</f>
        <v>01704127</v>
      </c>
      <c r="C4001" t="s">
        <v>21298</v>
      </c>
      <c r="D4001" t="s">
        <v>21299</v>
      </c>
      <c r="E4001" t="s">
        <v>21300</v>
      </c>
      <c r="G4001" t="s">
        <v>21298</v>
      </c>
      <c r="H4001" t="s">
        <v>272</v>
      </c>
      <c r="J4001" t="s">
        <v>21301</v>
      </c>
      <c r="L4001" t="s">
        <v>150</v>
      </c>
      <c r="M4001" t="s">
        <v>199</v>
      </c>
      <c r="R4001" t="s">
        <v>21302</v>
      </c>
      <c r="W4001" t="s">
        <v>21300</v>
      </c>
      <c r="X4001" t="s">
        <v>966</v>
      </c>
      <c r="Y4001" t="s">
        <v>116</v>
      </c>
      <c r="Z4001" t="s">
        <v>117</v>
      </c>
      <c r="AA4001" t="str">
        <f>"14207-1816"</f>
        <v>14207-1816</v>
      </c>
      <c r="AB4001" t="s">
        <v>118</v>
      </c>
      <c r="AC4001" t="s">
        <v>119</v>
      </c>
      <c r="AD4001" t="s">
        <v>113</v>
      </c>
      <c r="AE4001" t="s">
        <v>120</v>
      </c>
      <c r="AG4001" t="s">
        <v>121</v>
      </c>
    </row>
    <row r="4002" spans="1:33" x14ac:dyDescent="0.25">
      <c r="A4002" t="str">
        <f>"1861623092"</f>
        <v>1861623092</v>
      </c>
      <c r="B4002" t="str">
        <f>"03381913"</f>
        <v>03381913</v>
      </c>
      <c r="C4002" t="s">
        <v>21303</v>
      </c>
      <c r="D4002" t="s">
        <v>21304</v>
      </c>
      <c r="E4002" t="s">
        <v>21305</v>
      </c>
      <c r="G4002" t="s">
        <v>21303</v>
      </c>
      <c r="H4002" t="s">
        <v>2252</v>
      </c>
      <c r="J4002" t="s">
        <v>21306</v>
      </c>
      <c r="L4002" t="s">
        <v>112</v>
      </c>
      <c r="M4002" t="s">
        <v>113</v>
      </c>
      <c r="R4002" t="s">
        <v>21307</v>
      </c>
      <c r="W4002" t="s">
        <v>21305</v>
      </c>
      <c r="X4002" t="s">
        <v>6289</v>
      </c>
      <c r="Y4002" t="s">
        <v>240</v>
      </c>
      <c r="Z4002" t="s">
        <v>117</v>
      </c>
      <c r="AA4002" t="str">
        <f>"14221-8216"</f>
        <v>14221-8216</v>
      </c>
      <c r="AB4002" t="s">
        <v>118</v>
      </c>
      <c r="AC4002" t="s">
        <v>119</v>
      </c>
      <c r="AD4002" t="s">
        <v>113</v>
      </c>
      <c r="AE4002" t="s">
        <v>120</v>
      </c>
      <c r="AG4002" t="s">
        <v>121</v>
      </c>
    </row>
    <row r="4003" spans="1:33" x14ac:dyDescent="0.25">
      <c r="A4003" t="str">
        <f>"1861635120"</f>
        <v>1861635120</v>
      </c>
      <c r="C4003" t="s">
        <v>21308</v>
      </c>
      <c r="H4003" t="s">
        <v>21309</v>
      </c>
      <c r="J4003" t="s">
        <v>21310</v>
      </c>
      <c r="K4003" t="s">
        <v>303</v>
      </c>
      <c r="L4003" t="s">
        <v>112</v>
      </c>
      <c r="M4003" t="s">
        <v>113</v>
      </c>
      <c r="R4003" t="s">
        <v>21311</v>
      </c>
      <c r="S4003" t="s">
        <v>253</v>
      </c>
      <c r="T4003" t="s">
        <v>116</v>
      </c>
      <c r="U4003" t="s">
        <v>117</v>
      </c>
      <c r="V4003" t="str">
        <f>"142153021"</f>
        <v>142153021</v>
      </c>
      <c r="AC4003" t="s">
        <v>119</v>
      </c>
      <c r="AD4003" t="s">
        <v>113</v>
      </c>
      <c r="AE4003" t="s">
        <v>306</v>
      </c>
      <c r="AG4003" t="s">
        <v>121</v>
      </c>
    </row>
    <row r="4004" spans="1:33" x14ac:dyDescent="0.25">
      <c r="A4004" t="str">
        <f>"1982701561"</f>
        <v>1982701561</v>
      </c>
      <c r="C4004" t="s">
        <v>21312</v>
      </c>
      <c r="G4004" t="s">
        <v>20192</v>
      </c>
      <c r="H4004" t="s">
        <v>21313</v>
      </c>
      <c r="J4004" t="s">
        <v>352</v>
      </c>
      <c r="K4004" t="s">
        <v>303</v>
      </c>
      <c r="L4004" t="s">
        <v>112</v>
      </c>
      <c r="M4004" t="s">
        <v>113</v>
      </c>
      <c r="R4004" t="s">
        <v>21314</v>
      </c>
      <c r="S4004" t="s">
        <v>1091</v>
      </c>
      <c r="T4004" t="s">
        <v>116</v>
      </c>
      <c r="U4004" t="s">
        <v>117</v>
      </c>
      <c r="V4004" t="str">
        <f>"142072341"</f>
        <v>142072341</v>
      </c>
      <c r="AC4004" t="s">
        <v>119</v>
      </c>
      <c r="AD4004" t="s">
        <v>113</v>
      </c>
      <c r="AE4004" t="s">
        <v>306</v>
      </c>
      <c r="AG4004" t="s">
        <v>121</v>
      </c>
    </row>
    <row r="4005" spans="1:33" x14ac:dyDescent="0.25">
      <c r="A4005" t="str">
        <f>"1982702833"</f>
        <v>1982702833</v>
      </c>
      <c r="B4005" t="str">
        <f>"02618326"</f>
        <v>02618326</v>
      </c>
      <c r="C4005" t="s">
        <v>21315</v>
      </c>
      <c r="D4005" t="s">
        <v>21316</v>
      </c>
      <c r="E4005" t="s">
        <v>21317</v>
      </c>
      <c r="G4005" t="s">
        <v>21318</v>
      </c>
      <c r="H4005" t="s">
        <v>213</v>
      </c>
      <c r="J4005" t="s">
        <v>21319</v>
      </c>
      <c r="L4005" t="s">
        <v>728</v>
      </c>
      <c r="M4005" t="s">
        <v>113</v>
      </c>
      <c r="R4005" t="s">
        <v>21320</v>
      </c>
      <c r="W4005" t="s">
        <v>21317</v>
      </c>
      <c r="X4005" t="s">
        <v>216</v>
      </c>
      <c r="Y4005" t="s">
        <v>116</v>
      </c>
      <c r="Z4005" t="s">
        <v>117</v>
      </c>
      <c r="AA4005" t="str">
        <f>"14222-2006"</f>
        <v>14222-2006</v>
      </c>
      <c r="AB4005" t="s">
        <v>118</v>
      </c>
      <c r="AC4005" t="s">
        <v>119</v>
      </c>
      <c r="AD4005" t="s">
        <v>113</v>
      </c>
      <c r="AE4005" t="s">
        <v>120</v>
      </c>
      <c r="AG4005" t="s">
        <v>121</v>
      </c>
    </row>
    <row r="4006" spans="1:33" x14ac:dyDescent="0.25">
      <c r="A4006" t="str">
        <f>"1982703674"</f>
        <v>1982703674</v>
      </c>
      <c r="B4006" t="str">
        <f>"02665525"</f>
        <v>02665525</v>
      </c>
      <c r="C4006" t="s">
        <v>21321</v>
      </c>
      <c r="D4006" t="s">
        <v>21322</v>
      </c>
      <c r="E4006" t="s">
        <v>21323</v>
      </c>
      <c r="G4006" t="s">
        <v>21324</v>
      </c>
      <c r="H4006" t="s">
        <v>213</v>
      </c>
      <c r="J4006" t="s">
        <v>21325</v>
      </c>
      <c r="L4006" t="s">
        <v>112</v>
      </c>
      <c r="M4006" t="s">
        <v>113</v>
      </c>
      <c r="R4006" t="s">
        <v>21326</v>
      </c>
      <c r="W4006" t="s">
        <v>21323</v>
      </c>
      <c r="X4006" t="s">
        <v>216</v>
      </c>
      <c r="Y4006" t="s">
        <v>116</v>
      </c>
      <c r="Z4006" t="s">
        <v>117</v>
      </c>
      <c r="AA4006" t="str">
        <f>"14222-2006"</f>
        <v>14222-2006</v>
      </c>
      <c r="AB4006" t="s">
        <v>118</v>
      </c>
      <c r="AC4006" t="s">
        <v>119</v>
      </c>
      <c r="AD4006" t="s">
        <v>113</v>
      </c>
      <c r="AE4006" t="s">
        <v>120</v>
      </c>
      <c r="AG4006" t="s">
        <v>121</v>
      </c>
    </row>
    <row r="4007" spans="1:33" x14ac:dyDescent="0.25">
      <c r="A4007" t="str">
        <f>"1841247921"</f>
        <v>1841247921</v>
      </c>
      <c r="B4007" t="str">
        <f>"01552905"</f>
        <v>01552905</v>
      </c>
      <c r="C4007" t="s">
        <v>21327</v>
      </c>
      <c r="D4007" t="s">
        <v>21328</v>
      </c>
      <c r="E4007" t="s">
        <v>21329</v>
      </c>
      <c r="G4007" t="s">
        <v>20732</v>
      </c>
      <c r="H4007" t="s">
        <v>443</v>
      </c>
      <c r="J4007" t="s">
        <v>20733</v>
      </c>
      <c r="L4007" t="s">
        <v>112</v>
      </c>
      <c r="M4007" t="s">
        <v>113</v>
      </c>
      <c r="R4007" t="s">
        <v>21330</v>
      </c>
      <c r="W4007" t="s">
        <v>21329</v>
      </c>
      <c r="X4007" t="s">
        <v>21331</v>
      </c>
      <c r="Y4007" t="s">
        <v>240</v>
      </c>
      <c r="Z4007" t="s">
        <v>117</v>
      </c>
      <c r="AA4007" t="str">
        <f>"14221-3573"</f>
        <v>14221-3573</v>
      </c>
      <c r="AB4007" t="s">
        <v>118</v>
      </c>
      <c r="AC4007" t="s">
        <v>119</v>
      </c>
      <c r="AD4007" t="s">
        <v>113</v>
      </c>
      <c r="AE4007" t="s">
        <v>120</v>
      </c>
      <c r="AG4007" t="s">
        <v>121</v>
      </c>
    </row>
    <row r="4008" spans="1:33" x14ac:dyDescent="0.25">
      <c r="A4008" t="str">
        <f>"1629347117"</f>
        <v>1629347117</v>
      </c>
      <c r="B4008" t="str">
        <f>"04576761"</f>
        <v>04576761</v>
      </c>
      <c r="C4008" t="s">
        <v>21332</v>
      </c>
      <c r="D4008" t="s">
        <v>21333</v>
      </c>
      <c r="E4008" t="s">
        <v>21334</v>
      </c>
      <c r="G4008" t="s">
        <v>20732</v>
      </c>
      <c r="H4008" t="s">
        <v>443</v>
      </c>
      <c r="J4008" t="s">
        <v>20733</v>
      </c>
      <c r="L4008" t="s">
        <v>112</v>
      </c>
      <c r="M4008" t="s">
        <v>113</v>
      </c>
      <c r="R4008" t="s">
        <v>21335</v>
      </c>
      <c r="W4008" t="s">
        <v>21336</v>
      </c>
      <c r="AB4008" t="s">
        <v>621</v>
      </c>
      <c r="AC4008" t="s">
        <v>119</v>
      </c>
      <c r="AD4008" t="s">
        <v>113</v>
      </c>
      <c r="AE4008" t="s">
        <v>120</v>
      </c>
      <c r="AG4008" t="s">
        <v>121</v>
      </c>
    </row>
    <row r="4009" spans="1:33" x14ac:dyDescent="0.25">
      <c r="A4009" t="str">
        <f>"1780948398"</f>
        <v>1780948398</v>
      </c>
      <c r="C4009" t="s">
        <v>21337</v>
      </c>
      <c r="G4009" t="s">
        <v>20732</v>
      </c>
      <c r="H4009" t="s">
        <v>443</v>
      </c>
      <c r="J4009" t="s">
        <v>20733</v>
      </c>
      <c r="K4009" t="s">
        <v>303</v>
      </c>
      <c r="L4009" t="s">
        <v>112</v>
      </c>
      <c r="M4009" t="s">
        <v>113</v>
      </c>
      <c r="R4009" t="s">
        <v>21338</v>
      </c>
      <c r="S4009" t="s">
        <v>354</v>
      </c>
      <c r="T4009" t="s">
        <v>116</v>
      </c>
      <c r="U4009" t="s">
        <v>117</v>
      </c>
      <c r="V4009" t="str">
        <f>"142152814"</f>
        <v>142152814</v>
      </c>
      <c r="AC4009" t="s">
        <v>119</v>
      </c>
      <c r="AD4009" t="s">
        <v>113</v>
      </c>
      <c r="AE4009" t="s">
        <v>306</v>
      </c>
      <c r="AG4009" t="s">
        <v>121</v>
      </c>
    </row>
    <row r="4010" spans="1:33" x14ac:dyDescent="0.25">
      <c r="A4010" t="str">
        <f>"1114367026"</f>
        <v>1114367026</v>
      </c>
      <c r="C4010" t="s">
        <v>21339</v>
      </c>
      <c r="G4010" t="s">
        <v>20732</v>
      </c>
      <c r="H4010" t="s">
        <v>443</v>
      </c>
      <c r="J4010" t="s">
        <v>20733</v>
      </c>
      <c r="K4010" t="s">
        <v>303</v>
      </c>
      <c r="L4010" t="s">
        <v>229</v>
      </c>
      <c r="M4010" t="s">
        <v>113</v>
      </c>
      <c r="R4010" t="s">
        <v>21340</v>
      </c>
      <c r="S4010" t="s">
        <v>354</v>
      </c>
      <c r="T4010" t="s">
        <v>116</v>
      </c>
      <c r="U4010" t="s">
        <v>117</v>
      </c>
      <c r="V4010" t="str">
        <f>"142152814"</f>
        <v>142152814</v>
      </c>
      <c r="AC4010" t="s">
        <v>119</v>
      </c>
      <c r="AD4010" t="s">
        <v>113</v>
      </c>
      <c r="AE4010" t="s">
        <v>306</v>
      </c>
      <c r="AG4010" t="s">
        <v>121</v>
      </c>
    </row>
    <row r="4011" spans="1:33" x14ac:dyDescent="0.25">
      <c r="A4011" t="str">
        <f>"1447556717"</f>
        <v>1447556717</v>
      </c>
      <c r="C4011" t="s">
        <v>21341</v>
      </c>
      <c r="G4011" t="s">
        <v>20732</v>
      </c>
      <c r="H4011" t="s">
        <v>443</v>
      </c>
      <c r="J4011" t="s">
        <v>20733</v>
      </c>
      <c r="K4011" t="s">
        <v>303</v>
      </c>
      <c r="L4011" t="s">
        <v>229</v>
      </c>
      <c r="M4011" t="s">
        <v>113</v>
      </c>
      <c r="R4011" t="s">
        <v>21342</v>
      </c>
      <c r="S4011" t="s">
        <v>21343</v>
      </c>
      <c r="T4011" t="s">
        <v>192</v>
      </c>
      <c r="U4011" t="s">
        <v>117</v>
      </c>
      <c r="V4011" t="str">
        <f>"14020"</f>
        <v>14020</v>
      </c>
      <c r="AC4011" t="s">
        <v>119</v>
      </c>
      <c r="AD4011" t="s">
        <v>113</v>
      </c>
      <c r="AE4011" t="s">
        <v>306</v>
      </c>
      <c r="AG4011" t="s">
        <v>121</v>
      </c>
    </row>
    <row r="4012" spans="1:33" x14ac:dyDescent="0.25">
      <c r="A4012" t="str">
        <f>"1942245923"</f>
        <v>1942245923</v>
      </c>
      <c r="B4012" t="str">
        <f>"01141042"</f>
        <v>01141042</v>
      </c>
      <c r="C4012" t="s">
        <v>21344</v>
      </c>
      <c r="D4012" t="s">
        <v>21345</v>
      </c>
      <c r="E4012" t="s">
        <v>21346</v>
      </c>
      <c r="G4012" t="s">
        <v>20732</v>
      </c>
      <c r="H4012" t="s">
        <v>443</v>
      </c>
      <c r="J4012" t="s">
        <v>20733</v>
      </c>
      <c r="L4012" t="s">
        <v>728</v>
      </c>
      <c r="M4012" t="s">
        <v>199</v>
      </c>
      <c r="R4012" t="s">
        <v>21347</v>
      </c>
      <c r="W4012" t="s">
        <v>21346</v>
      </c>
      <c r="X4012" t="s">
        <v>21348</v>
      </c>
      <c r="Y4012" t="s">
        <v>1257</v>
      </c>
      <c r="Z4012" t="s">
        <v>117</v>
      </c>
      <c r="AA4012" t="str">
        <f>"14141-1420"</f>
        <v>14141-1420</v>
      </c>
      <c r="AB4012" t="s">
        <v>118</v>
      </c>
      <c r="AC4012" t="s">
        <v>119</v>
      </c>
      <c r="AD4012" t="s">
        <v>113</v>
      </c>
      <c r="AE4012" t="s">
        <v>120</v>
      </c>
      <c r="AG4012" t="s">
        <v>121</v>
      </c>
    </row>
    <row r="4013" spans="1:33" x14ac:dyDescent="0.25">
      <c r="A4013" t="str">
        <f>"1538485396"</f>
        <v>1538485396</v>
      </c>
      <c r="C4013" t="s">
        <v>21349</v>
      </c>
      <c r="G4013" t="s">
        <v>20732</v>
      </c>
      <c r="H4013" t="s">
        <v>443</v>
      </c>
      <c r="J4013" t="s">
        <v>20733</v>
      </c>
      <c r="K4013" t="s">
        <v>303</v>
      </c>
      <c r="L4013" t="s">
        <v>229</v>
      </c>
      <c r="M4013" t="s">
        <v>113</v>
      </c>
      <c r="R4013" t="s">
        <v>21350</v>
      </c>
      <c r="S4013" t="s">
        <v>21351</v>
      </c>
      <c r="T4013" t="s">
        <v>21352</v>
      </c>
      <c r="U4013" t="s">
        <v>117</v>
      </c>
      <c r="V4013" t="str">
        <f>"148101508"</f>
        <v>148101508</v>
      </c>
      <c r="AC4013" t="s">
        <v>119</v>
      </c>
      <c r="AD4013" t="s">
        <v>113</v>
      </c>
      <c r="AE4013" t="s">
        <v>306</v>
      </c>
      <c r="AG4013" t="s">
        <v>121</v>
      </c>
    </row>
    <row r="4014" spans="1:33" x14ac:dyDescent="0.25">
      <c r="A4014" t="str">
        <f>"1417035874"</f>
        <v>1417035874</v>
      </c>
      <c r="C4014" t="s">
        <v>21353</v>
      </c>
      <c r="G4014" t="s">
        <v>20732</v>
      </c>
      <c r="H4014" t="s">
        <v>443</v>
      </c>
      <c r="J4014" t="s">
        <v>20733</v>
      </c>
      <c r="K4014" t="s">
        <v>303</v>
      </c>
      <c r="L4014" t="s">
        <v>229</v>
      </c>
      <c r="M4014" t="s">
        <v>113</v>
      </c>
      <c r="R4014" t="s">
        <v>21354</v>
      </c>
      <c r="S4014" t="s">
        <v>6194</v>
      </c>
      <c r="T4014" t="s">
        <v>153</v>
      </c>
      <c r="U4014" t="s">
        <v>117</v>
      </c>
      <c r="V4014" t="str">
        <f>"143041550"</f>
        <v>143041550</v>
      </c>
      <c r="AC4014" t="s">
        <v>119</v>
      </c>
      <c r="AD4014" t="s">
        <v>113</v>
      </c>
      <c r="AE4014" t="s">
        <v>306</v>
      </c>
      <c r="AG4014" t="s">
        <v>121</v>
      </c>
    </row>
    <row r="4015" spans="1:33" x14ac:dyDescent="0.25">
      <c r="A4015" t="str">
        <f>"1952456808"</f>
        <v>1952456808</v>
      </c>
      <c r="B4015" t="str">
        <f>"02884980"</f>
        <v>02884980</v>
      </c>
      <c r="C4015" t="s">
        <v>21355</v>
      </c>
      <c r="D4015" t="s">
        <v>21356</v>
      </c>
      <c r="E4015" t="s">
        <v>21357</v>
      </c>
      <c r="G4015" t="s">
        <v>20732</v>
      </c>
      <c r="H4015" t="s">
        <v>443</v>
      </c>
      <c r="J4015" t="s">
        <v>20733</v>
      </c>
      <c r="L4015" t="s">
        <v>150</v>
      </c>
      <c r="M4015" t="s">
        <v>113</v>
      </c>
      <c r="R4015" t="s">
        <v>21358</v>
      </c>
      <c r="W4015" t="s">
        <v>21359</v>
      </c>
      <c r="X4015" t="s">
        <v>10061</v>
      </c>
      <c r="Y4015" t="s">
        <v>958</v>
      </c>
      <c r="Z4015" t="s">
        <v>117</v>
      </c>
      <c r="AA4015" t="str">
        <f>"14226-1018"</f>
        <v>14226-1018</v>
      </c>
      <c r="AB4015" t="s">
        <v>118</v>
      </c>
      <c r="AC4015" t="s">
        <v>119</v>
      </c>
      <c r="AD4015" t="s">
        <v>113</v>
      </c>
      <c r="AE4015" t="s">
        <v>120</v>
      </c>
      <c r="AG4015" t="s">
        <v>121</v>
      </c>
    </row>
    <row r="4016" spans="1:33" x14ac:dyDescent="0.25">
      <c r="A4016" t="str">
        <f>"1174923908"</f>
        <v>1174923908</v>
      </c>
      <c r="C4016" t="s">
        <v>21360</v>
      </c>
      <c r="G4016" t="s">
        <v>20732</v>
      </c>
      <c r="H4016" t="s">
        <v>443</v>
      </c>
      <c r="J4016" t="s">
        <v>20733</v>
      </c>
      <c r="K4016" t="s">
        <v>303</v>
      </c>
      <c r="L4016" t="s">
        <v>229</v>
      </c>
      <c r="M4016" t="s">
        <v>113</v>
      </c>
      <c r="R4016" t="s">
        <v>21361</v>
      </c>
      <c r="S4016" t="s">
        <v>409</v>
      </c>
      <c r="T4016" t="s">
        <v>116</v>
      </c>
      <c r="U4016" t="s">
        <v>117</v>
      </c>
      <c r="V4016" t="str">
        <f>"142152814"</f>
        <v>142152814</v>
      </c>
      <c r="AC4016" t="s">
        <v>119</v>
      </c>
      <c r="AD4016" t="s">
        <v>113</v>
      </c>
      <c r="AE4016" t="s">
        <v>306</v>
      </c>
      <c r="AG4016" t="s">
        <v>121</v>
      </c>
    </row>
    <row r="4017" spans="1:33" x14ac:dyDescent="0.25">
      <c r="A4017" t="str">
        <f>"1477953263"</f>
        <v>1477953263</v>
      </c>
      <c r="C4017" t="s">
        <v>21362</v>
      </c>
      <c r="G4017" t="s">
        <v>20732</v>
      </c>
      <c r="H4017" t="s">
        <v>443</v>
      </c>
      <c r="J4017" t="s">
        <v>20733</v>
      </c>
      <c r="K4017" t="s">
        <v>303</v>
      </c>
      <c r="L4017" t="s">
        <v>229</v>
      </c>
      <c r="M4017" t="s">
        <v>113</v>
      </c>
      <c r="R4017" t="s">
        <v>21363</v>
      </c>
      <c r="S4017" t="s">
        <v>409</v>
      </c>
      <c r="T4017" t="s">
        <v>116</v>
      </c>
      <c r="U4017" t="s">
        <v>117</v>
      </c>
      <c r="V4017" t="str">
        <f>"142152814"</f>
        <v>142152814</v>
      </c>
      <c r="AC4017" t="s">
        <v>119</v>
      </c>
      <c r="AD4017" t="s">
        <v>113</v>
      </c>
      <c r="AE4017" t="s">
        <v>306</v>
      </c>
      <c r="AG4017" t="s">
        <v>121</v>
      </c>
    </row>
    <row r="4018" spans="1:33" x14ac:dyDescent="0.25">
      <c r="A4018" t="str">
        <f>"1710112206"</f>
        <v>1710112206</v>
      </c>
      <c r="C4018" t="s">
        <v>21364</v>
      </c>
      <c r="G4018" t="s">
        <v>20732</v>
      </c>
      <c r="H4018" t="s">
        <v>443</v>
      </c>
      <c r="J4018" t="s">
        <v>20733</v>
      </c>
      <c r="K4018" t="s">
        <v>303</v>
      </c>
      <c r="L4018" t="s">
        <v>229</v>
      </c>
      <c r="M4018" t="s">
        <v>113</v>
      </c>
      <c r="R4018" t="s">
        <v>21365</v>
      </c>
      <c r="S4018" t="s">
        <v>6729</v>
      </c>
      <c r="T4018" t="s">
        <v>192</v>
      </c>
      <c r="U4018" t="s">
        <v>117</v>
      </c>
      <c r="V4018" t="str">
        <f>"140203650"</f>
        <v>140203650</v>
      </c>
      <c r="AC4018" t="s">
        <v>119</v>
      </c>
      <c r="AD4018" t="s">
        <v>113</v>
      </c>
      <c r="AE4018" t="s">
        <v>306</v>
      </c>
      <c r="AG4018" t="s">
        <v>121</v>
      </c>
    </row>
    <row r="4019" spans="1:33" x14ac:dyDescent="0.25">
      <c r="A4019" t="str">
        <f>"1013013788"</f>
        <v>1013013788</v>
      </c>
      <c r="B4019" t="str">
        <f>"03712585"</f>
        <v>03712585</v>
      </c>
      <c r="C4019" t="s">
        <v>21366</v>
      </c>
      <c r="D4019" t="s">
        <v>21367</v>
      </c>
      <c r="E4019" t="s">
        <v>21368</v>
      </c>
      <c r="G4019" t="s">
        <v>20732</v>
      </c>
      <c r="H4019" t="s">
        <v>443</v>
      </c>
      <c r="J4019" t="s">
        <v>20733</v>
      </c>
      <c r="L4019" t="s">
        <v>112</v>
      </c>
      <c r="M4019" t="s">
        <v>113</v>
      </c>
      <c r="R4019" t="s">
        <v>21368</v>
      </c>
      <c r="W4019" t="s">
        <v>21368</v>
      </c>
      <c r="X4019" t="s">
        <v>10146</v>
      </c>
      <c r="Y4019" t="s">
        <v>663</v>
      </c>
      <c r="Z4019" t="s">
        <v>117</v>
      </c>
      <c r="AA4019" t="str">
        <f>"14094-3727"</f>
        <v>14094-3727</v>
      </c>
      <c r="AB4019" t="s">
        <v>621</v>
      </c>
      <c r="AC4019" t="s">
        <v>119</v>
      </c>
      <c r="AD4019" t="s">
        <v>113</v>
      </c>
      <c r="AE4019" t="s">
        <v>120</v>
      </c>
      <c r="AG4019" t="s">
        <v>121</v>
      </c>
    </row>
    <row r="4020" spans="1:33" x14ac:dyDescent="0.25">
      <c r="C4020" t="s">
        <v>21369</v>
      </c>
      <c r="G4020" t="s">
        <v>20732</v>
      </c>
      <c r="H4020" t="s">
        <v>443</v>
      </c>
      <c r="J4020" t="s">
        <v>20733</v>
      </c>
      <c r="K4020" t="s">
        <v>303</v>
      </c>
      <c r="L4020" t="s">
        <v>3095</v>
      </c>
      <c r="M4020" t="s">
        <v>113</v>
      </c>
      <c r="N4020" t="s">
        <v>21370</v>
      </c>
      <c r="O4020" t="s">
        <v>3097</v>
      </c>
      <c r="P4020" t="s">
        <v>117</v>
      </c>
      <c r="Q4020" t="str">
        <f>"14215"</f>
        <v>14215</v>
      </c>
      <c r="AC4020" t="s">
        <v>119</v>
      </c>
      <c r="AD4020" t="s">
        <v>113</v>
      </c>
      <c r="AE4020" t="s">
        <v>3098</v>
      </c>
      <c r="AG4020" t="s">
        <v>121</v>
      </c>
    </row>
    <row r="4021" spans="1:33" x14ac:dyDescent="0.25">
      <c r="A4021" t="str">
        <f>"1720255375"</f>
        <v>1720255375</v>
      </c>
      <c r="C4021" t="s">
        <v>21371</v>
      </c>
      <c r="G4021" t="s">
        <v>20732</v>
      </c>
      <c r="H4021" t="s">
        <v>443</v>
      </c>
      <c r="J4021" t="s">
        <v>20733</v>
      </c>
      <c r="K4021" t="s">
        <v>303</v>
      </c>
      <c r="L4021" t="s">
        <v>112</v>
      </c>
      <c r="M4021" t="s">
        <v>113</v>
      </c>
      <c r="R4021" t="s">
        <v>21372</v>
      </c>
      <c r="S4021" t="s">
        <v>21373</v>
      </c>
      <c r="T4021" t="s">
        <v>1872</v>
      </c>
      <c r="U4021" t="s">
        <v>117</v>
      </c>
      <c r="V4021" t="str">
        <f>"141329014"</f>
        <v>141329014</v>
      </c>
      <c r="AC4021" t="s">
        <v>119</v>
      </c>
      <c r="AD4021" t="s">
        <v>113</v>
      </c>
      <c r="AE4021" t="s">
        <v>306</v>
      </c>
      <c r="AG4021" t="s">
        <v>121</v>
      </c>
    </row>
    <row r="4022" spans="1:33" x14ac:dyDescent="0.25">
      <c r="A4022" t="str">
        <f>"1982971685"</f>
        <v>1982971685</v>
      </c>
      <c r="C4022" t="s">
        <v>21374</v>
      </c>
      <c r="G4022" t="s">
        <v>20732</v>
      </c>
      <c r="H4022" t="s">
        <v>443</v>
      </c>
      <c r="J4022" t="s">
        <v>20733</v>
      </c>
      <c r="K4022" t="s">
        <v>303</v>
      </c>
      <c r="L4022" t="s">
        <v>229</v>
      </c>
      <c r="M4022" t="s">
        <v>113</v>
      </c>
      <c r="R4022" t="s">
        <v>21375</v>
      </c>
      <c r="S4022" t="s">
        <v>409</v>
      </c>
      <c r="T4022" t="s">
        <v>116</v>
      </c>
      <c r="U4022" t="s">
        <v>117</v>
      </c>
      <c r="V4022" t="str">
        <f>"142152814"</f>
        <v>142152814</v>
      </c>
      <c r="AC4022" t="s">
        <v>119</v>
      </c>
      <c r="AD4022" t="s">
        <v>113</v>
      </c>
      <c r="AE4022" t="s">
        <v>306</v>
      </c>
      <c r="AG4022" t="s">
        <v>121</v>
      </c>
    </row>
    <row r="4023" spans="1:33" x14ac:dyDescent="0.25">
      <c r="A4023" t="str">
        <f>"1407967078"</f>
        <v>1407967078</v>
      </c>
      <c r="C4023" t="s">
        <v>21376</v>
      </c>
      <c r="G4023" t="s">
        <v>20732</v>
      </c>
      <c r="H4023" t="s">
        <v>443</v>
      </c>
      <c r="J4023" t="s">
        <v>20733</v>
      </c>
      <c r="K4023" t="s">
        <v>303</v>
      </c>
      <c r="L4023" t="s">
        <v>229</v>
      </c>
      <c r="M4023" t="s">
        <v>113</v>
      </c>
      <c r="R4023" t="s">
        <v>21377</v>
      </c>
      <c r="S4023" t="s">
        <v>21378</v>
      </c>
      <c r="T4023" t="s">
        <v>116</v>
      </c>
      <c r="U4023" t="s">
        <v>117</v>
      </c>
      <c r="V4023" t="str">
        <f>"142142605"</f>
        <v>142142605</v>
      </c>
      <c r="AC4023" t="s">
        <v>119</v>
      </c>
      <c r="AD4023" t="s">
        <v>113</v>
      </c>
      <c r="AE4023" t="s">
        <v>306</v>
      </c>
      <c r="AG4023" t="s">
        <v>121</v>
      </c>
    </row>
    <row r="4024" spans="1:33" x14ac:dyDescent="0.25">
      <c r="A4024" t="str">
        <f>"1578878260"</f>
        <v>1578878260</v>
      </c>
      <c r="C4024" t="s">
        <v>21379</v>
      </c>
      <c r="G4024" t="s">
        <v>20732</v>
      </c>
      <c r="H4024" t="s">
        <v>443</v>
      </c>
      <c r="J4024" t="s">
        <v>20733</v>
      </c>
      <c r="K4024" t="s">
        <v>303</v>
      </c>
      <c r="L4024" t="s">
        <v>229</v>
      </c>
      <c r="M4024" t="s">
        <v>113</v>
      </c>
      <c r="R4024" t="s">
        <v>21380</v>
      </c>
      <c r="S4024" t="s">
        <v>13175</v>
      </c>
      <c r="T4024" t="s">
        <v>153</v>
      </c>
      <c r="U4024" t="s">
        <v>117</v>
      </c>
      <c r="V4024" t="str">
        <f>"143012232"</f>
        <v>143012232</v>
      </c>
      <c r="AC4024" t="s">
        <v>119</v>
      </c>
      <c r="AD4024" t="s">
        <v>113</v>
      </c>
      <c r="AE4024" t="s">
        <v>306</v>
      </c>
      <c r="AG4024" t="s">
        <v>121</v>
      </c>
    </row>
    <row r="4025" spans="1:33" x14ac:dyDescent="0.25">
      <c r="A4025" t="str">
        <f>"1457625287"</f>
        <v>1457625287</v>
      </c>
      <c r="C4025" t="s">
        <v>21381</v>
      </c>
      <c r="G4025" t="s">
        <v>20732</v>
      </c>
      <c r="H4025" t="s">
        <v>443</v>
      </c>
      <c r="J4025" t="s">
        <v>20733</v>
      </c>
      <c r="K4025" t="s">
        <v>303</v>
      </c>
      <c r="L4025" t="s">
        <v>229</v>
      </c>
      <c r="M4025" t="s">
        <v>113</v>
      </c>
      <c r="R4025" t="s">
        <v>21382</v>
      </c>
      <c r="S4025" t="s">
        <v>354</v>
      </c>
      <c r="T4025" t="s">
        <v>116</v>
      </c>
      <c r="U4025" t="s">
        <v>117</v>
      </c>
      <c r="V4025" t="str">
        <f>"142152814"</f>
        <v>142152814</v>
      </c>
      <c r="AC4025" t="s">
        <v>119</v>
      </c>
      <c r="AD4025" t="s">
        <v>113</v>
      </c>
      <c r="AE4025" t="s">
        <v>306</v>
      </c>
      <c r="AG4025" t="s">
        <v>121</v>
      </c>
    </row>
    <row r="4026" spans="1:33" x14ac:dyDescent="0.25">
      <c r="A4026" t="str">
        <f>"1174941363"</f>
        <v>1174941363</v>
      </c>
      <c r="C4026" t="s">
        <v>21383</v>
      </c>
      <c r="G4026" t="s">
        <v>20732</v>
      </c>
      <c r="H4026" t="s">
        <v>443</v>
      </c>
      <c r="J4026" t="s">
        <v>20733</v>
      </c>
      <c r="K4026" t="s">
        <v>303</v>
      </c>
      <c r="L4026" t="s">
        <v>229</v>
      </c>
      <c r="M4026" t="s">
        <v>113</v>
      </c>
      <c r="R4026" t="s">
        <v>21384</v>
      </c>
      <c r="S4026" t="s">
        <v>354</v>
      </c>
      <c r="T4026" t="s">
        <v>116</v>
      </c>
      <c r="U4026" t="s">
        <v>117</v>
      </c>
      <c r="V4026" t="str">
        <f>"142152814"</f>
        <v>142152814</v>
      </c>
      <c r="AC4026" t="s">
        <v>119</v>
      </c>
      <c r="AD4026" t="s">
        <v>113</v>
      </c>
      <c r="AE4026" t="s">
        <v>306</v>
      </c>
      <c r="AG4026" t="s">
        <v>121</v>
      </c>
    </row>
    <row r="4027" spans="1:33" x14ac:dyDescent="0.25">
      <c r="A4027" t="str">
        <f>"1801189717"</f>
        <v>1801189717</v>
      </c>
      <c r="B4027" t="str">
        <f>"04319944"</f>
        <v>04319944</v>
      </c>
      <c r="C4027" t="s">
        <v>21385</v>
      </c>
      <c r="D4027" t="s">
        <v>21386</v>
      </c>
      <c r="E4027" t="s">
        <v>21387</v>
      </c>
      <c r="G4027" t="s">
        <v>20732</v>
      </c>
      <c r="H4027" t="s">
        <v>443</v>
      </c>
      <c r="J4027" t="s">
        <v>20733</v>
      </c>
      <c r="L4027" t="s">
        <v>229</v>
      </c>
      <c r="M4027" t="s">
        <v>113</v>
      </c>
      <c r="R4027" t="s">
        <v>21388</v>
      </c>
      <c r="W4027" t="s">
        <v>21387</v>
      </c>
      <c r="X4027" t="s">
        <v>21389</v>
      </c>
      <c r="Y4027" t="s">
        <v>116</v>
      </c>
      <c r="Z4027" t="s">
        <v>117</v>
      </c>
      <c r="AA4027" t="str">
        <f>"14209-2256"</f>
        <v>14209-2256</v>
      </c>
      <c r="AB4027" t="s">
        <v>621</v>
      </c>
      <c r="AC4027" t="s">
        <v>119</v>
      </c>
      <c r="AD4027" t="s">
        <v>113</v>
      </c>
      <c r="AE4027" t="s">
        <v>120</v>
      </c>
      <c r="AG4027" t="s">
        <v>121</v>
      </c>
    </row>
    <row r="4028" spans="1:33" x14ac:dyDescent="0.25">
      <c r="A4028" t="str">
        <f>"1396011334"</f>
        <v>1396011334</v>
      </c>
      <c r="C4028" t="s">
        <v>21390</v>
      </c>
      <c r="G4028" t="s">
        <v>20732</v>
      </c>
      <c r="H4028" t="s">
        <v>443</v>
      </c>
      <c r="J4028" t="s">
        <v>20733</v>
      </c>
      <c r="K4028" t="s">
        <v>303</v>
      </c>
      <c r="L4028" t="s">
        <v>229</v>
      </c>
      <c r="M4028" t="s">
        <v>113</v>
      </c>
      <c r="R4028" t="s">
        <v>21391</v>
      </c>
      <c r="S4028" t="s">
        <v>354</v>
      </c>
      <c r="T4028" t="s">
        <v>116</v>
      </c>
      <c r="U4028" t="s">
        <v>117</v>
      </c>
      <c r="V4028" t="str">
        <f>"142152814"</f>
        <v>142152814</v>
      </c>
      <c r="AC4028" t="s">
        <v>119</v>
      </c>
      <c r="AD4028" t="s">
        <v>113</v>
      </c>
      <c r="AE4028" t="s">
        <v>306</v>
      </c>
      <c r="AG4028" t="s">
        <v>121</v>
      </c>
    </row>
    <row r="4029" spans="1:33" x14ac:dyDescent="0.25">
      <c r="A4029" t="str">
        <f>"1215274048"</f>
        <v>1215274048</v>
      </c>
      <c r="C4029" t="s">
        <v>21392</v>
      </c>
      <c r="G4029" t="s">
        <v>20732</v>
      </c>
      <c r="H4029" t="s">
        <v>443</v>
      </c>
      <c r="J4029" t="s">
        <v>20733</v>
      </c>
      <c r="K4029" t="s">
        <v>303</v>
      </c>
      <c r="L4029" t="s">
        <v>229</v>
      </c>
      <c r="M4029" t="s">
        <v>113</v>
      </c>
      <c r="R4029" t="s">
        <v>21393</v>
      </c>
      <c r="S4029" t="s">
        <v>354</v>
      </c>
      <c r="T4029" t="s">
        <v>116</v>
      </c>
      <c r="U4029" t="s">
        <v>117</v>
      </c>
      <c r="V4029" t="str">
        <f>"142152814"</f>
        <v>142152814</v>
      </c>
      <c r="AC4029" t="s">
        <v>119</v>
      </c>
      <c r="AD4029" t="s">
        <v>113</v>
      </c>
      <c r="AE4029" t="s">
        <v>306</v>
      </c>
      <c r="AG4029" t="s">
        <v>121</v>
      </c>
    </row>
    <row r="4030" spans="1:33" x14ac:dyDescent="0.25">
      <c r="A4030" t="str">
        <f>"1952501413"</f>
        <v>1952501413</v>
      </c>
      <c r="B4030" t="str">
        <f>"02897125"</f>
        <v>02897125</v>
      </c>
      <c r="C4030" t="s">
        <v>21394</v>
      </c>
      <c r="D4030" t="s">
        <v>21395</v>
      </c>
      <c r="E4030" t="s">
        <v>21396</v>
      </c>
      <c r="G4030" t="s">
        <v>20732</v>
      </c>
      <c r="H4030" t="s">
        <v>443</v>
      </c>
      <c r="J4030" t="s">
        <v>20733</v>
      </c>
      <c r="L4030" t="s">
        <v>1033</v>
      </c>
      <c r="M4030" t="s">
        <v>113</v>
      </c>
      <c r="R4030" t="s">
        <v>21397</v>
      </c>
      <c r="W4030" t="s">
        <v>21396</v>
      </c>
      <c r="X4030" t="s">
        <v>21398</v>
      </c>
      <c r="Y4030" t="s">
        <v>18721</v>
      </c>
      <c r="Z4030" t="s">
        <v>117</v>
      </c>
      <c r="AA4030" t="str">
        <f>"14454"</f>
        <v>14454</v>
      </c>
      <c r="AB4030" t="s">
        <v>118</v>
      </c>
      <c r="AC4030" t="s">
        <v>119</v>
      </c>
      <c r="AD4030" t="s">
        <v>113</v>
      </c>
      <c r="AE4030" t="s">
        <v>120</v>
      </c>
      <c r="AG4030" t="s">
        <v>121</v>
      </c>
    </row>
    <row r="4031" spans="1:33" x14ac:dyDescent="0.25">
      <c r="A4031" t="str">
        <f>"1477958882"</f>
        <v>1477958882</v>
      </c>
      <c r="C4031" t="s">
        <v>21399</v>
      </c>
      <c r="G4031" t="s">
        <v>20732</v>
      </c>
      <c r="H4031" t="s">
        <v>443</v>
      </c>
      <c r="J4031" t="s">
        <v>20733</v>
      </c>
      <c r="K4031" t="s">
        <v>303</v>
      </c>
      <c r="L4031" t="s">
        <v>229</v>
      </c>
      <c r="M4031" t="s">
        <v>113</v>
      </c>
      <c r="R4031" t="s">
        <v>21400</v>
      </c>
      <c r="S4031" t="s">
        <v>409</v>
      </c>
      <c r="T4031" t="s">
        <v>116</v>
      </c>
      <c r="U4031" t="s">
        <v>117</v>
      </c>
      <c r="V4031" t="str">
        <f>"142152814"</f>
        <v>142152814</v>
      </c>
      <c r="AC4031" t="s">
        <v>119</v>
      </c>
      <c r="AD4031" t="s">
        <v>113</v>
      </c>
      <c r="AE4031" t="s">
        <v>306</v>
      </c>
      <c r="AG4031" t="s">
        <v>121</v>
      </c>
    </row>
    <row r="4032" spans="1:33" x14ac:dyDescent="0.25">
      <c r="A4032" t="str">
        <f>"1003101502"</f>
        <v>1003101502</v>
      </c>
      <c r="C4032" t="s">
        <v>21401</v>
      </c>
      <c r="G4032" t="s">
        <v>20732</v>
      </c>
      <c r="H4032" t="s">
        <v>443</v>
      </c>
      <c r="J4032" t="s">
        <v>20733</v>
      </c>
      <c r="K4032" t="s">
        <v>303</v>
      </c>
      <c r="L4032" t="s">
        <v>229</v>
      </c>
      <c r="M4032" t="s">
        <v>113</v>
      </c>
      <c r="R4032" t="s">
        <v>21402</v>
      </c>
      <c r="S4032" t="s">
        <v>6729</v>
      </c>
      <c r="T4032" t="s">
        <v>192</v>
      </c>
      <c r="U4032" t="s">
        <v>117</v>
      </c>
      <c r="V4032" t="str">
        <f>"140203650"</f>
        <v>140203650</v>
      </c>
      <c r="AC4032" t="s">
        <v>119</v>
      </c>
      <c r="AD4032" t="s">
        <v>113</v>
      </c>
      <c r="AE4032" t="s">
        <v>306</v>
      </c>
      <c r="AG4032" t="s">
        <v>121</v>
      </c>
    </row>
    <row r="4033" spans="1:33" x14ac:dyDescent="0.25">
      <c r="A4033" t="str">
        <f>"1265832059"</f>
        <v>1265832059</v>
      </c>
      <c r="C4033" t="s">
        <v>21403</v>
      </c>
      <c r="G4033" t="s">
        <v>20732</v>
      </c>
      <c r="H4033" t="s">
        <v>443</v>
      </c>
      <c r="J4033" t="s">
        <v>20733</v>
      </c>
      <c r="K4033" t="s">
        <v>303</v>
      </c>
      <c r="L4033" t="s">
        <v>229</v>
      </c>
      <c r="M4033" t="s">
        <v>113</v>
      </c>
      <c r="R4033" t="s">
        <v>21404</v>
      </c>
      <c r="S4033" t="s">
        <v>409</v>
      </c>
      <c r="T4033" t="s">
        <v>116</v>
      </c>
      <c r="U4033" t="s">
        <v>117</v>
      </c>
      <c r="V4033" t="str">
        <f>"142152814"</f>
        <v>142152814</v>
      </c>
      <c r="AC4033" t="s">
        <v>119</v>
      </c>
      <c r="AD4033" t="s">
        <v>113</v>
      </c>
      <c r="AE4033" t="s">
        <v>306</v>
      </c>
      <c r="AG4033" t="s">
        <v>121</v>
      </c>
    </row>
    <row r="4034" spans="1:33" x14ac:dyDescent="0.25">
      <c r="A4034" t="str">
        <f>"1679986467"</f>
        <v>1679986467</v>
      </c>
      <c r="C4034" t="s">
        <v>21405</v>
      </c>
      <c r="G4034" t="s">
        <v>20732</v>
      </c>
      <c r="H4034" t="s">
        <v>443</v>
      </c>
      <c r="J4034" t="s">
        <v>20733</v>
      </c>
      <c r="K4034" t="s">
        <v>303</v>
      </c>
      <c r="L4034" t="s">
        <v>229</v>
      </c>
      <c r="M4034" t="s">
        <v>113</v>
      </c>
      <c r="R4034" t="s">
        <v>21406</v>
      </c>
      <c r="S4034" t="s">
        <v>354</v>
      </c>
      <c r="T4034" t="s">
        <v>116</v>
      </c>
      <c r="U4034" t="s">
        <v>117</v>
      </c>
      <c r="V4034" t="str">
        <f>"142152814"</f>
        <v>142152814</v>
      </c>
      <c r="AC4034" t="s">
        <v>119</v>
      </c>
      <c r="AD4034" t="s">
        <v>113</v>
      </c>
      <c r="AE4034" t="s">
        <v>306</v>
      </c>
      <c r="AG4034" t="s">
        <v>121</v>
      </c>
    </row>
    <row r="4035" spans="1:33" x14ac:dyDescent="0.25">
      <c r="A4035" t="str">
        <f>"1295089258"</f>
        <v>1295089258</v>
      </c>
      <c r="C4035" t="s">
        <v>21407</v>
      </c>
      <c r="G4035" t="s">
        <v>20732</v>
      </c>
      <c r="H4035" t="s">
        <v>443</v>
      </c>
      <c r="J4035" t="s">
        <v>20733</v>
      </c>
      <c r="K4035" t="s">
        <v>303</v>
      </c>
      <c r="L4035" t="s">
        <v>229</v>
      </c>
      <c r="M4035" t="s">
        <v>113</v>
      </c>
      <c r="R4035" t="s">
        <v>21408</v>
      </c>
      <c r="S4035" t="s">
        <v>354</v>
      </c>
      <c r="T4035" t="s">
        <v>116</v>
      </c>
      <c r="U4035" t="s">
        <v>117</v>
      </c>
      <c r="V4035" t="str">
        <f>"142152814"</f>
        <v>142152814</v>
      </c>
      <c r="AC4035" t="s">
        <v>119</v>
      </c>
      <c r="AD4035" t="s">
        <v>113</v>
      </c>
      <c r="AE4035" t="s">
        <v>306</v>
      </c>
      <c r="AG4035" t="s">
        <v>121</v>
      </c>
    </row>
    <row r="4036" spans="1:33" x14ac:dyDescent="0.25">
      <c r="A4036" t="str">
        <f>"1346313608"</f>
        <v>1346313608</v>
      </c>
      <c r="C4036" t="s">
        <v>21409</v>
      </c>
      <c r="G4036" t="s">
        <v>20732</v>
      </c>
      <c r="H4036" t="s">
        <v>443</v>
      </c>
      <c r="J4036" t="s">
        <v>20733</v>
      </c>
      <c r="K4036" t="s">
        <v>303</v>
      </c>
      <c r="L4036" t="s">
        <v>229</v>
      </c>
      <c r="M4036" t="s">
        <v>113</v>
      </c>
      <c r="R4036" t="s">
        <v>21410</v>
      </c>
      <c r="S4036" t="s">
        <v>21373</v>
      </c>
      <c r="T4036" t="s">
        <v>1872</v>
      </c>
      <c r="U4036" t="s">
        <v>117</v>
      </c>
      <c r="V4036" t="str">
        <f>"141329014"</f>
        <v>141329014</v>
      </c>
      <c r="AC4036" t="s">
        <v>119</v>
      </c>
      <c r="AD4036" t="s">
        <v>113</v>
      </c>
      <c r="AE4036" t="s">
        <v>306</v>
      </c>
      <c r="AG4036" t="s">
        <v>121</v>
      </c>
    </row>
    <row r="4037" spans="1:33" x14ac:dyDescent="0.25">
      <c r="A4037" t="str">
        <f>"1639355324"</f>
        <v>1639355324</v>
      </c>
      <c r="C4037" t="s">
        <v>21411</v>
      </c>
      <c r="G4037" t="s">
        <v>20732</v>
      </c>
      <c r="H4037" t="s">
        <v>443</v>
      </c>
      <c r="J4037" t="s">
        <v>20733</v>
      </c>
      <c r="K4037" t="s">
        <v>303</v>
      </c>
      <c r="L4037" t="s">
        <v>229</v>
      </c>
      <c r="M4037" t="s">
        <v>113</v>
      </c>
      <c r="R4037" t="s">
        <v>21412</v>
      </c>
      <c r="S4037" t="s">
        <v>405</v>
      </c>
      <c r="T4037" t="s">
        <v>116</v>
      </c>
      <c r="U4037" t="s">
        <v>117</v>
      </c>
      <c r="V4037" t="str">
        <f>"142151139"</f>
        <v>142151139</v>
      </c>
      <c r="AC4037" t="s">
        <v>119</v>
      </c>
      <c r="AD4037" t="s">
        <v>113</v>
      </c>
      <c r="AE4037" t="s">
        <v>306</v>
      </c>
      <c r="AG4037" t="s">
        <v>121</v>
      </c>
    </row>
    <row r="4038" spans="1:33" x14ac:dyDescent="0.25">
      <c r="A4038" t="str">
        <f>"1396930483"</f>
        <v>1396930483</v>
      </c>
      <c r="B4038" t="str">
        <f>"02911562"</f>
        <v>02911562</v>
      </c>
      <c r="C4038" t="s">
        <v>21413</v>
      </c>
      <c r="D4038" t="s">
        <v>21414</v>
      </c>
      <c r="E4038" t="s">
        <v>21415</v>
      </c>
      <c r="G4038" t="s">
        <v>20732</v>
      </c>
      <c r="H4038" t="s">
        <v>443</v>
      </c>
      <c r="J4038" t="s">
        <v>20733</v>
      </c>
      <c r="L4038" t="s">
        <v>112</v>
      </c>
      <c r="M4038" t="s">
        <v>113</v>
      </c>
      <c r="R4038" t="s">
        <v>21416</v>
      </c>
      <c r="W4038" t="s">
        <v>21415</v>
      </c>
      <c r="X4038" t="s">
        <v>1129</v>
      </c>
      <c r="Y4038" t="s">
        <v>116</v>
      </c>
      <c r="Z4038" t="s">
        <v>117</v>
      </c>
      <c r="AA4038" t="str">
        <f>"14207-2341"</f>
        <v>14207-2341</v>
      </c>
      <c r="AB4038" t="s">
        <v>118</v>
      </c>
      <c r="AC4038" t="s">
        <v>119</v>
      </c>
      <c r="AD4038" t="s">
        <v>113</v>
      </c>
      <c r="AE4038" t="s">
        <v>120</v>
      </c>
      <c r="AG4038" t="s">
        <v>121</v>
      </c>
    </row>
    <row r="4039" spans="1:33" x14ac:dyDescent="0.25">
      <c r="A4039" t="str">
        <f>"1356777304"</f>
        <v>1356777304</v>
      </c>
      <c r="C4039" t="s">
        <v>21417</v>
      </c>
      <c r="G4039" t="s">
        <v>20732</v>
      </c>
      <c r="H4039" t="s">
        <v>443</v>
      </c>
      <c r="J4039" t="s">
        <v>20733</v>
      </c>
      <c r="K4039" t="s">
        <v>303</v>
      </c>
      <c r="L4039" t="s">
        <v>229</v>
      </c>
      <c r="M4039" t="s">
        <v>113</v>
      </c>
      <c r="R4039" t="s">
        <v>21418</v>
      </c>
      <c r="S4039" t="s">
        <v>8308</v>
      </c>
      <c r="T4039" t="s">
        <v>116</v>
      </c>
      <c r="U4039" t="s">
        <v>117</v>
      </c>
      <c r="V4039" t="str">
        <f>"142132116"</f>
        <v>142132116</v>
      </c>
      <c r="AC4039" t="s">
        <v>119</v>
      </c>
      <c r="AD4039" t="s">
        <v>113</v>
      </c>
      <c r="AE4039" t="s">
        <v>306</v>
      </c>
      <c r="AG4039" t="s">
        <v>121</v>
      </c>
    </row>
    <row r="4040" spans="1:33" x14ac:dyDescent="0.25">
      <c r="C4040" t="s">
        <v>21419</v>
      </c>
      <c r="G4040" t="s">
        <v>21420</v>
      </c>
      <c r="H4040" t="s">
        <v>21421</v>
      </c>
      <c r="J4040" t="s">
        <v>21422</v>
      </c>
      <c r="K4040" t="s">
        <v>303</v>
      </c>
      <c r="L4040" t="s">
        <v>3095</v>
      </c>
      <c r="M4040" t="s">
        <v>113</v>
      </c>
      <c r="AC4040" t="s">
        <v>119</v>
      </c>
      <c r="AD4040" t="s">
        <v>113</v>
      </c>
      <c r="AE4040" t="s">
        <v>3098</v>
      </c>
      <c r="AG4040" t="s">
        <v>121</v>
      </c>
    </row>
    <row r="4041" spans="1:33" x14ac:dyDescent="0.25">
      <c r="C4041" t="s">
        <v>21423</v>
      </c>
      <c r="G4041" t="s">
        <v>21424</v>
      </c>
      <c r="H4041" t="s">
        <v>21425</v>
      </c>
      <c r="I4041">
        <v>201</v>
      </c>
      <c r="J4041" t="s">
        <v>21426</v>
      </c>
      <c r="K4041" t="s">
        <v>303</v>
      </c>
      <c r="L4041" t="s">
        <v>3095</v>
      </c>
      <c r="M4041" t="s">
        <v>113</v>
      </c>
      <c r="AC4041" t="s">
        <v>119</v>
      </c>
      <c r="AD4041" t="s">
        <v>113</v>
      </c>
      <c r="AE4041" t="s">
        <v>3098</v>
      </c>
      <c r="AG4041" t="s">
        <v>121</v>
      </c>
    </row>
    <row r="4042" spans="1:33" x14ac:dyDescent="0.25">
      <c r="C4042" t="s">
        <v>21427</v>
      </c>
      <c r="G4042" t="s">
        <v>21428</v>
      </c>
      <c r="J4042" t="s">
        <v>21429</v>
      </c>
      <c r="K4042" t="s">
        <v>303</v>
      </c>
      <c r="L4042" t="s">
        <v>3095</v>
      </c>
      <c r="M4042" t="s">
        <v>113</v>
      </c>
      <c r="AC4042" t="s">
        <v>119</v>
      </c>
      <c r="AD4042" t="s">
        <v>113</v>
      </c>
      <c r="AE4042" t="s">
        <v>3098</v>
      </c>
      <c r="AG4042" t="s">
        <v>121</v>
      </c>
    </row>
    <row r="4043" spans="1:33" x14ac:dyDescent="0.25">
      <c r="C4043" t="s">
        <v>21430</v>
      </c>
      <c r="G4043" t="s">
        <v>21431</v>
      </c>
      <c r="H4043" t="s">
        <v>21432</v>
      </c>
      <c r="J4043" t="s">
        <v>21433</v>
      </c>
      <c r="K4043" t="s">
        <v>303</v>
      </c>
      <c r="L4043" t="s">
        <v>3095</v>
      </c>
      <c r="M4043" t="s">
        <v>113</v>
      </c>
      <c r="AC4043" t="s">
        <v>119</v>
      </c>
      <c r="AD4043" t="s">
        <v>113</v>
      </c>
      <c r="AE4043" t="s">
        <v>3098</v>
      </c>
      <c r="AG4043" t="s">
        <v>121</v>
      </c>
    </row>
    <row r="4044" spans="1:33" x14ac:dyDescent="0.25">
      <c r="C4044" t="s">
        <v>21434</v>
      </c>
      <c r="G4044" t="s">
        <v>21435</v>
      </c>
      <c r="H4044" t="s">
        <v>6042</v>
      </c>
      <c r="J4044" t="s">
        <v>21436</v>
      </c>
      <c r="K4044" t="s">
        <v>303</v>
      </c>
      <c r="L4044" t="s">
        <v>3095</v>
      </c>
      <c r="M4044" t="s">
        <v>113</v>
      </c>
      <c r="AC4044" t="s">
        <v>119</v>
      </c>
      <c r="AD4044" t="s">
        <v>113</v>
      </c>
      <c r="AE4044" t="s">
        <v>3098</v>
      </c>
      <c r="AG4044" t="s">
        <v>121</v>
      </c>
    </row>
    <row r="4045" spans="1:33" x14ac:dyDescent="0.25">
      <c r="C4045" t="s">
        <v>21437</v>
      </c>
      <c r="G4045" t="s">
        <v>21438</v>
      </c>
      <c r="H4045" t="s">
        <v>21439</v>
      </c>
      <c r="J4045" t="s">
        <v>21440</v>
      </c>
      <c r="K4045" t="s">
        <v>303</v>
      </c>
      <c r="L4045" t="s">
        <v>3095</v>
      </c>
      <c r="M4045" t="s">
        <v>113</v>
      </c>
      <c r="AC4045" t="s">
        <v>119</v>
      </c>
      <c r="AD4045" t="s">
        <v>113</v>
      </c>
      <c r="AE4045" t="s">
        <v>3098</v>
      </c>
      <c r="AG4045" t="s">
        <v>121</v>
      </c>
    </row>
    <row r="4046" spans="1:33" x14ac:dyDescent="0.25">
      <c r="C4046" t="s">
        <v>21441</v>
      </c>
      <c r="G4046" t="s">
        <v>21442</v>
      </c>
      <c r="H4046" t="s">
        <v>21443</v>
      </c>
      <c r="J4046" t="s">
        <v>21444</v>
      </c>
      <c r="K4046" t="s">
        <v>303</v>
      </c>
      <c r="L4046" t="s">
        <v>3095</v>
      </c>
      <c r="M4046" t="s">
        <v>113</v>
      </c>
      <c r="AC4046" t="s">
        <v>119</v>
      </c>
      <c r="AD4046" t="s">
        <v>113</v>
      </c>
      <c r="AE4046" t="s">
        <v>3098</v>
      </c>
      <c r="AG4046" t="s">
        <v>121</v>
      </c>
    </row>
    <row r="4047" spans="1:33" x14ac:dyDescent="0.25">
      <c r="C4047" t="s">
        <v>21445</v>
      </c>
      <c r="G4047" t="s">
        <v>21446</v>
      </c>
      <c r="H4047" t="s">
        <v>21447</v>
      </c>
      <c r="J4047" t="s">
        <v>21448</v>
      </c>
      <c r="K4047" t="s">
        <v>303</v>
      </c>
      <c r="L4047" t="s">
        <v>3095</v>
      </c>
      <c r="M4047" t="s">
        <v>113</v>
      </c>
      <c r="AC4047" t="s">
        <v>119</v>
      </c>
      <c r="AD4047" t="s">
        <v>113</v>
      </c>
      <c r="AE4047" t="s">
        <v>3098</v>
      </c>
      <c r="AG4047" t="s">
        <v>121</v>
      </c>
    </row>
    <row r="4048" spans="1:33" x14ac:dyDescent="0.25">
      <c r="C4048" t="s">
        <v>21449</v>
      </c>
      <c r="G4048" t="s">
        <v>21450</v>
      </c>
      <c r="H4048" t="s">
        <v>21451</v>
      </c>
      <c r="J4048" t="s">
        <v>21452</v>
      </c>
      <c r="K4048" t="s">
        <v>303</v>
      </c>
      <c r="L4048" t="s">
        <v>3095</v>
      </c>
      <c r="M4048" t="s">
        <v>113</v>
      </c>
      <c r="AC4048" t="s">
        <v>119</v>
      </c>
      <c r="AD4048" t="s">
        <v>113</v>
      </c>
      <c r="AE4048" t="s">
        <v>3098</v>
      </c>
      <c r="AG4048" t="s">
        <v>121</v>
      </c>
    </row>
    <row r="4049" spans="1:33" x14ac:dyDescent="0.25">
      <c r="C4049" t="s">
        <v>21453</v>
      </c>
      <c r="G4049" t="s">
        <v>21454</v>
      </c>
      <c r="H4049" t="s">
        <v>21455</v>
      </c>
      <c r="J4049" t="s">
        <v>21456</v>
      </c>
      <c r="K4049" t="s">
        <v>303</v>
      </c>
      <c r="L4049" t="s">
        <v>3095</v>
      </c>
      <c r="M4049" t="s">
        <v>113</v>
      </c>
      <c r="AC4049" t="s">
        <v>119</v>
      </c>
      <c r="AD4049" t="s">
        <v>113</v>
      </c>
      <c r="AE4049" t="s">
        <v>3098</v>
      </c>
      <c r="AG4049" t="s">
        <v>121</v>
      </c>
    </row>
    <row r="4050" spans="1:33" x14ac:dyDescent="0.25">
      <c r="C4050" t="s">
        <v>21457</v>
      </c>
      <c r="G4050" t="s">
        <v>21458</v>
      </c>
      <c r="H4050" t="s">
        <v>21459</v>
      </c>
      <c r="I4050">
        <v>111</v>
      </c>
      <c r="J4050" t="s">
        <v>21460</v>
      </c>
      <c r="K4050" t="s">
        <v>303</v>
      </c>
      <c r="L4050" t="s">
        <v>3095</v>
      </c>
      <c r="M4050" t="s">
        <v>113</v>
      </c>
      <c r="AC4050" t="s">
        <v>119</v>
      </c>
      <c r="AD4050" t="s">
        <v>113</v>
      </c>
      <c r="AE4050" t="s">
        <v>3098</v>
      </c>
      <c r="AG4050" t="s">
        <v>121</v>
      </c>
    </row>
    <row r="4051" spans="1:33" x14ac:dyDescent="0.25">
      <c r="C4051" t="s">
        <v>21461</v>
      </c>
      <c r="G4051" t="s">
        <v>8858</v>
      </c>
      <c r="H4051" t="s">
        <v>19541</v>
      </c>
      <c r="J4051" t="s">
        <v>8860</v>
      </c>
      <c r="K4051" t="s">
        <v>303</v>
      </c>
      <c r="L4051" t="s">
        <v>3095</v>
      </c>
      <c r="M4051" t="s">
        <v>113</v>
      </c>
      <c r="AC4051" t="s">
        <v>119</v>
      </c>
      <c r="AD4051" t="s">
        <v>113</v>
      </c>
      <c r="AE4051" t="s">
        <v>3098</v>
      </c>
      <c r="AG4051" t="s">
        <v>121</v>
      </c>
    </row>
    <row r="4052" spans="1:33" x14ac:dyDescent="0.25">
      <c r="C4052" t="s">
        <v>21462</v>
      </c>
      <c r="G4052" t="s">
        <v>21463</v>
      </c>
      <c r="H4052" t="s">
        <v>21464</v>
      </c>
      <c r="J4052" t="s">
        <v>21465</v>
      </c>
      <c r="K4052" t="s">
        <v>303</v>
      </c>
      <c r="L4052" t="s">
        <v>3095</v>
      </c>
      <c r="M4052" t="s">
        <v>113</v>
      </c>
      <c r="AC4052" t="s">
        <v>119</v>
      </c>
      <c r="AD4052" t="s">
        <v>113</v>
      </c>
      <c r="AE4052" t="s">
        <v>3098</v>
      </c>
      <c r="AG4052" t="s">
        <v>121</v>
      </c>
    </row>
    <row r="4053" spans="1:33" x14ac:dyDescent="0.25">
      <c r="C4053" t="s">
        <v>21466</v>
      </c>
      <c r="G4053" t="s">
        <v>21467</v>
      </c>
      <c r="H4053" t="s">
        <v>21468</v>
      </c>
      <c r="I4053">
        <v>229</v>
      </c>
      <c r="J4053" t="s">
        <v>21469</v>
      </c>
      <c r="K4053" t="s">
        <v>303</v>
      </c>
      <c r="L4053" t="s">
        <v>3095</v>
      </c>
      <c r="M4053" t="s">
        <v>113</v>
      </c>
      <c r="AC4053" t="s">
        <v>119</v>
      </c>
      <c r="AD4053" t="s">
        <v>113</v>
      </c>
      <c r="AE4053" t="s">
        <v>3098</v>
      </c>
      <c r="AG4053" t="s">
        <v>121</v>
      </c>
    </row>
    <row r="4054" spans="1:33" x14ac:dyDescent="0.25">
      <c r="C4054" t="s">
        <v>21470</v>
      </c>
      <c r="G4054" t="s">
        <v>21471</v>
      </c>
      <c r="H4054" t="s">
        <v>21472</v>
      </c>
      <c r="J4054" t="s">
        <v>21473</v>
      </c>
      <c r="K4054" t="s">
        <v>303</v>
      </c>
      <c r="L4054" t="s">
        <v>3095</v>
      </c>
      <c r="M4054" t="s">
        <v>113</v>
      </c>
      <c r="AC4054" t="s">
        <v>119</v>
      </c>
      <c r="AD4054" t="s">
        <v>113</v>
      </c>
      <c r="AE4054" t="s">
        <v>3098</v>
      </c>
      <c r="AG4054" t="s">
        <v>121</v>
      </c>
    </row>
    <row r="4055" spans="1:33" x14ac:dyDescent="0.25">
      <c r="C4055" t="s">
        <v>21474</v>
      </c>
      <c r="G4055" t="s">
        <v>21475</v>
      </c>
      <c r="H4055" t="s">
        <v>21476</v>
      </c>
      <c r="J4055" t="s">
        <v>21477</v>
      </c>
      <c r="K4055" t="s">
        <v>303</v>
      </c>
      <c r="L4055" t="s">
        <v>3095</v>
      </c>
      <c r="M4055" t="s">
        <v>113</v>
      </c>
      <c r="AC4055" t="s">
        <v>119</v>
      </c>
      <c r="AD4055" t="s">
        <v>113</v>
      </c>
      <c r="AE4055" t="s">
        <v>3098</v>
      </c>
      <c r="AG4055" t="s">
        <v>121</v>
      </c>
    </row>
    <row r="4056" spans="1:33" x14ac:dyDescent="0.25">
      <c r="C4056" t="s">
        <v>21478</v>
      </c>
      <c r="G4056" t="s">
        <v>5311</v>
      </c>
      <c r="H4056" t="s">
        <v>21479</v>
      </c>
      <c r="J4056" t="s">
        <v>5313</v>
      </c>
      <c r="K4056" t="s">
        <v>303</v>
      </c>
      <c r="L4056" t="s">
        <v>3095</v>
      </c>
      <c r="M4056" t="s">
        <v>113</v>
      </c>
      <c r="AC4056" t="s">
        <v>119</v>
      </c>
      <c r="AD4056" t="s">
        <v>113</v>
      </c>
      <c r="AE4056" t="s">
        <v>3098</v>
      </c>
      <c r="AG4056" t="s">
        <v>121</v>
      </c>
    </row>
    <row r="4057" spans="1:33" x14ac:dyDescent="0.25">
      <c r="B4057" t="str">
        <f>"03697674"</f>
        <v>03697674</v>
      </c>
      <c r="C4057" t="s">
        <v>19278</v>
      </c>
      <c r="D4057" t="s">
        <v>19279</v>
      </c>
      <c r="E4057" t="s">
        <v>19278</v>
      </c>
      <c r="H4057" t="s">
        <v>19280</v>
      </c>
      <c r="L4057" t="s">
        <v>69</v>
      </c>
      <c r="M4057" t="s">
        <v>113</v>
      </c>
      <c r="W4057" t="s">
        <v>19278</v>
      </c>
      <c r="X4057" t="s">
        <v>3085</v>
      </c>
      <c r="Y4057" t="s">
        <v>986</v>
      </c>
      <c r="Z4057" t="s">
        <v>117</v>
      </c>
      <c r="AA4057" t="str">
        <f>"14701-2528"</f>
        <v>14701-2528</v>
      </c>
      <c r="AB4057" t="s">
        <v>291</v>
      </c>
      <c r="AC4057" t="s">
        <v>119</v>
      </c>
      <c r="AD4057" t="s">
        <v>113</v>
      </c>
      <c r="AE4057" t="s">
        <v>120</v>
      </c>
      <c r="AG4057" t="s">
        <v>121</v>
      </c>
    </row>
    <row r="4058" spans="1:33" x14ac:dyDescent="0.25">
      <c r="A4058" t="str">
        <f>"1811241961"</f>
        <v>1811241961</v>
      </c>
      <c r="B4058" t="str">
        <f>"03707462"</f>
        <v>03707462</v>
      </c>
      <c r="C4058" t="s">
        <v>21481</v>
      </c>
      <c r="D4058" t="s">
        <v>21482</v>
      </c>
      <c r="E4058" t="s">
        <v>21483</v>
      </c>
      <c r="G4058" t="s">
        <v>21481</v>
      </c>
      <c r="H4058" t="s">
        <v>590</v>
      </c>
      <c r="J4058" t="s">
        <v>21484</v>
      </c>
      <c r="L4058" t="s">
        <v>112</v>
      </c>
      <c r="M4058" t="s">
        <v>113</v>
      </c>
      <c r="R4058" t="s">
        <v>21485</v>
      </c>
      <c r="W4058" t="s">
        <v>21483</v>
      </c>
      <c r="X4058" t="s">
        <v>3004</v>
      </c>
      <c r="Y4058" t="s">
        <v>116</v>
      </c>
      <c r="Z4058" t="s">
        <v>117</v>
      </c>
      <c r="AA4058" t="str">
        <f>"14209-2111"</f>
        <v>14209-2111</v>
      </c>
      <c r="AB4058" t="s">
        <v>528</v>
      </c>
      <c r="AC4058" t="s">
        <v>119</v>
      </c>
      <c r="AD4058" t="s">
        <v>113</v>
      </c>
      <c r="AE4058" t="s">
        <v>120</v>
      </c>
      <c r="AG4058" t="s">
        <v>121</v>
      </c>
    </row>
    <row r="4059" spans="1:33" x14ac:dyDescent="0.25">
      <c r="A4059" t="str">
        <f>"1811251218"</f>
        <v>1811251218</v>
      </c>
      <c r="B4059" t="str">
        <f>"04302732"</f>
        <v>04302732</v>
      </c>
      <c r="C4059" t="s">
        <v>21486</v>
      </c>
      <c r="D4059" t="s">
        <v>21487</v>
      </c>
      <c r="E4059" t="s">
        <v>21488</v>
      </c>
      <c r="G4059" t="s">
        <v>21489</v>
      </c>
      <c r="H4059" t="s">
        <v>3800</v>
      </c>
      <c r="J4059" t="s">
        <v>21490</v>
      </c>
      <c r="L4059" t="s">
        <v>112</v>
      </c>
      <c r="M4059" t="s">
        <v>113</v>
      </c>
      <c r="R4059" t="s">
        <v>21491</v>
      </c>
      <c r="W4059" t="s">
        <v>21488</v>
      </c>
      <c r="X4059" t="s">
        <v>17294</v>
      </c>
      <c r="Y4059" t="s">
        <v>116</v>
      </c>
      <c r="Z4059" t="s">
        <v>117</v>
      </c>
      <c r="AA4059" t="str">
        <f>"14203-1126"</f>
        <v>14203-1126</v>
      </c>
      <c r="AB4059" t="s">
        <v>118</v>
      </c>
      <c r="AC4059" t="s">
        <v>119</v>
      </c>
      <c r="AD4059" t="s">
        <v>113</v>
      </c>
      <c r="AE4059" t="s">
        <v>120</v>
      </c>
      <c r="AG4059" t="s">
        <v>121</v>
      </c>
    </row>
    <row r="4060" spans="1:33" x14ac:dyDescent="0.25">
      <c r="A4060" t="str">
        <f>"1811266786"</f>
        <v>1811266786</v>
      </c>
      <c r="B4060" t="str">
        <f>"03474444"</f>
        <v>03474444</v>
      </c>
      <c r="C4060" t="s">
        <v>21492</v>
      </c>
      <c r="D4060" t="s">
        <v>21493</v>
      </c>
      <c r="E4060" t="s">
        <v>21494</v>
      </c>
      <c r="G4060" t="s">
        <v>21495</v>
      </c>
      <c r="L4060" t="s">
        <v>69</v>
      </c>
      <c r="M4060" t="s">
        <v>113</v>
      </c>
      <c r="R4060" t="s">
        <v>21494</v>
      </c>
      <c r="W4060" t="s">
        <v>21494</v>
      </c>
      <c r="X4060" t="s">
        <v>21496</v>
      </c>
      <c r="Y4060" t="s">
        <v>21497</v>
      </c>
      <c r="Z4060" t="s">
        <v>117</v>
      </c>
      <c r="AA4060" t="str">
        <f>"14085-9624"</f>
        <v>14085-9624</v>
      </c>
      <c r="AB4060" t="s">
        <v>872</v>
      </c>
      <c r="AC4060" t="s">
        <v>119</v>
      </c>
      <c r="AD4060" t="s">
        <v>113</v>
      </c>
      <c r="AE4060" t="s">
        <v>120</v>
      </c>
      <c r="AG4060" t="s">
        <v>121</v>
      </c>
    </row>
    <row r="4061" spans="1:33" x14ac:dyDescent="0.25">
      <c r="A4061" t="str">
        <f>"1811267883"</f>
        <v>1811267883</v>
      </c>
      <c r="C4061" t="s">
        <v>21498</v>
      </c>
      <c r="G4061" t="s">
        <v>21499</v>
      </c>
      <c r="J4061" t="s">
        <v>438</v>
      </c>
      <c r="K4061" t="s">
        <v>303</v>
      </c>
      <c r="L4061" t="s">
        <v>112</v>
      </c>
      <c r="M4061" t="s">
        <v>113</v>
      </c>
      <c r="R4061" t="s">
        <v>21500</v>
      </c>
      <c r="S4061" t="s">
        <v>6577</v>
      </c>
      <c r="T4061" t="s">
        <v>116</v>
      </c>
      <c r="U4061" t="s">
        <v>117</v>
      </c>
      <c r="V4061" t="str">
        <f>"142121845"</f>
        <v>142121845</v>
      </c>
      <c r="AC4061" t="s">
        <v>119</v>
      </c>
      <c r="AD4061" t="s">
        <v>113</v>
      </c>
      <c r="AE4061" t="s">
        <v>306</v>
      </c>
      <c r="AG4061" t="s">
        <v>121</v>
      </c>
    </row>
    <row r="4062" spans="1:33" x14ac:dyDescent="0.25">
      <c r="A4062" t="str">
        <f>"1811296825"</f>
        <v>1811296825</v>
      </c>
      <c r="C4062" t="s">
        <v>21501</v>
      </c>
      <c r="G4062" t="s">
        <v>21501</v>
      </c>
      <c r="H4062" t="s">
        <v>21502</v>
      </c>
      <c r="J4062" t="s">
        <v>21503</v>
      </c>
      <c r="K4062" t="s">
        <v>303</v>
      </c>
      <c r="L4062" t="s">
        <v>112</v>
      </c>
      <c r="M4062" t="s">
        <v>113</v>
      </c>
      <c r="R4062" t="s">
        <v>21504</v>
      </c>
      <c r="S4062" t="s">
        <v>18507</v>
      </c>
      <c r="T4062" t="s">
        <v>116</v>
      </c>
      <c r="U4062" t="s">
        <v>117</v>
      </c>
      <c r="V4062" t="str">
        <f>"142071910"</f>
        <v>142071910</v>
      </c>
      <c r="AC4062" t="s">
        <v>119</v>
      </c>
      <c r="AD4062" t="s">
        <v>113</v>
      </c>
      <c r="AE4062" t="s">
        <v>306</v>
      </c>
      <c r="AG4062" t="s">
        <v>121</v>
      </c>
    </row>
    <row r="4063" spans="1:33" x14ac:dyDescent="0.25">
      <c r="C4063" t="s">
        <v>21505</v>
      </c>
      <c r="G4063" t="s">
        <v>21506</v>
      </c>
      <c r="H4063" t="s">
        <v>21507</v>
      </c>
      <c r="J4063" t="s">
        <v>21508</v>
      </c>
      <c r="K4063" t="s">
        <v>303</v>
      </c>
      <c r="L4063" t="s">
        <v>3095</v>
      </c>
      <c r="M4063" t="s">
        <v>113</v>
      </c>
      <c r="N4063" t="s">
        <v>21509</v>
      </c>
      <c r="O4063" t="s">
        <v>21510</v>
      </c>
      <c r="P4063" t="s">
        <v>117</v>
      </c>
      <c r="Q4063" t="str">
        <f>"10119"</f>
        <v>10119</v>
      </c>
      <c r="AC4063" t="s">
        <v>119</v>
      </c>
      <c r="AD4063" t="s">
        <v>113</v>
      </c>
      <c r="AE4063" t="s">
        <v>3098</v>
      </c>
      <c r="AG4063" t="s">
        <v>121</v>
      </c>
    </row>
    <row r="4064" spans="1:33" x14ac:dyDescent="0.25">
      <c r="A4064" t="str">
        <f>"1386852291"</f>
        <v>1386852291</v>
      </c>
      <c r="C4064" t="s">
        <v>21511</v>
      </c>
      <c r="G4064" t="s">
        <v>21512</v>
      </c>
      <c r="H4064" t="s">
        <v>21513</v>
      </c>
      <c r="J4064" t="s">
        <v>21514</v>
      </c>
      <c r="K4064" t="s">
        <v>303</v>
      </c>
      <c r="L4064" t="s">
        <v>229</v>
      </c>
      <c r="M4064" t="s">
        <v>113</v>
      </c>
      <c r="R4064" t="s">
        <v>21511</v>
      </c>
      <c r="S4064" t="s">
        <v>21515</v>
      </c>
      <c r="T4064" t="s">
        <v>1628</v>
      </c>
      <c r="U4064" t="s">
        <v>117</v>
      </c>
      <c r="V4064" t="str">
        <f>"144119382"</f>
        <v>144119382</v>
      </c>
      <c r="AC4064" t="s">
        <v>119</v>
      </c>
      <c r="AD4064" t="s">
        <v>113</v>
      </c>
      <c r="AE4064" t="s">
        <v>306</v>
      </c>
      <c r="AG4064" t="s">
        <v>121</v>
      </c>
    </row>
    <row r="4065" spans="1:33" x14ac:dyDescent="0.25">
      <c r="A4065" t="str">
        <f>"1366483836"</f>
        <v>1366483836</v>
      </c>
      <c r="C4065" t="s">
        <v>21516</v>
      </c>
      <c r="G4065" t="s">
        <v>21517</v>
      </c>
      <c r="H4065" t="s">
        <v>21518</v>
      </c>
      <c r="J4065" t="s">
        <v>21519</v>
      </c>
      <c r="K4065" t="s">
        <v>303</v>
      </c>
      <c r="L4065" t="s">
        <v>229</v>
      </c>
      <c r="M4065" t="s">
        <v>113</v>
      </c>
      <c r="R4065" t="s">
        <v>21520</v>
      </c>
      <c r="S4065" t="s">
        <v>21521</v>
      </c>
      <c r="T4065" t="s">
        <v>4866</v>
      </c>
      <c r="U4065" t="s">
        <v>117</v>
      </c>
      <c r="V4065" t="str">
        <f>"14706"</f>
        <v>14706</v>
      </c>
      <c r="AC4065" t="s">
        <v>119</v>
      </c>
      <c r="AD4065" t="s">
        <v>113</v>
      </c>
      <c r="AE4065" t="s">
        <v>306</v>
      </c>
      <c r="AG4065" t="s">
        <v>121</v>
      </c>
    </row>
    <row r="4066" spans="1:33" x14ac:dyDescent="0.25">
      <c r="B4066" t="str">
        <f>"03610506"</f>
        <v>03610506</v>
      </c>
      <c r="C4066" t="s">
        <v>19275</v>
      </c>
      <c r="D4066" t="s">
        <v>19276</v>
      </c>
      <c r="E4066" t="s">
        <v>19275</v>
      </c>
      <c r="F4066">
        <v>161146128</v>
      </c>
      <c r="L4066" t="s">
        <v>69</v>
      </c>
      <c r="M4066" t="s">
        <v>199</v>
      </c>
      <c r="W4066" t="s">
        <v>19275</v>
      </c>
      <c r="X4066" t="s">
        <v>19277</v>
      </c>
      <c r="Y4066" t="s">
        <v>512</v>
      </c>
      <c r="Z4066" t="s">
        <v>117</v>
      </c>
      <c r="AA4066" t="str">
        <f>"14092-1726"</f>
        <v>14092-1726</v>
      </c>
      <c r="AB4066" t="s">
        <v>291</v>
      </c>
      <c r="AC4066" t="s">
        <v>119</v>
      </c>
      <c r="AD4066" t="s">
        <v>113</v>
      </c>
      <c r="AE4066" t="s">
        <v>120</v>
      </c>
      <c r="AG4066" t="s">
        <v>121</v>
      </c>
    </row>
    <row r="4067" spans="1:33" x14ac:dyDescent="0.25">
      <c r="C4067" t="s">
        <v>21530</v>
      </c>
      <c r="G4067" t="s">
        <v>21531</v>
      </c>
      <c r="H4067" t="s">
        <v>21532</v>
      </c>
      <c r="K4067" t="s">
        <v>303</v>
      </c>
      <c r="L4067" t="s">
        <v>3095</v>
      </c>
      <c r="M4067" t="s">
        <v>113</v>
      </c>
      <c r="N4067" t="s">
        <v>21533</v>
      </c>
      <c r="O4067" t="s">
        <v>21534</v>
      </c>
      <c r="P4067" t="s">
        <v>117</v>
      </c>
      <c r="Q4067" t="str">
        <f>"14094"</f>
        <v>14094</v>
      </c>
      <c r="AC4067" t="s">
        <v>119</v>
      </c>
      <c r="AD4067" t="s">
        <v>113</v>
      </c>
      <c r="AE4067" t="s">
        <v>3098</v>
      </c>
      <c r="AG4067" t="s">
        <v>121</v>
      </c>
    </row>
    <row r="4068" spans="1:33" x14ac:dyDescent="0.25">
      <c r="C4068" t="s">
        <v>21535</v>
      </c>
      <c r="G4068" t="s">
        <v>21531</v>
      </c>
      <c r="H4068" t="s">
        <v>21536</v>
      </c>
      <c r="K4068" t="s">
        <v>303</v>
      </c>
      <c r="L4068" t="s">
        <v>3095</v>
      </c>
      <c r="M4068" t="s">
        <v>113</v>
      </c>
      <c r="N4068" t="s">
        <v>21533</v>
      </c>
      <c r="O4068" t="s">
        <v>21534</v>
      </c>
      <c r="P4068" t="s">
        <v>117</v>
      </c>
      <c r="Q4068" t="str">
        <f>"14095"</f>
        <v>14095</v>
      </c>
      <c r="AC4068" t="s">
        <v>119</v>
      </c>
      <c r="AD4068" t="s">
        <v>113</v>
      </c>
      <c r="AE4068" t="s">
        <v>3098</v>
      </c>
      <c r="AG4068" t="s">
        <v>121</v>
      </c>
    </row>
    <row r="4069" spans="1:33" x14ac:dyDescent="0.25">
      <c r="C4069" t="s">
        <v>21537</v>
      </c>
      <c r="G4069" t="s">
        <v>21531</v>
      </c>
      <c r="H4069" t="s">
        <v>21538</v>
      </c>
      <c r="K4069" t="s">
        <v>303</v>
      </c>
      <c r="L4069" t="s">
        <v>3095</v>
      </c>
      <c r="M4069" t="s">
        <v>113</v>
      </c>
      <c r="N4069" t="s">
        <v>21533</v>
      </c>
      <c r="O4069" t="s">
        <v>21534</v>
      </c>
      <c r="P4069" t="s">
        <v>117</v>
      </c>
      <c r="Q4069" t="str">
        <f>"14096"</f>
        <v>14096</v>
      </c>
      <c r="AC4069" t="s">
        <v>119</v>
      </c>
      <c r="AD4069" t="s">
        <v>113</v>
      </c>
      <c r="AE4069" t="s">
        <v>3098</v>
      </c>
      <c r="AG4069" t="s">
        <v>121</v>
      </c>
    </row>
    <row r="4070" spans="1:33" x14ac:dyDescent="0.25">
      <c r="C4070" t="s">
        <v>21539</v>
      </c>
      <c r="G4070" t="s">
        <v>21540</v>
      </c>
      <c r="H4070" t="s">
        <v>21213</v>
      </c>
      <c r="J4070" t="s">
        <v>21541</v>
      </c>
      <c r="K4070" t="s">
        <v>303</v>
      </c>
      <c r="L4070" t="s">
        <v>3095</v>
      </c>
      <c r="M4070" t="s">
        <v>113</v>
      </c>
      <c r="N4070" t="s">
        <v>21542</v>
      </c>
      <c r="O4070" t="s">
        <v>21543</v>
      </c>
      <c r="P4070" t="s">
        <v>117</v>
      </c>
      <c r="Q4070" t="str">
        <f>"14225"</f>
        <v>14225</v>
      </c>
      <c r="AC4070" t="s">
        <v>119</v>
      </c>
      <c r="AD4070" t="s">
        <v>113</v>
      </c>
      <c r="AE4070" t="s">
        <v>3098</v>
      </c>
      <c r="AG4070" t="s">
        <v>121</v>
      </c>
    </row>
    <row r="4071" spans="1:33" x14ac:dyDescent="0.25">
      <c r="C4071" t="s">
        <v>21544</v>
      </c>
      <c r="H4071" t="s">
        <v>21464</v>
      </c>
      <c r="J4071" t="s">
        <v>21545</v>
      </c>
      <c r="K4071" t="s">
        <v>303</v>
      </c>
      <c r="L4071" t="s">
        <v>3095</v>
      </c>
      <c r="M4071" t="s">
        <v>113</v>
      </c>
      <c r="N4071" t="s">
        <v>21546</v>
      </c>
      <c r="O4071" t="s">
        <v>21547</v>
      </c>
      <c r="P4071" t="s">
        <v>117</v>
      </c>
      <c r="Q4071" t="str">
        <f>"14813"</f>
        <v>14813</v>
      </c>
      <c r="AC4071" t="s">
        <v>119</v>
      </c>
      <c r="AD4071" t="s">
        <v>113</v>
      </c>
      <c r="AE4071" t="s">
        <v>3098</v>
      </c>
      <c r="AG4071" t="s">
        <v>121</v>
      </c>
    </row>
    <row r="4072" spans="1:33" x14ac:dyDescent="0.25">
      <c r="C4072" t="s">
        <v>21548</v>
      </c>
      <c r="H4072" t="s">
        <v>21549</v>
      </c>
      <c r="J4072" t="s">
        <v>21550</v>
      </c>
      <c r="K4072" t="s">
        <v>303</v>
      </c>
      <c r="L4072" t="s">
        <v>3095</v>
      </c>
      <c r="M4072" t="s">
        <v>113</v>
      </c>
      <c r="N4072" t="s">
        <v>21551</v>
      </c>
      <c r="O4072" t="s">
        <v>18942</v>
      </c>
      <c r="P4072" t="s">
        <v>117</v>
      </c>
      <c r="Q4072" t="str">
        <f>"14301"</f>
        <v>14301</v>
      </c>
      <c r="AC4072" t="s">
        <v>119</v>
      </c>
      <c r="AD4072" t="s">
        <v>113</v>
      </c>
      <c r="AE4072" t="s">
        <v>3098</v>
      </c>
      <c r="AG4072" t="s">
        <v>121</v>
      </c>
    </row>
    <row r="4073" spans="1:33" x14ac:dyDescent="0.25">
      <c r="A4073" t="str">
        <f>"1801291307"</f>
        <v>1801291307</v>
      </c>
      <c r="B4073" t="str">
        <f>"03987491"</f>
        <v>03987491</v>
      </c>
      <c r="C4073" t="s">
        <v>21552</v>
      </c>
      <c r="D4073" t="s">
        <v>21553</v>
      </c>
      <c r="E4073" t="s">
        <v>21554</v>
      </c>
      <c r="L4073" t="s">
        <v>69</v>
      </c>
      <c r="M4073" t="s">
        <v>113</v>
      </c>
      <c r="R4073" t="s">
        <v>21555</v>
      </c>
      <c r="W4073" t="s">
        <v>21554</v>
      </c>
      <c r="X4073" t="s">
        <v>1353</v>
      </c>
      <c r="Y4073" t="s">
        <v>663</v>
      </c>
      <c r="Z4073" t="s">
        <v>117</v>
      </c>
      <c r="AA4073" t="str">
        <f>"14094-3201"</f>
        <v>14094-3201</v>
      </c>
      <c r="AB4073" t="s">
        <v>872</v>
      </c>
      <c r="AC4073" t="s">
        <v>119</v>
      </c>
      <c r="AD4073" t="s">
        <v>113</v>
      </c>
      <c r="AE4073" t="s">
        <v>120</v>
      </c>
      <c r="AG4073" t="s">
        <v>121</v>
      </c>
    </row>
    <row r="4074" spans="1:33" x14ac:dyDescent="0.25">
      <c r="A4074" t="str">
        <f>"1336552017"</f>
        <v>1336552017</v>
      </c>
      <c r="B4074" t="str">
        <f>"03948083"</f>
        <v>03948083</v>
      </c>
      <c r="C4074" t="s">
        <v>21556</v>
      </c>
      <c r="D4074" t="s">
        <v>21557</v>
      </c>
      <c r="E4074" t="s">
        <v>21558</v>
      </c>
      <c r="G4074" t="s">
        <v>20969</v>
      </c>
      <c r="H4074" t="s">
        <v>20970</v>
      </c>
      <c r="J4074" t="s">
        <v>20971</v>
      </c>
      <c r="L4074" t="s">
        <v>142</v>
      </c>
      <c r="M4074" t="s">
        <v>113</v>
      </c>
      <c r="R4074" t="s">
        <v>21558</v>
      </c>
      <c r="W4074" t="s">
        <v>21559</v>
      </c>
      <c r="X4074" t="s">
        <v>21560</v>
      </c>
      <c r="Y4074" t="s">
        <v>880</v>
      </c>
      <c r="Z4074" t="s">
        <v>117</v>
      </c>
      <c r="AA4074" t="str">
        <f>"13210-1912"</f>
        <v>13210-1912</v>
      </c>
      <c r="AB4074" t="s">
        <v>118</v>
      </c>
      <c r="AC4074" t="s">
        <v>119</v>
      </c>
      <c r="AD4074" t="s">
        <v>113</v>
      </c>
      <c r="AE4074" t="s">
        <v>120</v>
      </c>
      <c r="AG4074" t="s">
        <v>121</v>
      </c>
    </row>
    <row r="4075" spans="1:33" x14ac:dyDescent="0.25">
      <c r="A4075" t="str">
        <f>"1982740833"</f>
        <v>1982740833</v>
      </c>
      <c r="B4075" t="str">
        <f>"03843794"</f>
        <v>03843794</v>
      </c>
      <c r="C4075" t="s">
        <v>21561</v>
      </c>
      <c r="D4075" t="s">
        <v>21562</v>
      </c>
      <c r="E4075" t="s">
        <v>21563</v>
      </c>
      <c r="G4075" t="s">
        <v>21564</v>
      </c>
      <c r="H4075" t="s">
        <v>4132</v>
      </c>
      <c r="J4075" t="s">
        <v>21565</v>
      </c>
      <c r="L4075" t="s">
        <v>112</v>
      </c>
      <c r="M4075" t="s">
        <v>113</v>
      </c>
      <c r="R4075" t="s">
        <v>21566</v>
      </c>
      <c r="W4075" t="s">
        <v>21563</v>
      </c>
      <c r="X4075" t="s">
        <v>216</v>
      </c>
      <c r="Y4075" t="s">
        <v>116</v>
      </c>
      <c r="Z4075" t="s">
        <v>117</v>
      </c>
      <c r="AA4075" t="str">
        <f>"14222-2006"</f>
        <v>14222-2006</v>
      </c>
      <c r="AB4075" t="s">
        <v>118</v>
      </c>
      <c r="AC4075" t="s">
        <v>119</v>
      </c>
      <c r="AD4075" t="s">
        <v>113</v>
      </c>
      <c r="AE4075" t="s">
        <v>120</v>
      </c>
      <c r="AG4075" t="s">
        <v>121</v>
      </c>
    </row>
    <row r="4076" spans="1:33" x14ac:dyDescent="0.25">
      <c r="A4076" t="str">
        <f>"1982744504"</f>
        <v>1982744504</v>
      </c>
      <c r="B4076" t="str">
        <f>"02664579"</f>
        <v>02664579</v>
      </c>
      <c r="C4076" t="s">
        <v>3861</v>
      </c>
      <c r="D4076" t="s">
        <v>21567</v>
      </c>
      <c r="E4076" t="s">
        <v>21568</v>
      </c>
      <c r="G4076" t="s">
        <v>21569</v>
      </c>
      <c r="H4076" t="s">
        <v>21570</v>
      </c>
      <c r="J4076" t="s">
        <v>21571</v>
      </c>
      <c r="L4076" t="s">
        <v>112</v>
      </c>
      <c r="M4076" t="s">
        <v>113</v>
      </c>
      <c r="R4076" t="s">
        <v>3866</v>
      </c>
      <c r="W4076" t="s">
        <v>21568</v>
      </c>
      <c r="X4076" t="s">
        <v>1304</v>
      </c>
      <c r="Y4076" t="s">
        <v>116</v>
      </c>
      <c r="Z4076" t="s">
        <v>117</v>
      </c>
      <c r="AA4076" t="str">
        <f>"14220-2039"</f>
        <v>14220-2039</v>
      </c>
      <c r="AB4076" t="s">
        <v>118</v>
      </c>
      <c r="AC4076" t="s">
        <v>119</v>
      </c>
      <c r="AD4076" t="s">
        <v>113</v>
      </c>
      <c r="AE4076" t="s">
        <v>120</v>
      </c>
      <c r="AG4076" t="s">
        <v>121</v>
      </c>
    </row>
    <row r="4077" spans="1:33" x14ac:dyDescent="0.25">
      <c r="A4077" t="str">
        <f>"1023363702"</f>
        <v>1023363702</v>
      </c>
      <c r="B4077" t="str">
        <f>"03503546"</f>
        <v>03503546</v>
      </c>
      <c r="C4077" t="s">
        <v>21572</v>
      </c>
      <c r="D4077" t="s">
        <v>21573</v>
      </c>
      <c r="E4077" t="s">
        <v>21574</v>
      </c>
      <c r="G4077" t="s">
        <v>3077</v>
      </c>
      <c r="H4077" t="s">
        <v>21575</v>
      </c>
      <c r="J4077" t="s">
        <v>3079</v>
      </c>
      <c r="L4077" t="s">
        <v>112</v>
      </c>
      <c r="M4077" t="s">
        <v>113</v>
      </c>
      <c r="R4077" t="s">
        <v>21574</v>
      </c>
      <c r="W4077" t="s">
        <v>21574</v>
      </c>
      <c r="X4077" t="s">
        <v>3081</v>
      </c>
      <c r="Y4077" t="s">
        <v>986</v>
      </c>
      <c r="Z4077" t="s">
        <v>117</v>
      </c>
      <c r="AA4077" t="str">
        <f>"14701-2828"</f>
        <v>14701-2828</v>
      </c>
      <c r="AB4077" t="s">
        <v>223</v>
      </c>
      <c r="AC4077" t="s">
        <v>119</v>
      </c>
      <c r="AD4077" t="s">
        <v>113</v>
      </c>
      <c r="AE4077" t="s">
        <v>120</v>
      </c>
      <c r="AG4077" t="s">
        <v>121</v>
      </c>
    </row>
    <row r="4078" spans="1:33" x14ac:dyDescent="0.25">
      <c r="C4078" t="s">
        <v>21576</v>
      </c>
      <c r="G4078" t="s">
        <v>3077</v>
      </c>
      <c r="H4078" t="s">
        <v>21577</v>
      </c>
      <c r="J4078" t="s">
        <v>3079</v>
      </c>
      <c r="K4078" t="s">
        <v>303</v>
      </c>
      <c r="L4078" t="s">
        <v>3095</v>
      </c>
      <c r="M4078" t="s">
        <v>113</v>
      </c>
      <c r="N4078" t="s">
        <v>5750</v>
      </c>
      <c r="O4078" t="s">
        <v>5751</v>
      </c>
      <c r="P4078" t="s">
        <v>117</v>
      </c>
      <c r="Q4078" t="str">
        <f>"14756"</f>
        <v>14756</v>
      </c>
      <c r="AC4078" t="s">
        <v>119</v>
      </c>
      <c r="AD4078" t="s">
        <v>113</v>
      </c>
      <c r="AE4078" t="s">
        <v>3098</v>
      </c>
      <c r="AG4078" t="s">
        <v>121</v>
      </c>
    </row>
    <row r="4079" spans="1:33" x14ac:dyDescent="0.25">
      <c r="A4079" t="str">
        <f>"1215926191"</f>
        <v>1215926191</v>
      </c>
      <c r="B4079" t="str">
        <f>"00590634"</f>
        <v>00590634</v>
      </c>
      <c r="C4079" t="s">
        <v>21578</v>
      </c>
      <c r="D4079" t="s">
        <v>21579</v>
      </c>
      <c r="E4079" t="s">
        <v>21580</v>
      </c>
      <c r="G4079" t="s">
        <v>3077</v>
      </c>
      <c r="H4079" t="s">
        <v>21581</v>
      </c>
      <c r="J4079" t="s">
        <v>3079</v>
      </c>
      <c r="L4079" t="s">
        <v>112</v>
      </c>
      <c r="M4079" t="s">
        <v>113</v>
      </c>
      <c r="R4079" t="s">
        <v>21582</v>
      </c>
      <c r="W4079" t="s">
        <v>21580</v>
      </c>
      <c r="X4079" t="s">
        <v>21583</v>
      </c>
      <c r="Y4079" t="s">
        <v>541</v>
      </c>
      <c r="Z4079" t="s">
        <v>117</v>
      </c>
      <c r="AA4079" t="str">
        <f>"14048-2136"</f>
        <v>14048-2136</v>
      </c>
      <c r="AB4079" t="s">
        <v>634</v>
      </c>
      <c r="AC4079" t="s">
        <v>119</v>
      </c>
      <c r="AD4079" t="s">
        <v>113</v>
      </c>
      <c r="AE4079" t="s">
        <v>120</v>
      </c>
      <c r="AG4079" t="s">
        <v>121</v>
      </c>
    </row>
    <row r="4080" spans="1:33" x14ac:dyDescent="0.25">
      <c r="A4080" t="str">
        <f>"1770758831"</f>
        <v>1770758831</v>
      </c>
      <c r="B4080" t="str">
        <f>"03742436"</f>
        <v>03742436</v>
      </c>
      <c r="C4080" t="s">
        <v>21584</v>
      </c>
      <c r="D4080" t="s">
        <v>21585</v>
      </c>
      <c r="E4080" t="s">
        <v>21586</v>
      </c>
      <c r="G4080" t="s">
        <v>3077</v>
      </c>
      <c r="H4080" t="s">
        <v>11652</v>
      </c>
      <c r="J4080" t="s">
        <v>3079</v>
      </c>
      <c r="L4080" t="s">
        <v>112</v>
      </c>
      <c r="M4080" t="s">
        <v>113</v>
      </c>
      <c r="R4080" t="s">
        <v>21587</v>
      </c>
      <c r="W4080" t="s">
        <v>21586</v>
      </c>
      <c r="X4080" t="s">
        <v>5799</v>
      </c>
      <c r="Y4080" t="s">
        <v>541</v>
      </c>
      <c r="Z4080" t="s">
        <v>117</v>
      </c>
      <c r="AA4080" t="str">
        <f>"14048-2201"</f>
        <v>14048-2201</v>
      </c>
      <c r="AB4080" t="s">
        <v>621</v>
      </c>
      <c r="AC4080" t="s">
        <v>119</v>
      </c>
      <c r="AD4080" t="s">
        <v>113</v>
      </c>
      <c r="AE4080" t="s">
        <v>120</v>
      </c>
      <c r="AG4080" t="s">
        <v>121</v>
      </c>
    </row>
    <row r="4081" spans="1:33" x14ac:dyDescent="0.25">
      <c r="C4081" t="s">
        <v>21588</v>
      </c>
      <c r="G4081" t="s">
        <v>3077</v>
      </c>
      <c r="H4081" t="s">
        <v>21589</v>
      </c>
      <c r="J4081" t="s">
        <v>3079</v>
      </c>
      <c r="K4081" t="s">
        <v>303</v>
      </c>
      <c r="L4081" t="s">
        <v>3095</v>
      </c>
      <c r="M4081" t="s">
        <v>113</v>
      </c>
      <c r="N4081" t="s">
        <v>5750</v>
      </c>
      <c r="O4081" t="s">
        <v>5751</v>
      </c>
      <c r="P4081" t="s">
        <v>117</v>
      </c>
      <c r="Q4081" t="str">
        <f>"14759"</f>
        <v>14759</v>
      </c>
      <c r="AC4081" t="s">
        <v>119</v>
      </c>
      <c r="AD4081" t="s">
        <v>113</v>
      </c>
      <c r="AE4081" t="s">
        <v>3098</v>
      </c>
      <c r="AG4081" t="s">
        <v>121</v>
      </c>
    </row>
    <row r="4082" spans="1:33" x14ac:dyDescent="0.25">
      <c r="A4082" t="str">
        <f>"1326382631"</f>
        <v>1326382631</v>
      </c>
      <c r="C4082" t="s">
        <v>21590</v>
      </c>
      <c r="G4082" t="s">
        <v>21591</v>
      </c>
      <c r="H4082" t="s">
        <v>6328</v>
      </c>
      <c r="J4082" t="s">
        <v>21592</v>
      </c>
      <c r="K4082" t="s">
        <v>303</v>
      </c>
      <c r="L4082" t="s">
        <v>112</v>
      </c>
      <c r="M4082" t="s">
        <v>113</v>
      </c>
      <c r="R4082" t="s">
        <v>21593</v>
      </c>
      <c r="S4082" t="s">
        <v>3843</v>
      </c>
      <c r="T4082" t="s">
        <v>116</v>
      </c>
      <c r="U4082" t="s">
        <v>117</v>
      </c>
      <c r="V4082" t="str">
        <f>"142131207"</f>
        <v>142131207</v>
      </c>
      <c r="AC4082" t="s">
        <v>119</v>
      </c>
      <c r="AD4082" t="s">
        <v>113</v>
      </c>
      <c r="AE4082" t="s">
        <v>306</v>
      </c>
      <c r="AG4082" t="s">
        <v>121</v>
      </c>
    </row>
    <row r="4083" spans="1:33" x14ac:dyDescent="0.25">
      <c r="A4083" t="str">
        <f>"1972849651"</f>
        <v>1972849651</v>
      </c>
      <c r="C4083" t="s">
        <v>21594</v>
      </c>
      <c r="G4083" t="s">
        <v>21591</v>
      </c>
      <c r="H4083" t="s">
        <v>21595</v>
      </c>
      <c r="J4083" t="s">
        <v>21592</v>
      </c>
      <c r="K4083" t="s">
        <v>303</v>
      </c>
      <c r="L4083" t="s">
        <v>112</v>
      </c>
      <c r="M4083" t="s">
        <v>113</v>
      </c>
      <c r="R4083" t="s">
        <v>21596</v>
      </c>
      <c r="S4083" t="s">
        <v>21597</v>
      </c>
      <c r="T4083" t="s">
        <v>541</v>
      </c>
      <c r="U4083" t="s">
        <v>117</v>
      </c>
      <c r="V4083" t="str">
        <f>"140482137"</f>
        <v>140482137</v>
      </c>
      <c r="AC4083" t="s">
        <v>119</v>
      </c>
      <c r="AD4083" t="s">
        <v>113</v>
      </c>
      <c r="AE4083" t="s">
        <v>306</v>
      </c>
      <c r="AG4083" t="s">
        <v>121</v>
      </c>
    </row>
    <row r="4084" spans="1:33" x14ac:dyDescent="0.25">
      <c r="A4084" t="str">
        <f>"1689712903"</f>
        <v>1689712903</v>
      </c>
      <c r="C4084" t="s">
        <v>21598</v>
      </c>
      <c r="G4084" t="s">
        <v>21591</v>
      </c>
      <c r="H4084" t="s">
        <v>21599</v>
      </c>
      <c r="J4084" t="s">
        <v>21592</v>
      </c>
      <c r="K4084" t="s">
        <v>303</v>
      </c>
      <c r="L4084" t="s">
        <v>229</v>
      </c>
      <c r="M4084" t="s">
        <v>113</v>
      </c>
      <c r="R4084" t="s">
        <v>21600</v>
      </c>
      <c r="S4084" t="s">
        <v>21601</v>
      </c>
      <c r="T4084" t="s">
        <v>986</v>
      </c>
      <c r="U4084" t="s">
        <v>117</v>
      </c>
      <c r="V4084" t="str">
        <f>"147015433"</f>
        <v>147015433</v>
      </c>
      <c r="AC4084" t="s">
        <v>119</v>
      </c>
      <c r="AD4084" t="s">
        <v>113</v>
      </c>
      <c r="AE4084" t="s">
        <v>306</v>
      </c>
      <c r="AG4084" t="s">
        <v>121</v>
      </c>
    </row>
    <row r="4085" spans="1:33" x14ac:dyDescent="0.25">
      <c r="A4085" t="str">
        <f>"1942621057"</f>
        <v>1942621057</v>
      </c>
      <c r="C4085" t="s">
        <v>21602</v>
      </c>
      <c r="G4085" t="s">
        <v>21591</v>
      </c>
      <c r="H4085" t="s">
        <v>21603</v>
      </c>
      <c r="J4085" t="s">
        <v>21592</v>
      </c>
      <c r="K4085" t="s">
        <v>303</v>
      </c>
      <c r="L4085" t="s">
        <v>229</v>
      </c>
      <c r="M4085" t="s">
        <v>113</v>
      </c>
      <c r="S4085" t="s">
        <v>21604</v>
      </c>
      <c r="T4085" t="s">
        <v>986</v>
      </c>
      <c r="U4085" t="s">
        <v>117</v>
      </c>
      <c r="V4085" t="str">
        <f>"147015433"</f>
        <v>147015433</v>
      </c>
      <c r="AC4085" t="s">
        <v>119</v>
      </c>
      <c r="AD4085" t="s">
        <v>113</v>
      </c>
      <c r="AE4085" t="s">
        <v>306</v>
      </c>
      <c r="AG4085" t="s">
        <v>121</v>
      </c>
    </row>
    <row r="4086" spans="1:33" x14ac:dyDescent="0.25">
      <c r="A4086" t="str">
        <f>"1124165865"</f>
        <v>1124165865</v>
      </c>
      <c r="C4086" t="s">
        <v>21605</v>
      </c>
      <c r="G4086" t="s">
        <v>21591</v>
      </c>
      <c r="H4086" t="s">
        <v>21606</v>
      </c>
      <c r="J4086" t="s">
        <v>21592</v>
      </c>
      <c r="K4086" t="s">
        <v>303</v>
      </c>
      <c r="L4086" t="s">
        <v>229</v>
      </c>
      <c r="M4086" t="s">
        <v>113</v>
      </c>
      <c r="R4086" t="s">
        <v>21607</v>
      </c>
      <c r="S4086" t="s">
        <v>21597</v>
      </c>
      <c r="T4086" t="s">
        <v>541</v>
      </c>
      <c r="U4086" t="s">
        <v>117</v>
      </c>
      <c r="V4086" t="str">
        <f>"140482137"</f>
        <v>140482137</v>
      </c>
      <c r="AC4086" t="s">
        <v>119</v>
      </c>
      <c r="AD4086" t="s">
        <v>113</v>
      </c>
      <c r="AE4086" t="s">
        <v>306</v>
      </c>
      <c r="AG4086" t="s">
        <v>121</v>
      </c>
    </row>
    <row r="4087" spans="1:33" x14ac:dyDescent="0.25">
      <c r="A4087" t="str">
        <f>"1952657215"</f>
        <v>1952657215</v>
      </c>
      <c r="C4087" t="s">
        <v>21608</v>
      </c>
      <c r="G4087" t="s">
        <v>21591</v>
      </c>
      <c r="H4087" t="s">
        <v>21609</v>
      </c>
      <c r="J4087" t="s">
        <v>21592</v>
      </c>
      <c r="K4087" t="s">
        <v>303</v>
      </c>
      <c r="L4087" t="s">
        <v>112</v>
      </c>
      <c r="M4087" t="s">
        <v>113</v>
      </c>
      <c r="R4087" t="s">
        <v>21610</v>
      </c>
      <c r="S4087" t="s">
        <v>21597</v>
      </c>
      <c r="T4087" t="s">
        <v>541</v>
      </c>
      <c r="U4087" t="s">
        <v>117</v>
      </c>
      <c r="V4087" t="str">
        <f>"140482137"</f>
        <v>140482137</v>
      </c>
      <c r="AC4087" t="s">
        <v>119</v>
      </c>
      <c r="AD4087" t="s">
        <v>113</v>
      </c>
      <c r="AE4087" t="s">
        <v>306</v>
      </c>
      <c r="AG4087" t="s">
        <v>121</v>
      </c>
    </row>
    <row r="4088" spans="1:33" x14ac:dyDescent="0.25">
      <c r="A4088" t="str">
        <f>"1932497666"</f>
        <v>1932497666</v>
      </c>
      <c r="C4088" t="s">
        <v>21611</v>
      </c>
      <c r="G4088" t="s">
        <v>21591</v>
      </c>
      <c r="H4088" t="s">
        <v>21612</v>
      </c>
      <c r="J4088" t="s">
        <v>21592</v>
      </c>
      <c r="K4088" t="s">
        <v>303</v>
      </c>
      <c r="L4088" t="s">
        <v>112</v>
      </c>
      <c r="M4088" t="s">
        <v>113</v>
      </c>
      <c r="R4088" t="s">
        <v>21613</v>
      </c>
      <c r="S4088" t="s">
        <v>21614</v>
      </c>
      <c r="T4088" t="s">
        <v>986</v>
      </c>
      <c r="U4088" t="s">
        <v>117</v>
      </c>
      <c r="V4088" t="str">
        <f>"14701"</f>
        <v>14701</v>
      </c>
      <c r="AC4088" t="s">
        <v>119</v>
      </c>
      <c r="AD4088" t="s">
        <v>113</v>
      </c>
      <c r="AE4088" t="s">
        <v>306</v>
      </c>
      <c r="AG4088" t="s">
        <v>121</v>
      </c>
    </row>
    <row r="4089" spans="1:33" x14ac:dyDescent="0.25">
      <c r="A4089" t="str">
        <f>"1043351935"</f>
        <v>1043351935</v>
      </c>
      <c r="C4089" t="s">
        <v>21615</v>
      </c>
      <c r="G4089" t="s">
        <v>21591</v>
      </c>
      <c r="H4089" t="s">
        <v>21616</v>
      </c>
      <c r="J4089" t="s">
        <v>21592</v>
      </c>
      <c r="K4089" t="s">
        <v>303</v>
      </c>
      <c r="L4089" t="s">
        <v>112</v>
      </c>
      <c r="M4089" t="s">
        <v>113</v>
      </c>
      <c r="R4089" t="s">
        <v>21617</v>
      </c>
      <c r="S4089" t="s">
        <v>21618</v>
      </c>
      <c r="T4089" t="s">
        <v>1557</v>
      </c>
      <c r="U4089" t="s">
        <v>117</v>
      </c>
      <c r="V4089" t="str">
        <f>"147571120"</f>
        <v>147571120</v>
      </c>
      <c r="AC4089" t="s">
        <v>119</v>
      </c>
      <c r="AD4089" t="s">
        <v>113</v>
      </c>
      <c r="AE4089" t="s">
        <v>306</v>
      </c>
      <c r="AG4089" t="s">
        <v>121</v>
      </c>
    </row>
    <row r="4090" spans="1:33" x14ac:dyDescent="0.25">
      <c r="A4090" t="str">
        <f>"1366538829"</f>
        <v>1366538829</v>
      </c>
      <c r="B4090" t="str">
        <f>"02357519"</f>
        <v>02357519</v>
      </c>
      <c r="C4090" t="s">
        <v>21619</v>
      </c>
      <c r="D4090" t="s">
        <v>21620</v>
      </c>
      <c r="E4090" t="s">
        <v>21621</v>
      </c>
      <c r="G4090" t="s">
        <v>21591</v>
      </c>
      <c r="H4090" t="s">
        <v>21622</v>
      </c>
      <c r="J4090" t="s">
        <v>21592</v>
      </c>
      <c r="L4090" t="s">
        <v>1033</v>
      </c>
      <c r="M4090" t="s">
        <v>113</v>
      </c>
      <c r="R4090" t="s">
        <v>21623</v>
      </c>
      <c r="W4090" t="s">
        <v>21624</v>
      </c>
      <c r="X4090" t="s">
        <v>21625</v>
      </c>
      <c r="Y4090" t="s">
        <v>21626</v>
      </c>
      <c r="Z4090" t="s">
        <v>117</v>
      </c>
      <c r="AA4090" t="str">
        <f>"14891-1615"</f>
        <v>14891-1615</v>
      </c>
      <c r="AB4090" t="s">
        <v>118</v>
      </c>
      <c r="AC4090" t="s">
        <v>119</v>
      </c>
      <c r="AD4090" t="s">
        <v>113</v>
      </c>
      <c r="AE4090" t="s">
        <v>120</v>
      </c>
      <c r="AG4090" t="s">
        <v>121</v>
      </c>
    </row>
    <row r="4091" spans="1:33" x14ac:dyDescent="0.25">
      <c r="A4091" t="str">
        <f>"1649319070"</f>
        <v>1649319070</v>
      </c>
      <c r="C4091" t="s">
        <v>21627</v>
      </c>
      <c r="G4091" t="s">
        <v>21591</v>
      </c>
      <c r="H4091" t="s">
        <v>21628</v>
      </c>
      <c r="J4091" t="s">
        <v>21592</v>
      </c>
      <c r="K4091" t="s">
        <v>303</v>
      </c>
      <c r="L4091" t="s">
        <v>112</v>
      </c>
      <c r="M4091" t="s">
        <v>113</v>
      </c>
      <c r="R4091" t="s">
        <v>21629</v>
      </c>
      <c r="S4091" t="s">
        <v>21601</v>
      </c>
      <c r="T4091" t="s">
        <v>986</v>
      </c>
      <c r="U4091" t="s">
        <v>117</v>
      </c>
      <c r="V4091" t="str">
        <f>"147015433"</f>
        <v>147015433</v>
      </c>
      <c r="AC4091" t="s">
        <v>119</v>
      </c>
      <c r="AD4091" t="s">
        <v>113</v>
      </c>
      <c r="AE4091" t="s">
        <v>306</v>
      </c>
      <c r="AG4091" t="s">
        <v>121</v>
      </c>
    </row>
    <row r="4092" spans="1:33" x14ac:dyDescent="0.25">
      <c r="A4092" t="str">
        <f>"1588863971"</f>
        <v>1588863971</v>
      </c>
      <c r="B4092" t="str">
        <f>"03743620"</f>
        <v>03743620</v>
      </c>
      <c r="C4092" t="s">
        <v>21630</v>
      </c>
      <c r="D4092" t="s">
        <v>21631</v>
      </c>
      <c r="E4092" t="s">
        <v>21632</v>
      </c>
      <c r="G4092" t="s">
        <v>21591</v>
      </c>
      <c r="H4092" t="s">
        <v>21633</v>
      </c>
      <c r="J4092" t="s">
        <v>21592</v>
      </c>
      <c r="L4092" t="s">
        <v>1033</v>
      </c>
      <c r="M4092" t="s">
        <v>113</v>
      </c>
      <c r="R4092" t="s">
        <v>21634</v>
      </c>
      <c r="W4092" t="s">
        <v>21632</v>
      </c>
      <c r="X4092" t="s">
        <v>21601</v>
      </c>
      <c r="Y4092" t="s">
        <v>986</v>
      </c>
      <c r="Z4092" t="s">
        <v>117</v>
      </c>
      <c r="AA4092" t="str">
        <f>"14701-5433"</f>
        <v>14701-5433</v>
      </c>
      <c r="AB4092" t="s">
        <v>621</v>
      </c>
      <c r="AC4092" t="s">
        <v>119</v>
      </c>
      <c r="AD4092" t="s">
        <v>113</v>
      </c>
      <c r="AE4092" t="s">
        <v>120</v>
      </c>
      <c r="AG4092" t="s">
        <v>121</v>
      </c>
    </row>
    <row r="4093" spans="1:33" x14ac:dyDescent="0.25">
      <c r="A4093" t="str">
        <f>"1487791851"</f>
        <v>1487791851</v>
      </c>
      <c r="B4093" t="str">
        <f>"01942438"</f>
        <v>01942438</v>
      </c>
      <c r="C4093" t="s">
        <v>21635</v>
      </c>
      <c r="D4093" t="s">
        <v>21636</v>
      </c>
      <c r="E4093" t="s">
        <v>21637</v>
      </c>
      <c r="G4093" t="s">
        <v>21591</v>
      </c>
      <c r="H4093" t="s">
        <v>21638</v>
      </c>
      <c r="J4093" t="s">
        <v>21592</v>
      </c>
      <c r="L4093" t="s">
        <v>112</v>
      </c>
      <c r="M4093" t="s">
        <v>113</v>
      </c>
      <c r="R4093" t="s">
        <v>21637</v>
      </c>
      <c r="W4093" t="s">
        <v>21639</v>
      </c>
      <c r="X4093" t="s">
        <v>21597</v>
      </c>
      <c r="Y4093" t="s">
        <v>541</v>
      </c>
      <c r="Z4093" t="s">
        <v>117</v>
      </c>
      <c r="AA4093" t="str">
        <f>"14048-2137"</f>
        <v>14048-2137</v>
      </c>
      <c r="AB4093" t="s">
        <v>621</v>
      </c>
      <c r="AC4093" t="s">
        <v>119</v>
      </c>
      <c r="AD4093" t="s">
        <v>113</v>
      </c>
      <c r="AE4093" t="s">
        <v>120</v>
      </c>
      <c r="AG4093" t="s">
        <v>121</v>
      </c>
    </row>
    <row r="4094" spans="1:33" x14ac:dyDescent="0.25">
      <c r="A4094" t="str">
        <f>"1689982316"</f>
        <v>1689982316</v>
      </c>
      <c r="C4094" t="s">
        <v>21640</v>
      </c>
      <c r="G4094" t="s">
        <v>21591</v>
      </c>
      <c r="H4094" t="s">
        <v>21641</v>
      </c>
      <c r="J4094" t="s">
        <v>21592</v>
      </c>
      <c r="K4094" t="s">
        <v>303</v>
      </c>
      <c r="L4094" t="s">
        <v>112</v>
      </c>
      <c r="M4094" t="s">
        <v>113</v>
      </c>
      <c r="R4094" t="s">
        <v>21642</v>
      </c>
      <c r="S4094" t="s">
        <v>21601</v>
      </c>
      <c r="T4094" t="s">
        <v>986</v>
      </c>
      <c r="U4094" t="s">
        <v>117</v>
      </c>
      <c r="V4094" t="str">
        <f>"147015433"</f>
        <v>147015433</v>
      </c>
      <c r="AC4094" t="s">
        <v>119</v>
      </c>
      <c r="AD4094" t="s">
        <v>113</v>
      </c>
      <c r="AE4094" t="s">
        <v>306</v>
      </c>
      <c r="AG4094" t="s">
        <v>121</v>
      </c>
    </row>
    <row r="4095" spans="1:33" x14ac:dyDescent="0.25">
      <c r="A4095" t="str">
        <f>"1497951776"</f>
        <v>1497951776</v>
      </c>
      <c r="C4095" t="s">
        <v>21643</v>
      </c>
      <c r="G4095" t="s">
        <v>21591</v>
      </c>
      <c r="H4095" t="s">
        <v>21644</v>
      </c>
      <c r="J4095" t="s">
        <v>21592</v>
      </c>
      <c r="K4095" t="s">
        <v>303</v>
      </c>
      <c r="L4095" t="s">
        <v>112</v>
      </c>
      <c r="M4095" t="s">
        <v>113</v>
      </c>
      <c r="R4095" t="s">
        <v>21645</v>
      </c>
      <c r="S4095" t="s">
        <v>21601</v>
      </c>
      <c r="T4095" t="s">
        <v>986</v>
      </c>
      <c r="U4095" t="s">
        <v>117</v>
      </c>
      <c r="V4095" t="str">
        <f>"147015433"</f>
        <v>147015433</v>
      </c>
      <c r="AC4095" t="s">
        <v>119</v>
      </c>
      <c r="AD4095" t="s">
        <v>113</v>
      </c>
      <c r="AE4095" t="s">
        <v>306</v>
      </c>
      <c r="AG4095" t="s">
        <v>121</v>
      </c>
    </row>
    <row r="4096" spans="1:33" x14ac:dyDescent="0.25">
      <c r="A4096" t="str">
        <f>"1699966671"</f>
        <v>1699966671</v>
      </c>
      <c r="C4096" t="s">
        <v>21646</v>
      </c>
      <c r="G4096" t="s">
        <v>21591</v>
      </c>
      <c r="H4096" t="s">
        <v>21647</v>
      </c>
      <c r="J4096" t="s">
        <v>21592</v>
      </c>
      <c r="K4096" t="s">
        <v>303</v>
      </c>
      <c r="L4096" t="s">
        <v>112</v>
      </c>
      <c r="M4096" t="s">
        <v>113</v>
      </c>
      <c r="R4096" t="s">
        <v>21648</v>
      </c>
      <c r="S4096" t="s">
        <v>21597</v>
      </c>
      <c r="T4096" t="s">
        <v>541</v>
      </c>
      <c r="U4096" t="s">
        <v>117</v>
      </c>
      <c r="V4096" t="str">
        <f>"140482137"</f>
        <v>140482137</v>
      </c>
      <c r="AC4096" t="s">
        <v>119</v>
      </c>
      <c r="AD4096" t="s">
        <v>113</v>
      </c>
      <c r="AE4096" t="s">
        <v>306</v>
      </c>
      <c r="AG4096" t="s">
        <v>121</v>
      </c>
    </row>
    <row r="4097" spans="1:33" x14ac:dyDescent="0.25">
      <c r="A4097" t="str">
        <f>"1023156544"</f>
        <v>1023156544</v>
      </c>
      <c r="B4097" t="str">
        <f>"02725964"</f>
        <v>02725964</v>
      </c>
      <c r="C4097" t="s">
        <v>21649</v>
      </c>
      <c r="D4097" t="s">
        <v>21650</v>
      </c>
      <c r="E4097" t="s">
        <v>21651</v>
      </c>
      <c r="G4097" t="s">
        <v>21591</v>
      </c>
      <c r="H4097" t="s">
        <v>21652</v>
      </c>
      <c r="J4097" t="s">
        <v>21592</v>
      </c>
      <c r="L4097" t="s">
        <v>112</v>
      </c>
      <c r="M4097" t="s">
        <v>113</v>
      </c>
      <c r="R4097" t="s">
        <v>21653</v>
      </c>
      <c r="W4097" t="s">
        <v>21651</v>
      </c>
      <c r="X4097" t="s">
        <v>21597</v>
      </c>
      <c r="Y4097" t="s">
        <v>541</v>
      </c>
      <c r="Z4097" t="s">
        <v>117</v>
      </c>
      <c r="AA4097" t="str">
        <f>"14048-2137"</f>
        <v>14048-2137</v>
      </c>
      <c r="AB4097" t="s">
        <v>118</v>
      </c>
      <c r="AC4097" t="s">
        <v>119</v>
      </c>
      <c r="AD4097" t="s">
        <v>113</v>
      </c>
      <c r="AE4097" t="s">
        <v>120</v>
      </c>
      <c r="AG4097" t="s">
        <v>121</v>
      </c>
    </row>
    <row r="4098" spans="1:33" x14ac:dyDescent="0.25">
      <c r="C4098" t="s">
        <v>21654</v>
      </c>
      <c r="G4098" t="s">
        <v>21591</v>
      </c>
      <c r="H4098" t="s">
        <v>21655</v>
      </c>
      <c r="J4098" t="s">
        <v>21592</v>
      </c>
      <c r="K4098" t="s">
        <v>303</v>
      </c>
      <c r="L4098" t="s">
        <v>3095</v>
      </c>
      <c r="M4098" t="s">
        <v>113</v>
      </c>
      <c r="N4098" t="s">
        <v>21656</v>
      </c>
      <c r="O4098" t="s">
        <v>21657</v>
      </c>
      <c r="P4098" t="s">
        <v>117</v>
      </c>
      <c r="Q4098" t="str">
        <f>"14773"</f>
        <v>14773</v>
      </c>
      <c r="AC4098" t="s">
        <v>119</v>
      </c>
      <c r="AD4098" t="s">
        <v>113</v>
      </c>
      <c r="AE4098" t="s">
        <v>3098</v>
      </c>
      <c r="AG4098" t="s">
        <v>121</v>
      </c>
    </row>
    <row r="4099" spans="1:33" x14ac:dyDescent="0.25">
      <c r="A4099" t="str">
        <f>"1386794006"</f>
        <v>1386794006</v>
      </c>
      <c r="B4099" t="str">
        <f>"03425770"</f>
        <v>03425770</v>
      </c>
      <c r="C4099" t="s">
        <v>21658</v>
      </c>
      <c r="D4099" t="s">
        <v>21659</v>
      </c>
      <c r="E4099" t="s">
        <v>21660</v>
      </c>
      <c r="G4099" t="s">
        <v>21591</v>
      </c>
      <c r="H4099" t="s">
        <v>21661</v>
      </c>
      <c r="J4099" t="s">
        <v>21592</v>
      </c>
      <c r="L4099" t="s">
        <v>1033</v>
      </c>
      <c r="M4099" t="s">
        <v>113</v>
      </c>
      <c r="R4099" t="s">
        <v>21662</v>
      </c>
      <c r="W4099" t="s">
        <v>21660</v>
      </c>
      <c r="X4099" t="s">
        <v>17903</v>
      </c>
      <c r="Y4099" t="s">
        <v>153</v>
      </c>
      <c r="Z4099" t="s">
        <v>117</v>
      </c>
      <c r="AA4099" t="str">
        <f>"14301-1755"</f>
        <v>14301-1755</v>
      </c>
      <c r="AB4099" t="s">
        <v>118</v>
      </c>
      <c r="AC4099" t="s">
        <v>119</v>
      </c>
      <c r="AD4099" t="s">
        <v>113</v>
      </c>
      <c r="AE4099" t="s">
        <v>120</v>
      </c>
      <c r="AG4099" t="s">
        <v>121</v>
      </c>
    </row>
    <row r="4100" spans="1:33" x14ac:dyDescent="0.25">
      <c r="A4100" t="str">
        <f>"1992771190"</f>
        <v>1992771190</v>
      </c>
      <c r="B4100" t="str">
        <f>"01629221"</f>
        <v>01629221</v>
      </c>
      <c r="C4100" t="s">
        <v>21663</v>
      </c>
      <c r="D4100" t="s">
        <v>21664</v>
      </c>
      <c r="E4100" t="s">
        <v>21665</v>
      </c>
      <c r="G4100" t="s">
        <v>21591</v>
      </c>
      <c r="H4100" t="s">
        <v>21666</v>
      </c>
      <c r="J4100" t="s">
        <v>21592</v>
      </c>
      <c r="L4100" t="s">
        <v>112</v>
      </c>
      <c r="M4100" t="s">
        <v>113</v>
      </c>
      <c r="R4100" t="s">
        <v>21667</v>
      </c>
      <c r="W4100" t="s">
        <v>21665</v>
      </c>
      <c r="X4100" t="s">
        <v>21668</v>
      </c>
      <c r="Y4100" t="s">
        <v>986</v>
      </c>
      <c r="Z4100" t="s">
        <v>117</v>
      </c>
      <c r="AA4100" t="str">
        <f>"14701-5315"</f>
        <v>14701-5315</v>
      </c>
      <c r="AB4100" t="s">
        <v>118</v>
      </c>
      <c r="AC4100" t="s">
        <v>119</v>
      </c>
      <c r="AD4100" t="s">
        <v>113</v>
      </c>
      <c r="AE4100" t="s">
        <v>120</v>
      </c>
      <c r="AG4100" t="s">
        <v>121</v>
      </c>
    </row>
    <row r="4101" spans="1:33" x14ac:dyDescent="0.25">
      <c r="A4101" t="str">
        <f>"1306001235"</f>
        <v>1306001235</v>
      </c>
      <c r="C4101" t="s">
        <v>21669</v>
      </c>
      <c r="G4101" t="s">
        <v>21591</v>
      </c>
      <c r="H4101" t="s">
        <v>21670</v>
      </c>
      <c r="J4101" t="s">
        <v>21592</v>
      </c>
      <c r="K4101" t="s">
        <v>303</v>
      </c>
      <c r="L4101" t="s">
        <v>112</v>
      </c>
      <c r="M4101" t="s">
        <v>113</v>
      </c>
      <c r="R4101" t="s">
        <v>21671</v>
      </c>
      <c r="S4101" t="s">
        <v>21601</v>
      </c>
      <c r="T4101" t="s">
        <v>986</v>
      </c>
      <c r="U4101" t="s">
        <v>117</v>
      </c>
      <c r="V4101" t="str">
        <f>"147015433"</f>
        <v>147015433</v>
      </c>
      <c r="AC4101" t="s">
        <v>119</v>
      </c>
      <c r="AD4101" t="s">
        <v>113</v>
      </c>
      <c r="AE4101" t="s">
        <v>306</v>
      </c>
      <c r="AG4101" t="s">
        <v>121</v>
      </c>
    </row>
    <row r="4102" spans="1:33" x14ac:dyDescent="0.25">
      <c r="C4102" t="s">
        <v>21672</v>
      </c>
      <c r="G4102" t="s">
        <v>21591</v>
      </c>
      <c r="H4102" t="s">
        <v>21673</v>
      </c>
      <c r="J4102" t="s">
        <v>21592</v>
      </c>
      <c r="K4102" t="s">
        <v>303</v>
      </c>
      <c r="L4102" t="s">
        <v>3095</v>
      </c>
      <c r="M4102" t="s">
        <v>113</v>
      </c>
      <c r="N4102" t="s">
        <v>21656</v>
      </c>
      <c r="O4102" t="s">
        <v>21657</v>
      </c>
      <c r="P4102" t="s">
        <v>117</v>
      </c>
      <c r="Q4102" t="str">
        <f>"14777"</f>
        <v>14777</v>
      </c>
      <c r="AC4102" t="s">
        <v>119</v>
      </c>
      <c r="AD4102" t="s">
        <v>113</v>
      </c>
      <c r="AE4102" t="s">
        <v>3098</v>
      </c>
      <c r="AG4102" t="s">
        <v>121</v>
      </c>
    </row>
    <row r="4103" spans="1:33" x14ac:dyDescent="0.25">
      <c r="A4103" t="str">
        <f>"1225316227"</f>
        <v>1225316227</v>
      </c>
      <c r="C4103" t="s">
        <v>21674</v>
      </c>
      <c r="G4103" t="s">
        <v>21591</v>
      </c>
      <c r="H4103" t="s">
        <v>21675</v>
      </c>
      <c r="J4103" t="s">
        <v>21592</v>
      </c>
      <c r="K4103" t="s">
        <v>303</v>
      </c>
      <c r="L4103" t="s">
        <v>112</v>
      </c>
      <c r="M4103" t="s">
        <v>113</v>
      </c>
      <c r="R4103" t="s">
        <v>21676</v>
      </c>
      <c r="S4103" t="s">
        <v>21677</v>
      </c>
      <c r="T4103" t="s">
        <v>21678</v>
      </c>
      <c r="U4103" t="s">
        <v>21679</v>
      </c>
      <c r="V4103" t="str">
        <f>"469471526"</f>
        <v>469471526</v>
      </c>
      <c r="AC4103" t="s">
        <v>119</v>
      </c>
      <c r="AD4103" t="s">
        <v>113</v>
      </c>
      <c r="AE4103" t="s">
        <v>306</v>
      </c>
      <c r="AG4103" t="s">
        <v>121</v>
      </c>
    </row>
    <row r="4104" spans="1:33" x14ac:dyDescent="0.25">
      <c r="A4104" t="str">
        <f>"1679769277"</f>
        <v>1679769277</v>
      </c>
      <c r="C4104" t="s">
        <v>21680</v>
      </c>
      <c r="G4104" t="s">
        <v>21591</v>
      </c>
      <c r="H4104" t="s">
        <v>21681</v>
      </c>
      <c r="J4104" t="s">
        <v>21592</v>
      </c>
      <c r="K4104" t="s">
        <v>303</v>
      </c>
      <c r="L4104" t="s">
        <v>112</v>
      </c>
      <c r="M4104" t="s">
        <v>113</v>
      </c>
      <c r="R4104" t="s">
        <v>21682</v>
      </c>
      <c r="S4104" t="s">
        <v>21683</v>
      </c>
      <c r="T4104" t="s">
        <v>21684</v>
      </c>
      <c r="U4104" t="s">
        <v>21685</v>
      </c>
      <c r="V4104" t="str">
        <f>"841211720"</f>
        <v>841211720</v>
      </c>
      <c r="AC4104" t="s">
        <v>119</v>
      </c>
      <c r="AD4104" t="s">
        <v>113</v>
      </c>
      <c r="AE4104" t="s">
        <v>306</v>
      </c>
      <c r="AG4104" t="s">
        <v>121</v>
      </c>
    </row>
    <row r="4105" spans="1:33" x14ac:dyDescent="0.25">
      <c r="A4105" t="str">
        <f>"1578970562"</f>
        <v>1578970562</v>
      </c>
      <c r="C4105" t="s">
        <v>21686</v>
      </c>
      <c r="G4105" t="s">
        <v>21591</v>
      </c>
      <c r="H4105" t="s">
        <v>21687</v>
      </c>
      <c r="J4105" t="s">
        <v>21592</v>
      </c>
      <c r="K4105" t="s">
        <v>303</v>
      </c>
      <c r="L4105" t="s">
        <v>229</v>
      </c>
      <c r="M4105" t="s">
        <v>113</v>
      </c>
      <c r="R4105" t="s">
        <v>21688</v>
      </c>
      <c r="S4105" t="s">
        <v>21601</v>
      </c>
      <c r="T4105" t="s">
        <v>986</v>
      </c>
      <c r="U4105" t="s">
        <v>117</v>
      </c>
      <c r="V4105" t="str">
        <f>"147015433"</f>
        <v>147015433</v>
      </c>
      <c r="AC4105" t="s">
        <v>119</v>
      </c>
      <c r="AD4105" t="s">
        <v>113</v>
      </c>
      <c r="AE4105" t="s">
        <v>306</v>
      </c>
      <c r="AG4105" t="s">
        <v>121</v>
      </c>
    </row>
    <row r="4106" spans="1:33" x14ac:dyDescent="0.25">
      <c r="A4106" t="str">
        <f>"1629119516"</f>
        <v>1629119516</v>
      </c>
      <c r="C4106" t="s">
        <v>21689</v>
      </c>
      <c r="G4106" t="s">
        <v>21591</v>
      </c>
      <c r="H4106" t="s">
        <v>21690</v>
      </c>
      <c r="J4106" t="s">
        <v>21592</v>
      </c>
      <c r="K4106" t="s">
        <v>303</v>
      </c>
      <c r="L4106" t="s">
        <v>112</v>
      </c>
      <c r="M4106" t="s">
        <v>113</v>
      </c>
      <c r="R4106" t="s">
        <v>21691</v>
      </c>
      <c r="S4106" t="s">
        <v>6330</v>
      </c>
      <c r="T4106" t="s">
        <v>1557</v>
      </c>
      <c r="U4106" t="s">
        <v>117</v>
      </c>
      <c r="V4106" t="str">
        <f>"147571090"</f>
        <v>147571090</v>
      </c>
      <c r="AC4106" t="s">
        <v>119</v>
      </c>
      <c r="AD4106" t="s">
        <v>113</v>
      </c>
      <c r="AE4106" t="s">
        <v>306</v>
      </c>
      <c r="AG4106" t="s">
        <v>121</v>
      </c>
    </row>
    <row r="4107" spans="1:33" x14ac:dyDescent="0.25">
      <c r="A4107" t="str">
        <f>"1407038870"</f>
        <v>1407038870</v>
      </c>
      <c r="B4107" t="str">
        <f>"00942407"</f>
        <v>00942407</v>
      </c>
      <c r="C4107" t="s">
        <v>21692</v>
      </c>
      <c r="D4107" t="s">
        <v>21693</v>
      </c>
      <c r="E4107" t="s">
        <v>21694</v>
      </c>
      <c r="F4107">
        <v>160975538</v>
      </c>
      <c r="G4107" t="s">
        <v>20082</v>
      </c>
      <c r="H4107" t="s">
        <v>1600</v>
      </c>
      <c r="J4107" t="s">
        <v>20083</v>
      </c>
      <c r="L4107" t="s">
        <v>69</v>
      </c>
      <c r="M4107" t="s">
        <v>199</v>
      </c>
      <c r="R4107" t="s">
        <v>1578</v>
      </c>
      <c r="W4107" t="s">
        <v>21694</v>
      </c>
      <c r="X4107" t="s">
        <v>21695</v>
      </c>
      <c r="Y4107" t="s">
        <v>3649</v>
      </c>
      <c r="Z4107" t="s">
        <v>117</v>
      </c>
      <c r="AA4107" t="str">
        <f>"14072-1331"</f>
        <v>14072-1331</v>
      </c>
      <c r="AB4107" t="s">
        <v>282</v>
      </c>
      <c r="AC4107" t="s">
        <v>119</v>
      </c>
      <c r="AD4107" t="s">
        <v>113</v>
      </c>
      <c r="AE4107" t="s">
        <v>120</v>
      </c>
      <c r="AG4107" t="s">
        <v>121</v>
      </c>
    </row>
    <row r="4108" spans="1:33" x14ac:dyDescent="0.25">
      <c r="A4108" t="str">
        <f>"1093997454"</f>
        <v>1093997454</v>
      </c>
      <c r="B4108" t="str">
        <f>"00518974"</f>
        <v>00518974</v>
      </c>
      <c r="C4108" t="s">
        <v>21696</v>
      </c>
      <c r="D4108" t="s">
        <v>21697</v>
      </c>
      <c r="E4108" t="s">
        <v>21698</v>
      </c>
      <c r="F4108">
        <v>160975538</v>
      </c>
      <c r="G4108" t="s">
        <v>20082</v>
      </c>
      <c r="H4108" t="s">
        <v>1600</v>
      </c>
      <c r="J4108" t="s">
        <v>20083</v>
      </c>
      <c r="L4108" t="s">
        <v>69</v>
      </c>
      <c r="M4108" t="s">
        <v>199</v>
      </c>
      <c r="R4108" t="s">
        <v>1578</v>
      </c>
      <c r="W4108" t="s">
        <v>21698</v>
      </c>
      <c r="X4108" t="s">
        <v>21699</v>
      </c>
      <c r="Y4108" t="s">
        <v>240</v>
      </c>
      <c r="Z4108" t="s">
        <v>117</v>
      </c>
      <c r="AA4108" t="str">
        <f>"14221-6837"</f>
        <v>14221-6837</v>
      </c>
      <c r="AB4108" t="s">
        <v>282</v>
      </c>
      <c r="AC4108" t="s">
        <v>119</v>
      </c>
      <c r="AD4108" t="s">
        <v>113</v>
      </c>
      <c r="AE4108" t="s">
        <v>120</v>
      </c>
      <c r="AG4108" t="s">
        <v>121</v>
      </c>
    </row>
    <row r="4109" spans="1:33" x14ac:dyDescent="0.25">
      <c r="A4109" t="str">
        <f>"1518149988"</f>
        <v>1518149988</v>
      </c>
      <c r="B4109" t="str">
        <f>"00970163"</f>
        <v>00970163</v>
      </c>
      <c r="C4109" t="s">
        <v>21696</v>
      </c>
      <c r="D4109" t="s">
        <v>21700</v>
      </c>
      <c r="E4109" t="s">
        <v>21701</v>
      </c>
      <c r="F4109">
        <v>160975538</v>
      </c>
      <c r="G4109" t="s">
        <v>20082</v>
      </c>
      <c r="H4109" t="s">
        <v>1600</v>
      </c>
      <c r="J4109" t="s">
        <v>20083</v>
      </c>
      <c r="L4109" t="s">
        <v>69</v>
      </c>
      <c r="M4109" t="s">
        <v>199</v>
      </c>
      <c r="R4109" t="s">
        <v>1578</v>
      </c>
      <c r="W4109" t="s">
        <v>21701</v>
      </c>
      <c r="X4109" t="s">
        <v>21702</v>
      </c>
      <c r="Y4109" t="s">
        <v>21703</v>
      </c>
      <c r="Z4109" t="s">
        <v>117</v>
      </c>
      <c r="AA4109" t="str">
        <f>"14127-2019"</f>
        <v>14127-2019</v>
      </c>
      <c r="AB4109" t="s">
        <v>282</v>
      </c>
      <c r="AC4109" t="s">
        <v>119</v>
      </c>
      <c r="AD4109" t="s">
        <v>113</v>
      </c>
      <c r="AE4109" t="s">
        <v>120</v>
      </c>
      <c r="AG4109" t="s">
        <v>121</v>
      </c>
    </row>
    <row r="4110" spans="1:33" x14ac:dyDescent="0.25">
      <c r="C4110" t="s">
        <v>6391</v>
      </c>
      <c r="G4110" t="s">
        <v>6391</v>
      </c>
      <c r="J4110" t="s">
        <v>352</v>
      </c>
      <c r="K4110" t="s">
        <v>303</v>
      </c>
      <c r="L4110" t="s">
        <v>3095</v>
      </c>
      <c r="M4110" t="s">
        <v>113</v>
      </c>
      <c r="AC4110" t="s">
        <v>119</v>
      </c>
      <c r="AD4110" t="s">
        <v>113</v>
      </c>
      <c r="AE4110" t="s">
        <v>3098</v>
      </c>
      <c r="AG4110" t="s">
        <v>121</v>
      </c>
    </row>
    <row r="4111" spans="1:33" x14ac:dyDescent="0.25">
      <c r="C4111" t="s">
        <v>3707</v>
      </c>
      <c r="G4111" t="s">
        <v>3707</v>
      </c>
      <c r="J4111" t="s">
        <v>352</v>
      </c>
      <c r="K4111" t="s">
        <v>303</v>
      </c>
      <c r="L4111" t="s">
        <v>3095</v>
      </c>
      <c r="M4111" t="s">
        <v>113</v>
      </c>
      <c r="AC4111" t="s">
        <v>119</v>
      </c>
      <c r="AD4111" t="s">
        <v>113</v>
      </c>
      <c r="AE4111" t="s">
        <v>3098</v>
      </c>
      <c r="AG4111" t="s">
        <v>121</v>
      </c>
    </row>
    <row r="4112" spans="1:33" x14ac:dyDescent="0.25">
      <c r="C4112" t="s">
        <v>21704</v>
      </c>
      <c r="G4112" t="s">
        <v>21704</v>
      </c>
      <c r="J4112" t="s">
        <v>352</v>
      </c>
      <c r="K4112" t="s">
        <v>303</v>
      </c>
      <c r="L4112" t="s">
        <v>3095</v>
      </c>
      <c r="M4112" t="s">
        <v>113</v>
      </c>
      <c r="AC4112" t="s">
        <v>119</v>
      </c>
      <c r="AD4112" t="s">
        <v>113</v>
      </c>
      <c r="AE4112" t="s">
        <v>3098</v>
      </c>
      <c r="AG4112" t="s">
        <v>121</v>
      </c>
    </row>
    <row r="4113" spans="1:33" x14ac:dyDescent="0.25">
      <c r="A4113" t="str">
        <f>"1730232869"</f>
        <v>1730232869</v>
      </c>
      <c r="B4113" t="str">
        <f>"02393828"</f>
        <v>02393828</v>
      </c>
      <c r="C4113" t="s">
        <v>21705</v>
      </c>
      <c r="D4113" t="s">
        <v>21706</v>
      </c>
      <c r="E4113" t="s">
        <v>21707</v>
      </c>
      <c r="G4113" t="s">
        <v>20969</v>
      </c>
      <c r="H4113" t="s">
        <v>20970</v>
      </c>
      <c r="J4113" t="s">
        <v>20971</v>
      </c>
      <c r="L4113" t="s">
        <v>142</v>
      </c>
      <c r="M4113" t="s">
        <v>113</v>
      </c>
      <c r="R4113" t="s">
        <v>21707</v>
      </c>
      <c r="W4113" t="s">
        <v>21708</v>
      </c>
      <c r="X4113" t="s">
        <v>10711</v>
      </c>
      <c r="Y4113" t="s">
        <v>2762</v>
      </c>
      <c r="Z4113" t="s">
        <v>117</v>
      </c>
      <c r="AA4113" t="str">
        <f>"14605-2929"</f>
        <v>14605-2929</v>
      </c>
      <c r="AB4113" t="s">
        <v>118</v>
      </c>
      <c r="AC4113" t="s">
        <v>119</v>
      </c>
      <c r="AD4113" t="s">
        <v>113</v>
      </c>
      <c r="AE4113" t="s">
        <v>120</v>
      </c>
      <c r="AG4113" t="s">
        <v>121</v>
      </c>
    </row>
    <row r="4114" spans="1:33" x14ac:dyDescent="0.25">
      <c r="A4114" t="str">
        <f>"1689611048"</f>
        <v>1689611048</v>
      </c>
      <c r="B4114" t="str">
        <f>"03058211"</f>
        <v>03058211</v>
      </c>
      <c r="C4114" t="s">
        <v>21709</v>
      </c>
      <c r="D4114" t="s">
        <v>21710</v>
      </c>
      <c r="E4114" t="s">
        <v>21711</v>
      </c>
      <c r="G4114" t="s">
        <v>20969</v>
      </c>
      <c r="H4114" t="s">
        <v>20970</v>
      </c>
      <c r="J4114" t="s">
        <v>20971</v>
      </c>
      <c r="L4114" t="s">
        <v>150</v>
      </c>
      <c r="M4114" t="s">
        <v>199</v>
      </c>
      <c r="R4114" t="s">
        <v>21712</v>
      </c>
      <c r="W4114" t="s">
        <v>21711</v>
      </c>
      <c r="X4114" t="s">
        <v>21713</v>
      </c>
      <c r="Y4114" t="s">
        <v>2762</v>
      </c>
      <c r="Z4114" t="s">
        <v>117</v>
      </c>
      <c r="AA4114" t="str">
        <f>"14611-3634"</f>
        <v>14611-3634</v>
      </c>
      <c r="AB4114" t="s">
        <v>118</v>
      </c>
      <c r="AC4114" t="s">
        <v>119</v>
      </c>
      <c r="AD4114" t="s">
        <v>113</v>
      </c>
      <c r="AE4114" t="s">
        <v>120</v>
      </c>
      <c r="AG4114" t="s">
        <v>121</v>
      </c>
    </row>
    <row r="4115" spans="1:33" x14ac:dyDescent="0.25">
      <c r="A4115" t="str">
        <f>"1558397752"</f>
        <v>1558397752</v>
      </c>
      <c r="B4115" t="str">
        <f>"03078677"</f>
        <v>03078677</v>
      </c>
      <c r="C4115" t="s">
        <v>21714</v>
      </c>
      <c r="D4115" t="s">
        <v>21715</v>
      </c>
      <c r="E4115" t="s">
        <v>21716</v>
      </c>
      <c r="G4115" t="s">
        <v>20969</v>
      </c>
      <c r="H4115" t="s">
        <v>20970</v>
      </c>
      <c r="J4115" t="s">
        <v>20971</v>
      </c>
      <c r="L4115" t="s">
        <v>150</v>
      </c>
      <c r="M4115" t="s">
        <v>199</v>
      </c>
      <c r="R4115" t="s">
        <v>21716</v>
      </c>
      <c r="W4115" t="s">
        <v>21717</v>
      </c>
      <c r="X4115" t="s">
        <v>21718</v>
      </c>
      <c r="Y4115" t="s">
        <v>2762</v>
      </c>
      <c r="Z4115" t="s">
        <v>117</v>
      </c>
      <c r="AA4115" t="str">
        <f>"14620-2733"</f>
        <v>14620-2733</v>
      </c>
      <c r="AB4115" t="s">
        <v>118</v>
      </c>
      <c r="AC4115" t="s">
        <v>119</v>
      </c>
      <c r="AD4115" t="s">
        <v>113</v>
      </c>
      <c r="AE4115" t="s">
        <v>120</v>
      </c>
      <c r="AG4115" t="s">
        <v>121</v>
      </c>
    </row>
    <row r="4116" spans="1:33" x14ac:dyDescent="0.25">
      <c r="A4116" t="str">
        <f>"1316153067"</f>
        <v>1316153067</v>
      </c>
      <c r="B4116" t="str">
        <f>"03172332"</f>
        <v>03172332</v>
      </c>
      <c r="C4116" t="s">
        <v>21719</v>
      </c>
      <c r="D4116" t="s">
        <v>21720</v>
      </c>
      <c r="E4116" t="s">
        <v>14976</v>
      </c>
      <c r="G4116" t="s">
        <v>21721</v>
      </c>
      <c r="H4116" t="s">
        <v>21722</v>
      </c>
      <c r="J4116" t="s">
        <v>21723</v>
      </c>
      <c r="L4116" t="s">
        <v>69</v>
      </c>
      <c r="M4116" t="s">
        <v>113</v>
      </c>
      <c r="R4116" t="s">
        <v>14976</v>
      </c>
      <c r="W4116" t="s">
        <v>14976</v>
      </c>
      <c r="X4116" t="s">
        <v>14982</v>
      </c>
      <c r="Y4116" t="s">
        <v>116</v>
      </c>
      <c r="Z4116" t="s">
        <v>117</v>
      </c>
      <c r="AA4116" t="str">
        <f>"14214-2635"</f>
        <v>14214-2635</v>
      </c>
      <c r="AB4116" t="s">
        <v>872</v>
      </c>
      <c r="AC4116" t="s">
        <v>119</v>
      </c>
      <c r="AD4116" t="s">
        <v>113</v>
      </c>
      <c r="AE4116" t="s">
        <v>120</v>
      </c>
      <c r="AG4116" t="s">
        <v>121</v>
      </c>
    </row>
    <row r="4117" spans="1:33" x14ac:dyDescent="0.25">
      <c r="A4117" t="str">
        <f>"1467553347"</f>
        <v>1467553347</v>
      </c>
      <c r="B4117" t="str">
        <f>"02405609"</f>
        <v>02405609</v>
      </c>
      <c r="C4117" t="s">
        <v>21724</v>
      </c>
      <c r="D4117" t="s">
        <v>21725</v>
      </c>
      <c r="E4117" t="s">
        <v>21726</v>
      </c>
      <c r="G4117" t="s">
        <v>21727</v>
      </c>
      <c r="H4117" t="s">
        <v>21455</v>
      </c>
      <c r="L4117" t="s">
        <v>142</v>
      </c>
      <c r="M4117" t="s">
        <v>113</v>
      </c>
      <c r="R4117" t="s">
        <v>21728</v>
      </c>
      <c r="W4117" t="s">
        <v>21726</v>
      </c>
      <c r="X4117" t="s">
        <v>21729</v>
      </c>
      <c r="Y4117" t="s">
        <v>922</v>
      </c>
      <c r="Z4117" t="s">
        <v>117</v>
      </c>
      <c r="AA4117" t="str">
        <f>"14895-1150"</f>
        <v>14895-1150</v>
      </c>
      <c r="AB4117" t="s">
        <v>528</v>
      </c>
      <c r="AC4117" t="s">
        <v>119</v>
      </c>
      <c r="AD4117" t="s">
        <v>113</v>
      </c>
      <c r="AE4117" t="s">
        <v>120</v>
      </c>
      <c r="AG4117" t="s">
        <v>121</v>
      </c>
    </row>
    <row r="4118" spans="1:33" x14ac:dyDescent="0.25">
      <c r="A4118" t="str">
        <f>"1538361902"</f>
        <v>1538361902</v>
      </c>
      <c r="C4118" t="s">
        <v>21730</v>
      </c>
      <c r="G4118" t="s">
        <v>21727</v>
      </c>
      <c r="H4118" t="s">
        <v>21455</v>
      </c>
      <c r="K4118" t="s">
        <v>303</v>
      </c>
      <c r="L4118" t="s">
        <v>229</v>
      </c>
      <c r="M4118" t="s">
        <v>113</v>
      </c>
      <c r="R4118" t="s">
        <v>21731</v>
      </c>
      <c r="S4118" t="s">
        <v>6935</v>
      </c>
      <c r="T4118" t="s">
        <v>2007</v>
      </c>
      <c r="U4118" t="s">
        <v>117</v>
      </c>
      <c r="V4118" t="str">
        <f>"147271317"</f>
        <v>147271317</v>
      </c>
      <c r="AC4118" t="s">
        <v>119</v>
      </c>
      <c r="AD4118" t="s">
        <v>113</v>
      </c>
      <c r="AE4118" t="s">
        <v>306</v>
      </c>
      <c r="AG4118" t="s">
        <v>121</v>
      </c>
    </row>
    <row r="4119" spans="1:33" x14ac:dyDescent="0.25">
      <c r="A4119" t="str">
        <f>"1699027789"</f>
        <v>1699027789</v>
      </c>
      <c r="B4119" t="str">
        <f>"03532689"</f>
        <v>03532689</v>
      </c>
      <c r="C4119" t="s">
        <v>21732</v>
      </c>
      <c r="D4119" t="s">
        <v>21733</v>
      </c>
      <c r="E4119" t="s">
        <v>21734</v>
      </c>
      <c r="G4119" t="s">
        <v>21727</v>
      </c>
      <c r="H4119" t="s">
        <v>21455</v>
      </c>
      <c r="L4119" t="s">
        <v>1033</v>
      </c>
      <c r="M4119" t="s">
        <v>113</v>
      </c>
      <c r="R4119" t="s">
        <v>21735</v>
      </c>
      <c r="W4119" t="s">
        <v>21734</v>
      </c>
      <c r="X4119" t="s">
        <v>6935</v>
      </c>
      <c r="Y4119" t="s">
        <v>2007</v>
      </c>
      <c r="Z4119" t="s">
        <v>117</v>
      </c>
      <c r="AA4119" t="str">
        <f>"14727-1317"</f>
        <v>14727-1317</v>
      </c>
      <c r="AB4119" t="s">
        <v>621</v>
      </c>
      <c r="AC4119" t="s">
        <v>119</v>
      </c>
      <c r="AD4119" t="s">
        <v>113</v>
      </c>
      <c r="AE4119" t="s">
        <v>120</v>
      </c>
      <c r="AG4119" t="s">
        <v>121</v>
      </c>
    </row>
    <row r="4120" spans="1:33" x14ac:dyDescent="0.25">
      <c r="A4120" t="str">
        <f>"1548536758"</f>
        <v>1548536758</v>
      </c>
      <c r="B4120" t="str">
        <f>"04182096"</f>
        <v>04182096</v>
      </c>
      <c r="C4120" t="s">
        <v>21736</v>
      </c>
      <c r="D4120" t="s">
        <v>21737</v>
      </c>
      <c r="E4120" t="s">
        <v>21738</v>
      </c>
      <c r="G4120" t="s">
        <v>21727</v>
      </c>
      <c r="H4120" t="s">
        <v>21455</v>
      </c>
      <c r="L4120" t="s">
        <v>150</v>
      </c>
      <c r="M4120" t="s">
        <v>113</v>
      </c>
      <c r="R4120" t="s">
        <v>21739</v>
      </c>
      <c r="W4120" t="s">
        <v>21738</v>
      </c>
      <c r="X4120" t="s">
        <v>3024</v>
      </c>
      <c r="Y4120" t="s">
        <v>305</v>
      </c>
      <c r="Z4120" t="s">
        <v>117</v>
      </c>
      <c r="AA4120" t="str">
        <f>"14760-2736"</f>
        <v>14760-2736</v>
      </c>
      <c r="AB4120" t="s">
        <v>118</v>
      </c>
      <c r="AC4120" t="s">
        <v>119</v>
      </c>
      <c r="AD4120" t="s">
        <v>113</v>
      </c>
      <c r="AE4120" t="s">
        <v>120</v>
      </c>
      <c r="AG4120" t="s">
        <v>121</v>
      </c>
    </row>
    <row r="4121" spans="1:33" x14ac:dyDescent="0.25">
      <c r="A4121" t="str">
        <f>"1225210677"</f>
        <v>1225210677</v>
      </c>
      <c r="B4121" t="str">
        <f>"02717531"</f>
        <v>02717531</v>
      </c>
      <c r="C4121" t="s">
        <v>21740</v>
      </c>
      <c r="D4121" t="s">
        <v>21741</v>
      </c>
      <c r="E4121" t="s">
        <v>21742</v>
      </c>
      <c r="G4121" t="s">
        <v>1133</v>
      </c>
      <c r="H4121" t="s">
        <v>1134</v>
      </c>
      <c r="J4121" t="s">
        <v>21743</v>
      </c>
      <c r="L4121" t="s">
        <v>229</v>
      </c>
      <c r="M4121" t="s">
        <v>113</v>
      </c>
      <c r="R4121" t="s">
        <v>21744</v>
      </c>
      <c r="W4121" t="s">
        <v>21742</v>
      </c>
      <c r="AB4121" t="s">
        <v>1146</v>
      </c>
      <c r="AC4121" t="s">
        <v>119</v>
      </c>
      <c r="AD4121" t="s">
        <v>113</v>
      </c>
      <c r="AE4121" t="s">
        <v>120</v>
      </c>
      <c r="AG4121" t="s">
        <v>121</v>
      </c>
    </row>
    <row r="4122" spans="1:33" x14ac:dyDescent="0.25">
      <c r="A4122" t="str">
        <f>"1376890798"</f>
        <v>1376890798</v>
      </c>
      <c r="B4122" t="str">
        <f>"03496462"</f>
        <v>03496462</v>
      </c>
      <c r="C4122" t="s">
        <v>21745</v>
      </c>
      <c r="D4122" t="s">
        <v>21746</v>
      </c>
      <c r="E4122" t="s">
        <v>21747</v>
      </c>
      <c r="G4122" t="s">
        <v>1133</v>
      </c>
      <c r="H4122" t="s">
        <v>1134</v>
      </c>
      <c r="J4122" t="s">
        <v>21743</v>
      </c>
      <c r="L4122" t="s">
        <v>14</v>
      </c>
      <c r="M4122" t="s">
        <v>113</v>
      </c>
      <c r="R4122" t="s">
        <v>21748</v>
      </c>
      <c r="W4122" t="s">
        <v>21747</v>
      </c>
      <c r="X4122" t="s">
        <v>168</v>
      </c>
      <c r="Y4122" t="s">
        <v>116</v>
      </c>
      <c r="Z4122" t="s">
        <v>117</v>
      </c>
      <c r="AA4122" t="str">
        <f>"14202-1309"</f>
        <v>14202-1309</v>
      </c>
      <c r="AB4122" t="s">
        <v>1146</v>
      </c>
      <c r="AC4122" t="s">
        <v>119</v>
      </c>
      <c r="AD4122" t="s">
        <v>113</v>
      </c>
      <c r="AE4122" t="s">
        <v>120</v>
      </c>
      <c r="AG4122" t="s">
        <v>121</v>
      </c>
    </row>
    <row r="4123" spans="1:33" x14ac:dyDescent="0.25">
      <c r="B4123" t="str">
        <f>"02248846"</f>
        <v>02248846</v>
      </c>
      <c r="C4123" t="s">
        <v>15521</v>
      </c>
      <c r="D4123" t="s">
        <v>15522</v>
      </c>
      <c r="E4123" t="s">
        <v>15521</v>
      </c>
      <c r="F4123">
        <v>161146128</v>
      </c>
      <c r="L4123" t="s">
        <v>69</v>
      </c>
      <c r="M4123" t="s">
        <v>199</v>
      </c>
      <c r="W4123" t="s">
        <v>15521</v>
      </c>
      <c r="X4123" t="s">
        <v>11658</v>
      </c>
      <c r="Y4123" t="s">
        <v>512</v>
      </c>
      <c r="Z4123" t="s">
        <v>117</v>
      </c>
      <c r="AA4123" t="str">
        <f>"14092-1726"</f>
        <v>14092-1726</v>
      </c>
      <c r="AB4123" t="s">
        <v>291</v>
      </c>
      <c r="AC4123" t="s">
        <v>119</v>
      </c>
      <c r="AD4123" t="s">
        <v>113</v>
      </c>
      <c r="AE4123" t="s">
        <v>120</v>
      </c>
      <c r="AG4123" t="s">
        <v>121</v>
      </c>
    </row>
    <row r="4124" spans="1:33" x14ac:dyDescent="0.25">
      <c r="A4124" t="str">
        <f>"1417121344"</f>
        <v>1417121344</v>
      </c>
      <c r="B4124" t="str">
        <f>"03005167"</f>
        <v>03005167</v>
      </c>
      <c r="C4124" t="s">
        <v>21752</v>
      </c>
      <c r="D4124" t="s">
        <v>21753</v>
      </c>
      <c r="E4124" t="s">
        <v>21754</v>
      </c>
      <c r="G4124" t="s">
        <v>1133</v>
      </c>
      <c r="H4124" t="s">
        <v>1134</v>
      </c>
      <c r="J4124" t="s">
        <v>21743</v>
      </c>
      <c r="L4124" t="s">
        <v>12087</v>
      </c>
      <c r="M4124" t="s">
        <v>199</v>
      </c>
      <c r="R4124" t="s">
        <v>21755</v>
      </c>
      <c r="W4124" t="s">
        <v>21754</v>
      </c>
      <c r="X4124" t="s">
        <v>21756</v>
      </c>
      <c r="Y4124" t="s">
        <v>116</v>
      </c>
      <c r="Z4124" t="s">
        <v>117</v>
      </c>
      <c r="AA4124" t="str">
        <f>"14210-2324"</f>
        <v>14210-2324</v>
      </c>
      <c r="AB4124" t="s">
        <v>1146</v>
      </c>
      <c r="AC4124" t="s">
        <v>119</v>
      </c>
      <c r="AD4124" t="s">
        <v>113</v>
      </c>
      <c r="AE4124" t="s">
        <v>120</v>
      </c>
      <c r="AG4124" t="s">
        <v>121</v>
      </c>
    </row>
    <row r="4125" spans="1:33" x14ac:dyDescent="0.25">
      <c r="A4125" t="str">
        <f>"1265607022"</f>
        <v>1265607022</v>
      </c>
      <c r="B4125" t="str">
        <f>"03005130"</f>
        <v>03005130</v>
      </c>
      <c r="C4125" t="s">
        <v>21757</v>
      </c>
      <c r="D4125" t="s">
        <v>21753</v>
      </c>
      <c r="E4125" t="s">
        <v>21754</v>
      </c>
      <c r="G4125" t="s">
        <v>1133</v>
      </c>
      <c r="H4125" t="s">
        <v>1134</v>
      </c>
      <c r="J4125" t="s">
        <v>21743</v>
      </c>
      <c r="L4125" t="s">
        <v>12087</v>
      </c>
      <c r="M4125" t="s">
        <v>199</v>
      </c>
      <c r="R4125" t="s">
        <v>21755</v>
      </c>
      <c r="W4125" t="s">
        <v>21754</v>
      </c>
      <c r="X4125" t="s">
        <v>21756</v>
      </c>
      <c r="Y4125" t="s">
        <v>116</v>
      </c>
      <c r="Z4125" t="s">
        <v>117</v>
      </c>
      <c r="AA4125" t="str">
        <f>"14210-2324"</f>
        <v>14210-2324</v>
      </c>
      <c r="AB4125" t="s">
        <v>1146</v>
      </c>
      <c r="AC4125" t="s">
        <v>119</v>
      </c>
      <c r="AD4125" t="s">
        <v>113</v>
      </c>
      <c r="AE4125" t="s">
        <v>120</v>
      </c>
      <c r="AG4125" t="s">
        <v>121</v>
      </c>
    </row>
    <row r="4126" spans="1:33" x14ac:dyDescent="0.25">
      <c r="A4126" t="str">
        <f>"1710152574"</f>
        <v>1710152574</v>
      </c>
      <c r="B4126" t="str">
        <f>"03005194"</f>
        <v>03005194</v>
      </c>
      <c r="C4126" t="s">
        <v>21758</v>
      </c>
      <c r="D4126" t="s">
        <v>21753</v>
      </c>
      <c r="E4126" t="s">
        <v>21754</v>
      </c>
      <c r="G4126" t="s">
        <v>1133</v>
      </c>
      <c r="H4126" t="s">
        <v>1134</v>
      </c>
      <c r="J4126" t="s">
        <v>21743</v>
      </c>
      <c r="L4126" t="s">
        <v>12087</v>
      </c>
      <c r="M4126" t="s">
        <v>199</v>
      </c>
      <c r="R4126" t="s">
        <v>21755</v>
      </c>
      <c r="W4126" t="s">
        <v>21754</v>
      </c>
      <c r="X4126" t="s">
        <v>21756</v>
      </c>
      <c r="Y4126" t="s">
        <v>116</v>
      </c>
      <c r="Z4126" t="s">
        <v>117</v>
      </c>
      <c r="AA4126" t="str">
        <f>"14210-2324"</f>
        <v>14210-2324</v>
      </c>
      <c r="AB4126" t="s">
        <v>1146</v>
      </c>
      <c r="AC4126" t="s">
        <v>119</v>
      </c>
      <c r="AD4126" t="s">
        <v>113</v>
      </c>
      <c r="AE4126" t="s">
        <v>120</v>
      </c>
      <c r="AG4126" t="s">
        <v>121</v>
      </c>
    </row>
    <row r="4127" spans="1:33" x14ac:dyDescent="0.25">
      <c r="A4127" t="str">
        <f>"1982908117"</f>
        <v>1982908117</v>
      </c>
      <c r="B4127" t="str">
        <f>"03298491"</f>
        <v>03298491</v>
      </c>
      <c r="C4127" t="s">
        <v>21759</v>
      </c>
      <c r="D4127" t="s">
        <v>21760</v>
      </c>
      <c r="E4127" t="s">
        <v>21761</v>
      </c>
      <c r="G4127" t="s">
        <v>1133</v>
      </c>
      <c r="H4127" t="s">
        <v>1134</v>
      </c>
      <c r="J4127" t="s">
        <v>21743</v>
      </c>
      <c r="L4127" t="s">
        <v>9979</v>
      </c>
      <c r="M4127" t="s">
        <v>113</v>
      </c>
      <c r="R4127" t="s">
        <v>21761</v>
      </c>
      <c r="W4127" t="s">
        <v>21761</v>
      </c>
      <c r="X4127" t="s">
        <v>21762</v>
      </c>
      <c r="Y4127" t="s">
        <v>847</v>
      </c>
      <c r="Z4127" t="s">
        <v>117</v>
      </c>
      <c r="AA4127" t="str">
        <f>"14569-1209"</f>
        <v>14569-1209</v>
      </c>
      <c r="AB4127" t="s">
        <v>1146</v>
      </c>
      <c r="AC4127" t="s">
        <v>119</v>
      </c>
      <c r="AD4127" t="s">
        <v>113</v>
      </c>
      <c r="AE4127" t="s">
        <v>120</v>
      </c>
      <c r="AG4127" t="s">
        <v>121</v>
      </c>
    </row>
    <row r="4128" spans="1:33" x14ac:dyDescent="0.25">
      <c r="A4128" t="str">
        <f>"1275707101"</f>
        <v>1275707101</v>
      </c>
      <c r="B4128" t="str">
        <f>"03005149"</f>
        <v>03005149</v>
      </c>
      <c r="C4128" t="s">
        <v>21763</v>
      </c>
      <c r="D4128" t="s">
        <v>21753</v>
      </c>
      <c r="E4128" t="s">
        <v>21754</v>
      </c>
      <c r="G4128" t="s">
        <v>1133</v>
      </c>
      <c r="H4128" t="s">
        <v>1134</v>
      </c>
      <c r="J4128" t="s">
        <v>21743</v>
      </c>
      <c r="L4128" t="s">
        <v>12087</v>
      </c>
      <c r="M4128" t="s">
        <v>199</v>
      </c>
      <c r="R4128" t="s">
        <v>21764</v>
      </c>
      <c r="W4128" t="s">
        <v>21754</v>
      </c>
      <c r="X4128" t="s">
        <v>21756</v>
      </c>
      <c r="Y4128" t="s">
        <v>116</v>
      </c>
      <c r="Z4128" t="s">
        <v>117</v>
      </c>
      <c r="AA4128" t="str">
        <f t="shared" ref="AA4128:AA4133" si="4">"14210-2324"</f>
        <v>14210-2324</v>
      </c>
      <c r="AB4128" t="s">
        <v>1146</v>
      </c>
      <c r="AC4128" t="s">
        <v>119</v>
      </c>
      <c r="AD4128" t="s">
        <v>113</v>
      </c>
      <c r="AE4128" t="s">
        <v>120</v>
      </c>
      <c r="AG4128" t="s">
        <v>121</v>
      </c>
    </row>
    <row r="4129" spans="1:33" x14ac:dyDescent="0.25">
      <c r="A4129" t="str">
        <f>"1093980856"</f>
        <v>1093980856</v>
      </c>
      <c r="B4129" t="str">
        <f>"00660577"</f>
        <v>00660577</v>
      </c>
      <c r="C4129" t="s">
        <v>21765</v>
      </c>
      <c r="D4129" t="s">
        <v>21753</v>
      </c>
      <c r="E4129" t="s">
        <v>21754</v>
      </c>
      <c r="G4129" t="s">
        <v>1133</v>
      </c>
      <c r="H4129" t="s">
        <v>1134</v>
      </c>
      <c r="J4129" t="s">
        <v>21743</v>
      </c>
      <c r="L4129" t="s">
        <v>12087</v>
      </c>
      <c r="M4129" t="s">
        <v>199</v>
      </c>
      <c r="R4129" t="s">
        <v>21755</v>
      </c>
      <c r="W4129" t="s">
        <v>21754</v>
      </c>
      <c r="X4129" t="s">
        <v>21756</v>
      </c>
      <c r="Y4129" t="s">
        <v>116</v>
      </c>
      <c r="Z4129" t="s">
        <v>117</v>
      </c>
      <c r="AA4129" t="str">
        <f t="shared" si="4"/>
        <v>14210-2324</v>
      </c>
      <c r="AB4129" t="s">
        <v>1146</v>
      </c>
      <c r="AC4129" t="s">
        <v>119</v>
      </c>
      <c r="AD4129" t="s">
        <v>113</v>
      </c>
      <c r="AE4129" t="s">
        <v>120</v>
      </c>
      <c r="AG4129" t="s">
        <v>121</v>
      </c>
    </row>
    <row r="4130" spans="1:33" x14ac:dyDescent="0.25">
      <c r="A4130" t="str">
        <f>"1346414224"</f>
        <v>1346414224</v>
      </c>
      <c r="B4130" t="str">
        <f>"03005158"</f>
        <v>03005158</v>
      </c>
      <c r="C4130" t="s">
        <v>21766</v>
      </c>
      <c r="D4130" t="s">
        <v>21753</v>
      </c>
      <c r="E4130" t="s">
        <v>21754</v>
      </c>
      <c r="G4130" t="s">
        <v>1133</v>
      </c>
      <c r="H4130" t="s">
        <v>1134</v>
      </c>
      <c r="J4130" t="s">
        <v>21743</v>
      </c>
      <c r="L4130" t="s">
        <v>12087</v>
      </c>
      <c r="M4130" t="s">
        <v>199</v>
      </c>
      <c r="R4130" t="s">
        <v>21755</v>
      </c>
      <c r="W4130" t="s">
        <v>21754</v>
      </c>
      <c r="X4130" t="s">
        <v>21756</v>
      </c>
      <c r="Y4130" t="s">
        <v>116</v>
      </c>
      <c r="Z4130" t="s">
        <v>117</v>
      </c>
      <c r="AA4130" t="str">
        <f t="shared" si="4"/>
        <v>14210-2324</v>
      </c>
      <c r="AB4130" t="s">
        <v>1146</v>
      </c>
      <c r="AC4130" t="s">
        <v>119</v>
      </c>
      <c r="AD4130" t="s">
        <v>113</v>
      </c>
      <c r="AE4130" t="s">
        <v>120</v>
      </c>
      <c r="AG4130" t="s">
        <v>121</v>
      </c>
    </row>
    <row r="4131" spans="1:33" x14ac:dyDescent="0.25">
      <c r="A4131" t="str">
        <f>"1821263682"</f>
        <v>1821263682</v>
      </c>
      <c r="B4131" t="str">
        <f>"03005218"</f>
        <v>03005218</v>
      </c>
      <c r="C4131" t="s">
        <v>21767</v>
      </c>
      <c r="D4131" t="s">
        <v>21753</v>
      </c>
      <c r="E4131" t="s">
        <v>21754</v>
      </c>
      <c r="G4131" t="s">
        <v>1133</v>
      </c>
      <c r="H4131" t="s">
        <v>1134</v>
      </c>
      <c r="J4131" t="s">
        <v>21743</v>
      </c>
      <c r="L4131" t="s">
        <v>12087</v>
      </c>
      <c r="M4131" t="s">
        <v>199</v>
      </c>
      <c r="R4131" t="s">
        <v>21755</v>
      </c>
      <c r="W4131" t="s">
        <v>21754</v>
      </c>
      <c r="X4131" t="s">
        <v>21756</v>
      </c>
      <c r="Y4131" t="s">
        <v>116</v>
      </c>
      <c r="Z4131" t="s">
        <v>117</v>
      </c>
      <c r="AA4131" t="str">
        <f t="shared" si="4"/>
        <v>14210-2324</v>
      </c>
      <c r="AB4131" t="s">
        <v>1146</v>
      </c>
      <c r="AC4131" t="s">
        <v>119</v>
      </c>
      <c r="AD4131" t="s">
        <v>113</v>
      </c>
      <c r="AE4131" t="s">
        <v>120</v>
      </c>
      <c r="AG4131" t="s">
        <v>121</v>
      </c>
    </row>
    <row r="4132" spans="1:33" x14ac:dyDescent="0.25">
      <c r="A4132" t="str">
        <f>"1598939480"</f>
        <v>1598939480</v>
      </c>
      <c r="B4132" t="str">
        <f>"03005185"</f>
        <v>03005185</v>
      </c>
      <c r="C4132" t="s">
        <v>21768</v>
      </c>
      <c r="D4132" t="s">
        <v>21753</v>
      </c>
      <c r="E4132" t="s">
        <v>21754</v>
      </c>
      <c r="G4132" t="s">
        <v>1133</v>
      </c>
      <c r="H4132" t="s">
        <v>1134</v>
      </c>
      <c r="J4132" t="s">
        <v>21743</v>
      </c>
      <c r="L4132" t="s">
        <v>12087</v>
      </c>
      <c r="M4132" t="s">
        <v>199</v>
      </c>
      <c r="R4132" t="s">
        <v>21755</v>
      </c>
      <c r="W4132" t="s">
        <v>21754</v>
      </c>
      <c r="X4132" t="s">
        <v>21756</v>
      </c>
      <c r="Y4132" t="s">
        <v>116</v>
      </c>
      <c r="Z4132" t="s">
        <v>117</v>
      </c>
      <c r="AA4132" t="str">
        <f t="shared" si="4"/>
        <v>14210-2324</v>
      </c>
      <c r="AB4132" t="s">
        <v>1146</v>
      </c>
      <c r="AC4132" t="s">
        <v>119</v>
      </c>
      <c r="AD4132" t="s">
        <v>113</v>
      </c>
      <c r="AE4132" t="s">
        <v>120</v>
      </c>
      <c r="AG4132" t="s">
        <v>121</v>
      </c>
    </row>
    <row r="4133" spans="1:33" x14ac:dyDescent="0.25">
      <c r="A4133" t="str">
        <f>"1811162670"</f>
        <v>1811162670</v>
      </c>
      <c r="B4133" t="str">
        <f>"03005209"</f>
        <v>03005209</v>
      </c>
      <c r="C4133" t="s">
        <v>21769</v>
      </c>
      <c r="D4133" t="s">
        <v>21753</v>
      </c>
      <c r="E4133" t="s">
        <v>21754</v>
      </c>
      <c r="G4133" t="s">
        <v>1133</v>
      </c>
      <c r="H4133" t="s">
        <v>1134</v>
      </c>
      <c r="J4133" t="s">
        <v>21743</v>
      </c>
      <c r="L4133" t="s">
        <v>12087</v>
      </c>
      <c r="M4133" t="s">
        <v>199</v>
      </c>
      <c r="R4133" t="s">
        <v>21770</v>
      </c>
      <c r="W4133" t="s">
        <v>21754</v>
      </c>
      <c r="X4133" t="s">
        <v>21756</v>
      </c>
      <c r="Y4133" t="s">
        <v>116</v>
      </c>
      <c r="Z4133" t="s">
        <v>117</v>
      </c>
      <c r="AA4133" t="str">
        <f t="shared" si="4"/>
        <v>14210-2324</v>
      </c>
      <c r="AB4133" t="s">
        <v>1146</v>
      </c>
      <c r="AC4133" t="s">
        <v>119</v>
      </c>
      <c r="AD4133" t="s">
        <v>113</v>
      </c>
      <c r="AE4133" t="s">
        <v>120</v>
      </c>
      <c r="AG4133" t="s">
        <v>121</v>
      </c>
    </row>
    <row r="4134" spans="1:33" x14ac:dyDescent="0.25">
      <c r="A4134" t="str">
        <f>"1467775981"</f>
        <v>1467775981</v>
      </c>
      <c r="B4134" t="str">
        <f>"03226886"</f>
        <v>03226886</v>
      </c>
      <c r="C4134" t="s">
        <v>21771</v>
      </c>
      <c r="D4134" t="s">
        <v>21753</v>
      </c>
      <c r="E4134" t="s">
        <v>21754</v>
      </c>
      <c r="G4134" t="s">
        <v>1133</v>
      </c>
      <c r="H4134" t="s">
        <v>1134</v>
      </c>
      <c r="J4134" t="s">
        <v>21743</v>
      </c>
      <c r="L4134" t="s">
        <v>12087</v>
      </c>
      <c r="M4134" t="s">
        <v>199</v>
      </c>
      <c r="R4134" t="s">
        <v>21761</v>
      </c>
      <c r="W4134" t="s">
        <v>21754</v>
      </c>
      <c r="X4134" t="s">
        <v>846</v>
      </c>
      <c r="Y4134" t="s">
        <v>847</v>
      </c>
      <c r="Z4134" t="s">
        <v>117</v>
      </c>
      <c r="AA4134" t="str">
        <f>"14569-1326"</f>
        <v>14569-1326</v>
      </c>
      <c r="AB4134" t="s">
        <v>1146</v>
      </c>
      <c r="AC4134" t="s">
        <v>119</v>
      </c>
      <c r="AD4134" t="s">
        <v>113</v>
      </c>
      <c r="AE4134" t="s">
        <v>120</v>
      </c>
      <c r="AG4134" t="s">
        <v>121</v>
      </c>
    </row>
    <row r="4135" spans="1:33" x14ac:dyDescent="0.25">
      <c r="B4135" t="str">
        <f>"02915222"</f>
        <v>02915222</v>
      </c>
      <c r="C4135" t="s">
        <v>23914</v>
      </c>
      <c r="D4135" t="s">
        <v>23915</v>
      </c>
      <c r="E4135" t="s">
        <v>23914</v>
      </c>
      <c r="F4135">
        <v>161146128</v>
      </c>
      <c r="L4135" t="s">
        <v>69</v>
      </c>
      <c r="M4135" t="s">
        <v>199</v>
      </c>
      <c r="W4135" t="s">
        <v>23914</v>
      </c>
      <c r="X4135" t="s">
        <v>11666</v>
      </c>
      <c r="Y4135" t="s">
        <v>512</v>
      </c>
      <c r="Z4135" t="s">
        <v>117</v>
      </c>
      <c r="AA4135" t="str">
        <f>"14092-1726"</f>
        <v>14092-1726</v>
      </c>
      <c r="AB4135" t="s">
        <v>291</v>
      </c>
      <c r="AC4135" t="s">
        <v>119</v>
      </c>
      <c r="AD4135" t="s">
        <v>113</v>
      </c>
      <c r="AE4135" t="s">
        <v>120</v>
      </c>
      <c r="AG4135" t="s">
        <v>121</v>
      </c>
    </row>
    <row r="4136" spans="1:33" x14ac:dyDescent="0.25">
      <c r="A4136" t="str">
        <f>"1972696300"</f>
        <v>1972696300</v>
      </c>
      <c r="B4136" t="str">
        <f>"02632906"</f>
        <v>02632906</v>
      </c>
      <c r="C4136" t="s">
        <v>21774</v>
      </c>
      <c r="D4136" t="s">
        <v>21775</v>
      </c>
      <c r="E4136" t="s">
        <v>21776</v>
      </c>
      <c r="G4136" t="s">
        <v>5311</v>
      </c>
      <c r="H4136" t="s">
        <v>21479</v>
      </c>
      <c r="J4136" t="s">
        <v>21777</v>
      </c>
      <c r="L4136" t="s">
        <v>20</v>
      </c>
      <c r="M4136" t="s">
        <v>113</v>
      </c>
      <c r="R4136" t="s">
        <v>21776</v>
      </c>
      <c r="W4136" t="s">
        <v>21776</v>
      </c>
      <c r="X4136" t="s">
        <v>21778</v>
      </c>
      <c r="Y4136" t="s">
        <v>1398</v>
      </c>
      <c r="Z4136" t="s">
        <v>117</v>
      </c>
      <c r="AA4136" t="str">
        <f>"14125-1043"</f>
        <v>14125-1043</v>
      </c>
      <c r="AB4136" t="s">
        <v>5777</v>
      </c>
      <c r="AC4136" t="s">
        <v>119</v>
      </c>
      <c r="AD4136" t="s">
        <v>113</v>
      </c>
      <c r="AE4136" t="s">
        <v>120</v>
      </c>
      <c r="AG4136" t="s">
        <v>121</v>
      </c>
    </row>
    <row r="4137" spans="1:33" x14ac:dyDescent="0.25">
      <c r="A4137" t="str">
        <f>"1790907236"</f>
        <v>1790907236</v>
      </c>
      <c r="B4137" t="str">
        <f>"02938576"</f>
        <v>02938576</v>
      </c>
      <c r="C4137" t="s">
        <v>21779</v>
      </c>
      <c r="D4137" t="s">
        <v>21780</v>
      </c>
      <c r="E4137" t="s">
        <v>21776</v>
      </c>
      <c r="G4137" t="s">
        <v>5311</v>
      </c>
      <c r="H4137" t="s">
        <v>21479</v>
      </c>
      <c r="J4137" t="s">
        <v>21777</v>
      </c>
      <c r="L4137" t="s">
        <v>20</v>
      </c>
      <c r="M4137" t="s">
        <v>113</v>
      </c>
      <c r="R4137" t="s">
        <v>21776</v>
      </c>
      <c r="W4137" t="s">
        <v>21776</v>
      </c>
      <c r="X4137" t="s">
        <v>21781</v>
      </c>
      <c r="Y4137" t="s">
        <v>21782</v>
      </c>
      <c r="Z4137" t="s">
        <v>117</v>
      </c>
      <c r="AA4137" t="str">
        <f>"14468-1211"</f>
        <v>14468-1211</v>
      </c>
      <c r="AB4137" t="s">
        <v>5777</v>
      </c>
      <c r="AC4137" t="s">
        <v>119</v>
      </c>
      <c r="AD4137" t="s">
        <v>113</v>
      </c>
      <c r="AE4137" t="s">
        <v>120</v>
      </c>
      <c r="AG4137" t="s">
        <v>121</v>
      </c>
    </row>
    <row r="4138" spans="1:33" x14ac:dyDescent="0.25">
      <c r="A4138" t="str">
        <f>"1669893640"</f>
        <v>1669893640</v>
      </c>
      <c r="B4138" t="str">
        <f>"04154876"</f>
        <v>04154876</v>
      </c>
      <c r="C4138" t="s">
        <v>21783</v>
      </c>
      <c r="D4138" t="s">
        <v>21784</v>
      </c>
      <c r="E4138" t="s">
        <v>21785</v>
      </c>
      <c r="G4138" t="s">
        <v>1140</v>
      </c>
      <c r="H4138" t="s">
        <v>1141</v>
      </c>
      <c r="L4138" t="s">
        <v>1033</v>
      </c>
      <c r="M4138" t="s">
        <v>113</v>
      </c>
      <c r="R4138" t="s">
        <v>21785</v>
      </c>
      <c r="W4138" t="s">
        <v>21786</v>
      </c>
      <c r="X4138" t="s">
        <v>1145</v>
      </c>
      <c r="Y4138" t="s">
        <v>541</v>
      </c>
      <c r="Z4138" t="s">
        <v>117</v>
      </c>
      <c r="AA4138" t="str">
        <f>"14048-2137"</f>
        <v>14048-2137</v>
      </c>
      <c r="AB4138" t="s">
        <v>621</v>
      </c>
      <c r="AC4138" t="s">
        <v>119</v>
      </c>
      <c r="AD4138" t="s">
        <v>113</v>
      </c>
      <c r="AE4138" t="s">
        <v>120</v>
      </c>
      <c r="AG4138" t="s">
        <v>121</v>
      </c>
    </row>
    <row r="4139" spans="1:33" x14ac:dyDescent="0.25">
      <c r="A4139" t="str">
        <f>"1235370461"</f>
        <v>1235370461</v>
      </c>
      <c r="B4139" t="str">
        <f>"04044859"</f>
        <v>04044859</v>
      </c>
      <c r="C4139" t="s">
        <v>21787</v>
      </c>
      <c r="D4139" t="s">
        <v>21788</v>
      </c>
      <c r="E4139" t="s">
        <v>21789</v>
      </c>
      <c r="G4139" t="s">
        <v>1140</v>
      </c>
      <c r="H4139" t="s">
        <v>1141</v>
      </c>
      <c r="L4139" t="s">
        <v>142</v>
      </c>
      <c r="M4139" t="s">
        <v>113</v>
      </c>
      <c r="R4139" t="s">
        <v>21790</v>
      </c>
      <c r="W4139" t="s">
        <v>21789</v>
      </c>
      <c r="X4139" t="s">
        <v>1145</v>
      </c>
      <c r="Y4139" t="s">
        <v>541</v>
      </c>
      <c r="Z4139" t="s">
        <v>117</v>
      </c>
      <c r="AA4139" t="str">
        <f>"14048-2137"</f>
        <v>14048-2137</v>
      </c>
      <c r="AB4139" t="s">
        <v>118</v>
      </c>
      <c r="AC4139" t="s">
        <v>119</v>
      </c>
      <c r="AD4139" t="s">
        <v>113</v>
      </c>
      <c r="AE4139" t="s">
        <v>120</v>
      </c>
      <c r="AG4139" t="s">
        <v>121</v>
      </c>
    </row>
    <row r="4140" spans="1:33" x14ac:dyDescent="0.25">
      <c r="A4140" t="str">
        <f>"1447300165"</f>
        <v>1447300165</v>
      </c>
      <c r="B4140" t="str">
        <f>"01594816"</f>
        <v>01594816</v>
      </c>
      <c r="C4140" t="s">
        <v>21791</v>
      </c>
      <c r="D4140" t="s">
        <v>21792</v>
      </c>
      <c r="E4140" t="s">
        <v>21793</v>
      </c>
      <c r="G4140" t="s">
        <v>21794</v>
      </c>
      <c r="H4140" t="s">
        <v>21795</v>
      </c>
      <c r="J4140" t="s">
        <v>21796</v>
      </c>
      <c r="L4140" t="s">
        <v>1033</v>
      </c>
      <c r="M4140" t="s">
        <v>113</v>
      </c>
      <c r="R4140" t="s">
        <v>21797</v>
      </c>
      <c r="W4140" t="s">
        <v>21793</v>
      </c>
      <c r="X4140" t="s">
        <v>21798</v>
      </c>
      <c r="Y4140" t="s">
        <v>153</v>
      </c>
      <c r="Z4140" t="s">
        <v>117</v>
      </c>
      <c r="AA4140" t="str">
        <f>"14301-1201"</f>
        <v>14301-1201</v>
      </c>
      <c r="AB4140" t="s">
        <v>621</v>
      </c>
      <c r="AC4140" t="s">
        <v>119</v>
      </c>
      <c r="AD4140" t="s">
        <v>113</v>
      </c>
      <c r="AE4140" t="s">
        <v>120</v>
      </c>
      <c r="AG4140" t="s">
        <v>121</v>
      </c>
    </row>
    <row r="4141" spans="1:33" x14ac:dyDescent="0.25">
      <c r="A4141" t="str">
        <f>"1780934588"</f>
        <v>1780934588</v>
      </c>
      <c r="C4141" t="s">
        <v>21799</v>
      </c>
      <c r="G4141" t="s">
        <v>21794</v>
      </c>
      <c r="H4141" t="s">
        <v>21795</v>
      </c>
      <c r="J4141" t="s">
        <v>21796</v>
      </c>
      <c r="K4141" t="s">
        <v>303</v>
      </c>
      <c r="L4141" t="s">
        <v>112</v>
      </c>
      <c r="M4141" t="s">
        <v>113</v>
      </c>
      <c r="R4141" t="s">
        <v>21800</v>
      </c>
      <c r="S4141" t="s">
        <v>21801</v>
      </c>
      <c r="T4141" t="s">
        <v>816</v>
      </c>
      <c r="U4141" t="s">
        <v>117</v>
      </c>
      <c r="V4141" t="str">
        <f>"14120"</f>
        <v>14120</v>
      </c>
      <c r="AC4141" t="s">
        <v>119</v>
      </c>
      <c r="AD4141" t="s">
        <v>113</v>
      </c>
      <c r="AE4141" t="s">
        <v>306</v>
      </c>
      <c r="AG4141" t="s">
        <v>121</v>
      </c>
    </row>
    <row r="4142" spans="1:33" x14ac:dyDescent="0.25">
      <c r="A4142" t="str">
        <f>"1265723704"</f>
        <v>1265723704</v>
      </c>
      <c r="C4142" t="s">
        <v>21802</v>
      </c>
      <c r="G4142" t="s">
        <v>21794</v>
      </c>
      <c r="H4142" t="s">
        <v>21795</v>
      </c>
      <c r="J4142" t="s">
        <v>21796</v>
      </c>
      <c r="K4142" t="s">
        <v>303</v>
      </c>
      <c r="L4142" t="s">
        <v>112</v>
      </c>
      <c r="M4142" t="s">
        <v>113</v>
      </c>
      <c r="R4142" t="s">
        <v>21803</v>
      </c>
      <c r="S4142" t="s">
        <v>21804</v>
      </c>
      <c r="T4142" t="s">
        <v>816</v>
      </c>
      <c r="U4142" t="s">
        <v>117</v>
      </c>
      <c r="V4142" t="str">
        <f>"14120"</f>
        <v>14120</v>
      </c>
      <c r="AC4142" t="s">
        <v>119</v>
      </c>
      <c r="AD4142" t="s">
        <v>113</v>
      </c>
      <c r="AE4142" t="s">
        <v>306</v>
      </c>
      <c r="AG4142" t="s">
        <v>121</v>
      </c>
    </row>
    <row r="4143" spans="1:33" x14ac:dyDescent="0.25">
      <c r="A4143" t="str">
        <f>"1841529641"</f>
        <v>1841529641</v>
      </c>
      <c r="C4143" t="s">
        <v>21805</v>
      </c>
      <c r="G4143" t="s">
        <v>21794</v>
      </c>
      <c r="H4143" t="s">
        <v>21795</v>
      </c>
      <c r="J4143" t="s">
        <v>21796</v>
      </c>
      <c r="K4143" t="s">
        <v>303</v>
      </c>
      <c r="L4143" t="s">
        <v>112</v>
      </c>
      <c r="M4143" t="s">
        <v>113</v>
      </c>
      <c r="R4143" t="s">
        <v>21806</v>
      </c>
      <c r="S4143" t="s">
        <v>21807</v>
      </c>
      <c r="T4143" t="s">
        <v>816</v>
      </c>
      <c r="U4143" t="s">
        <v>117</v>
      </c>
      <c r="V4143" t="str">
        <f>"141204435"</f>
        <v>141204435</v>
      </c>
      <c r="AC4143" t="s">
        <v>119</v>
      </c>
      <c r="AD4143" t="s">
        <v>113</v>
      </c>
      <c r="AE4143" t="s">
        <v>306</v>
      </c>
      <c r="AG4143" t="s">
        <v>121</v>
      </c>
    </row>
    <row r="4144" spans="1:33" x14ac:dyDescent="0.25">
      <c r="A4144" t="str">
        <f>"1851508832"</f>
        <v>1851508832</v>
      </c>
      <c r="B4144" t="str">
        <f>"03715657"</f>
        <v>03715657</v>
      </c>
      <c r="C4144" t="s">
        <v>21808</v>
      </c>
      <c r="D4144" t="s">
        <v>21809</v>
      </c>
      <c r="E4144" t="s">
        <v>21810</v>
      </c>
      <c r="G4144" t="s">
        <v>21794</v>
      </c>
      <c r="H4144" t="s">
        <v>21795</v>
      </c>
      <c r="J4144" t="s">
        <v>21796</v>
      </c>
      <c r="L4144" t="s">
        <v>112</v>
      </c>
      <c r="M4144" t="s">
        <v>113</v>
      </c>
      <c r="R4144" t="s">
        <v>21810</v>
      </c>
      <c r="W4144" t="s">
        <v>21810</v>
      </c>
      <c r="X4144" t="s">
        <v>21811</v>
      </c>
      <c r="Y4144" t="s">
        <v>116</v>
      </c>
      <c r="Z4144" t="s">
        <v>117</v>
      </c>
      <c r="AA4144" t="str">
        <f>"14215-1611"</f>
        <v>14215-1611</v>
      </c>
      <c r="AB4144" t="s">
        <v>621</v>
      </c>
      <c r="AC4144" t="s">
        <v>119</v>
      </c>
      <c r="AD4144" t="s">
        <v>113</v>
      </c>
      <c r="AE4144" t="s">
        <v>120</v>
      </c>
      <c r="AG4144" t="s">
        <v>121</v>
      </c>
    </row>
    <row r="4145" spans="1:33" x14ac:dyDescent="0.25">
      <c r="A4145" t="str">
        <f>"1235282534"</f>
        <v>1235282534</v>
      </c>
      <c r="B4145" t="str">
        <f>"03038566"</f>
        <v>03038566</v>
      </c>
      <c r="C4145" t="s">
        <v>21812</v>
      </c>
      <c r="D4145" t="s">
        <v>21813</v>
      </c>
      <c r="E4145" t="s">
        <v>21814</v>
      </c>
      <c r="G4145" t="s">
        <v>21794</v>
      </c>
      <c r="H4145" t="s">
        <v>21795</v>
      </c>
      <c r="J4145" t="s">
        <v>21796</v>
      </c>
      <c r="L4145" t="s">
        <v>1033</v>
      </c>
      <c r="M4145" t="s">
        <v>113</v>
      </c>
      <c r="R4145" t="s">
        <v>21815</v>
      </c>
      <c r="W4145" t="s">
        <v>21814</v>
      </c>
      <c r="X4145" t="s">
        <v>21804</v>
      </c>
      <c r="Y4145" t="s">
        <v>816</v>
      </c>
      <c r="Z4145" t="s">
        <v>117</v>
      </c>
      <c r="AA4145" t="str">
        <f>"14120-5713"</f>
        <v>14120-5713</v>
      </c>
      <c r="AB4145" t="s">
        <v>621</v>
      </c>
      <c r="AC4145" t="s">
        <v>119</v>
      </c>
      <c r="AD4145" t="s">
        <v>113</v>
      </c>
      <c r="AE4145" t="s">
        <v>120</v>
      </c>
      <c r="AG4145" t="s">
        <v>121</v>
      </c>
    </row>
    <row r="4146" spans="1:33" x14ac:dyDescent="0.25">
      <c r="A4146" t="str">
        <f>"1457570335"</f>
        <v>1457570335</v>
      </c>
      <c r="C4146" t="s">
        <v>21816</v>
      </c>
      <c r="G4146" t="s">
        <v>21794</v>
      </c>
      <c r="H4146" t="s">
        <v>21795</v>
      </c>
      <c r="J4146" t="s">
        <v>21796</v>
      </c>
      <c r="K4146" t="s">
        <v>303</v>
      </c>
      <c r="L4146" t="s">
        <v>112</v>
      </c>
      <c r="M4146" t="s">
        <v>113</v>
      </c>
      <c r="R4146" t="s">
        <v>21817</v>
      </c>
      <c r="S4146" t="s">
        <v>21818</v>
      </c>
      <c r="T4146" t="s">
        <v>816</v>
      </c>
      <c r="U4146" t="s">
        <v>117</v>
      </c>
      <c r="V4146" t="str">
        <f>"141205713"</f>
        <v>141205713</v>
      </c>
      <c r="AC4146" t="s">
        <v>119</v>
      </c>
      <c r="AD4146" t="s">
        <v>113</v>
      </c>
      <c r="AE4146" t="s">
        <v>306</v>
      </c>
      <c r="AG4146" t="s">
        <v>121</v>
      </c>
    </row>
    <row r="4147" spans="1:33" x14ac:dyDescent="0.25">
      <c r="A4147" t="str">
        <f>"1912279779"</f>
        <v>1912279779</v>
      </c>
      <c r="C4147" t="s">
        <v>21819</v>
      </c>
      <c r="G4147" t="s">
        <v>21794</v>
      </c>
      <c r="H4147" t="s">
        <v>21795</v>
      </c>
      <c r="J4147" t="s">
        <v>21796</v>
      </c>
      <c r="K4147" t="s">
        <v>303</v>
      </c>
      <c r="L4147" t="s">
        <v>112</v>
      </c>
      <c r="M4147" t="s">
        <v>113</v>
      </c>
      <c r="R4147" t="s">
        <v>21820</v>
      </c>
      <c r="S4147" t="s">
        <v>21821</v>
      </c>
      <c r="T4147" t="s">
        <v>816</v>
      </c>
      <c r="U4147" t="s">
        <v>117</v>
      </c>
      <c r="V4147" t="str">
        <f>"14120"</f>
        <v>14120</v>
      </c>
      <c r="AC4147" t="s">
        <v>119</v>
      </c>
      <c r="AD4147" t="s">
        <v>113</v>
      </c>
      <c r="AE4147" t="s">
        <v>306</v>
      </c>
      <c r="AG4147" t="s">
        <v>121</v>
      </c>
    </row>
    <row r="4148" spans="1:33" x14ac:dyDescent="0.25">
      <c r="A4148" t="str">
        <f>"1255324547"</f>
        <v>1255324547</v>
      </c>
      <c r="B4148" t="str">
        <f>"02364616"</f>
        <v>02364616</v>
      </c>
      <c r="C4148" t="s">
        <v>21822</v>
      </c>
      <c r="D4148" t="s">
        <v>21823</v>
      </c>
      <c r="E4148" t="s">
        <v>21824</v>
      </c>
      <c r="G4148" t="s">
        <v>21825</v>
      </c>
      <c r="H4148" t="s">
        <v>21826</v>
      </c>
      <c r="J4148" t="s">
        <v>21827</v>
      </c>
      <c r="L4148" t="s">
        <v>150</v>
      </c>
      <c r="M4148" t="s">
        <v>199</v>
      </c>
      <c r="R4148" t="s">
        <v>21828</v>
      </c>
      <c r="W4148" t="s">
        <v>21824</v>
      </c>
      <c r="X4148" t="s">
        <v>21829</v>
      </c>
      <c r="Y4148" t="s">
        <v>116</v>
      </c>
      <c r="Z4148" t="s">
        <v>117</v>
      </c>
      <c r="AA4148" t="str">
        <f>"14215-3098"</f>
        <v>14215-3098</v>
      </c>
      <c r="AB4148" t="s">
        <v>118</v>
      </c>
      <c r="AC4148" t="s">
        <v>119</v>
      </c>
      <c r="AD4148" t="s">
        <v>113</v>
      </c>
      <c r="AE4148" t="s">
        <v>120</v>
      </c>
      <c r="AG4148" t="s">
        <v>121</v>
      </c>
    </row>
    <row r="4149" spans="1:33" x14ac:dyDescent="0.25">
      <c r="A4149" t="str">
        <f>"1689841488"</f>
        <v>1689841488</v>
      </c>
      <c r="B4149" t="str">
        <f>"03292197"</f>
        <v>03292197</v>
      </c>
      <c r="C4149" t="s">
        <v>21830</v>
      </c>
      <c r="D4149" t="s">
        <v>21831</v>
      </c>
      <c r="E4149" t="s">
        <v>21832</v>
      </c>
      <c r="G4149" t="s">
        <v>21825</v>
      </c>
      <c r="H4149" t="s">
        <v>21826</v>
      </c>
      <c r="J4149" t="s">
        <v>21827</v>
      </c>
      <c r="L4149" t="s">
        <v>150</v>
      </c>
      <c r="M4149" t="s">
        <v>199</v>
      </c>
      <c r="R4149" t="s">
        <v>21833</v>
      </c>
      <c r="W4149" t="s">
        <v>21832</v>
      </c>
      <c r="X4149" t="s">
        <v>8739</v>
      </c>
      <c r="Y4149" t="s">
        <v>116</v>
      </c>
      <c r="Z4149" t="s">
        <v>117</v>
      </c>
      <c r="AA4149" t="str">
        <f>"14203-2209"</f>
        <v>14203-2209</v>
      </c>
      <c r="AB4149" t="s">
        <v>118</v>
      </c>
      <c r="AC4149" t="s">
        <v>119</v>
      </c>
      <c r="AD4149" t="s">
        <v>113</v>
      </c>
      <c r="AE4149" t="s">
        <v>120</v>
      </c>
      <c r="AG4149" t="s">
        <v>121</v>
      </c>
    </row>
    <row r="4150" spans="1:33" x14ac:dyDescent="0.25">
      <c r="A4150" t="str">
        <f>"1962559526"</f>
        <v>1962559526</v>
      </c>
      <c r="C4150" t="s">
        <v>21834</v>
      </c>
      <c r="G4150" t="s">
        <v>21834</v>
      </c>
      <c r="H4150" t="s">
        <v>937</v>
      </c>
      <c r="J4150" t="s">
        <v>21835</v>
      </c>
      <c r="K4150" t="s">
        <v>303</v>
      </c>
      <c r="L4150" t="s">
        <v>112</v>
      </c>
      <c r="M4150" t="s">
        <v>113</v>
      </c>
      <c r="R4150" t="s">
        <v>21836</v>
      </c>
      <c r="S4150" t="s">
        <v>3739</v>
      </c>
      <c r="T4150" t="s">
        <v>240</v>
      </c>
      <c r="U4150" t="s">
        <v>117</v>
      </c>
      <c r="V4150" t="str">
        <f>"142216728"</f>
        <v>142216728</v>
      </c>
      <c r="AC4150" t="s">
        <v>119</v>
      </c>
      <c r="AD4150" t="s">
        <v>113</v>
      </c>
      <c r="AE4150" t="s">
        <v>306</v>
      </c>
      <c r="AG4150" t="s">
        <v>121</v>
      </c>
    </row>
    <row r="4151" spans="1:33" x14ac:dyDescent="0.25">
      <c r="A4151" t="str">
        <f>"1649529181"</f>
        <v>1649529181</v>
      </c>
      <c r="C4151" t="s">
        <v>21837</v>
      </c>
      <c r="G4151" t="s">
        <v>21591</v>
      </c>
      <c r="H4151" t="s">
        <v>21838</v>
      </c>
      <c r="J4151" t="s">
        <v>21592</v>
      </c>
      <c r="K4151" t="s">
        <v>303</v>
      </c>
      <c r="L4151" t="s">
        <v>229</v>
      </c>
      <c r="M4151" t="s">
        <v>113</v>
      </c>
      <c r="R4151" t="s">
        <v>21839</v>
      </c>
      <c r="S4151" t="s">
        <v>21597</v>
      </c>
      <c r="T4151" t="s">
        <v>541</v>
      </c>
      <c r="U4151" t="s">
        <v>117</v>
      </c>
      <c r="V4151" t="str">
        <f>"140482137"</f>
        <v>140482137</v>
      </c>
      <c r="AC4151" t="s">
        <v>119</v>
      </c>
      <c r="AD4151" t="s">
        <v>113</v>
      </c>
      <c r="AE4151" t="s">
        <v>306</v>
      </c>
      <c r="AG4151" t="s">
        <v>121</v>
      </c>
    </row>
    <row r="4152" spans="1:33" x14ac:dyDescent="0.25">
      <c r="A4152" t="str">
        <f>"1619384005"</f>
        <v>1619384005</v>
      </c>
      <c r="C4152" t="s">
        <v>21840</v>
      </c>
      <c r="G4152" t="s">
        <v>21591</v>
      </c>
      <c r="H4152" t="s">
        <v>21841</v>
      </c>
      <c r="J4152" t="s">
        <v>21592</v>
      </c>
      <c r="K4152" t="s">
        <v>303</v>
      </c>
      <c r="L4152" t="s">
        <v>229</v>
      </c>
      <c r="M4152" t="s">
        <v>113</v>
      </c>
      <c r="R4152" t="s">
        <v>21842</v>
      </c>
      <c r="S4152" t="s">
        <v>6330</v>
      </c>
      <c r="T4152" t="s">
        <v>1557</v>
      </c>
      <c r="U4152" t="s">
        <v>117</v>
      </c>
      <c r="V4152" t="str">
        <f>"147571095"</f>
        <v>147571095</v>
      </c>
      <c r="AC4152" t="s">
        <v>119</v>
      </c>
      <c r="AD4152" t="s">
        <v>113</v>
      </c>
      <c r="AE4152" t="s">
        <v>306</v>
      </c>
      <c r="AG4152" t="s">
        <v>121</v>
      </c>
    </row>
    <row r="4153" spans="1:33" x14ac:dyDescent="0.25">
      <c r="C4153" t="s">
        <v>21843</v>
      </c>
      <c r="G4153" t="s">
        <v>21844</v>
      </c>
      <c r="H4153" t="s">
        <v>21845</v>
      </c>
      <c r="J4153" t="s">
        <v>3094</v>
      </c>
      <c r="K4153" t="s">
        <v>303</v>
      </c>
      <c r="L4153" t="s">
        <v>3095</v>
      </c>
      <c r="M4153" t="s">
        <v>113</v>
      </c>
      <c r="N4153" t="s">
        <v>21846</v>
      </c>
      <c r="O4153" t="s">
        <v>3097</v>
      </c>
      <c r="P4153" t="s">
        <v>117</v>
      </c>
      <c r="Q4153" t="str">
        <f>"14208"</f>
        <v>14208</v>
      </c>
      <c r="AC4153" t="s">
        <v>119</v>
      </c>
      <c r="AD4153" t="s">
        <v>113</v>
      </c>
      <c r="AE4153" t="s">
        <v>3098</v>
      </c>
      <c r="AG4153" t="s">
        <v>121</v>
      </c>
    </row>
    <row r="4154" spans="1:33" x14ac:dyDescent="0.25">
      <c r="C4154" t="s">
        <v>21847</v>
      </c>
      <c r="G4154" t="s">
        <v>21848</v>
      </c>
      <c r="H4154" t="s">
        <v>21849</v>
      </c>
      <c r="J4154" t="s">
        <v>3094</v>
      </c>
      <c r="K4154" t="s">
        <v>303</v>
      </c>
      <c r="L4154" t="s">
        <v>3095</v>
      </c>
      <c r="M4154" t="s">
        <v>113</v>
      </c>
      <c r="N4154" t="s">
        <v>21850</v>
      </c>
      <c r="O4154" t="s">
        <v>3097</v>
      </c>
      <c r="P4154" t="s">
        <v>117</v>
      </c>
      <c r="Q4154" t="str">
        <f>"14240"</f>
        <v>14240</v>
      </c>
      <c r="AC4154" t="s">
        <v>119</v>
      </c>
      <c r="AD4154" t="s">
        <v>113</v>
      </c>
      <c r="AE4154" t="s">
        <v>3098</v>
      </c>
      <c r="AG4154" t="s">
        <v>121</v>
      </c>
    </row>
    <row r="4155" spans="1:33" x14ac:dyDescent="0.25">
      <c r="C4155" t="s">
        <v>21851</v>
      </c>
      <c r="G4155" t="s">
        <v>21852</v>
      </c>
      <c r="H4155">
        <v>716</v>
      </c>
      <c r="J4155" t="s">
        <v>3094</v>
      </c>
      <c r="K4155" t="s">
        <v>303</v>
      </c>
      <c r="L4155" t="s">
        <v>3095</v>
      </c>
      <c r="M4155" t="s">
        <v>113</v>
      </c>
      <c r="N4155" t="s">
        <v>21853</v>
      </c>
      <c r="O4155" t="s">
        <v>3097</v>
      </c>
      <c r="P4155" t="s">
        <v>117</v>
      </c>
      <c r="Q4155" t="str">
        <f>"14204"</f>
        <v>14204</v>
      </c>
      <c r="AC4155" t="s">
        <v>119</v>
      </c>
      <c r="AD4155" t="s">
        <v>113</v>
      </c>
      <c r="AE4155" t="s">
        <v>3098</v>
      </c>
      <c r="AG4155" t="s">
        <v>121</v>
      </c>
    </row>
    <row r="4156" spans="1:33" x14ac:dyDescent="0.25">
      <c r="C4156" t="s">
        <v>21854</v>
      </c>
      <c r="G4156" t="s">
        <v>21855</v>
      </c>
      <c r="J4156" t="s">
        <v>3094</v>
      </c>
      <c r="K4156" t="s">
        <v>303</v>
      </c>
      <c r="L4156" t="s">
        <v>3095</v>
      </c>
      <c r="M4156" t="s">
        <v>113</v>
      </c>
      <c r="N4156" t="s">
        <v>21856</v>
      </c>
      <c r="O4156" t="s">
        <v>3097</v>
      </c>
      <c r="P4156" t="s">
        <v>117</v>
      </c>
      <c r="Q4156" t="str">
        <f>"14208"</f>
        <v>14208</v>
      </c>
      <c r="AC4156" t="s">
        <v>119</v>
      </c>
      <c r="AD4156" t="s">
        <v>113</v>
      </c>
      <c r="AE4156" t="s">
        <v>3098</v>
      </c>
      <c r="AG4156" t="s">
        <v>121</v>
      </c>
    </row>
    <row r="4157" spans="1:33" x14ac:dyDescent="0.25">
      <c r="C4157" t="s">
        <v>21857</v>
      </c>
      <c r="G4157" t="s">
        <v>21858</v>
      </c>
      <c r="H4157" t="s">
        <v>21859</v>
      </c>
      <c r="J4157" t="s">
        <v>3094</v>
      </c>
      <c r="K4157" t="s">
        <v>303</v>
      </c>
      <c r="L4157" t="s">
        <v>3095</v>
      </c>
      <c r="M4157" t="s">
        <v>113</v>
      </c>
      <c r="N4157" t="s">
        <v>21860</v>
      </c>
      <c r="O4157" t="s">
        <v>3097</v>
      </c>
      <c r="P4157" t="s">
        <v>117</v>
      </c>
      <c r="Q4157" t="str">
        <f>"14212"</f>
        <v>14212</v>
      </c>
      <c r="AC4157" t="s">
        <v>119</v>
      </c>
      <c r="AD4157" t="s">
        <v>113</v>
      </c>
      <c r="AE4157" t="s">
        <v>3098</v>
      </c>
      <c r="AG4157" t="s">
        <v>121</v>
      </c>
    </row>
    <row r="4158" spans="1:33" x14ac:dyDescent="0.25">
      <c r="C4158" t="s">
        <v>21861</v>
      </c>
      <c r="G4158" t="s">
        <v>21862</v>
      </c>
      <c r="H4158" t="s">
        <v>21863</v>
      </c>
      <c r="J4158" t="s">
        <v>3094</v>
      </c>
      <c r="K4158" t="s">
        <v>303</v>
      </c>
      <c r="L4158" t="s">
        <v>3095</v>
      </c>
      <c r="M4158" t="s">
        <v>113</v>
      </c>
      <c r="N4158" t="s">
        <v>21864</v>
      </c>
      <c r="O4158" t="s">
        <v>3097</v>
      </c>
      <c r="P4158" t="s">
        <v>117</v>
      </c>
      <c r="Q4158" t="str">
        <f>"14204"</f>
        <v>14204</v>
      </c>
      <c r="AC4158" t="s">
        <v>119</v>
      </c>
      <c r="AD4158" t="s">
        <v>113</v>
      </c>
      <c r="AE4158" t="s">
        <v>3098</v>
      </c>
      <c r="AG4158" t="s">
        <v>121</v>
      </c>
    </row>
    <row r="4159" spans="1:33" x14ac:dyDescent="0.25">
      <c r="C4159" t="s">
        <v>21865</v>
      </c>
      <c r="G4159" t="s">
        <v>21866</v>
      </c>
      <c r="H4159" t="s">
        <v>21867</v>
      </c>
      <c r="J4159" t="s">
        <v>3094</v>
      </c>
      <c r="K4159" t="s">
        <v>303</v>
      </c>
      <c r="L4159" t="s">
        <v>3095</v>
      </c>
      <c r="M4159" t="s">
        <v>113</v>
      </c>
      <c r="N4159" t="s">
        <v>21868</v>
      </c>
      <c r="O4159" t="s">
        <v>3097</v>
      </c>
      <c r="P4159" t="s">
        <v>117</v>
      </c>
      <c r="Q4159" t="str">
        <f>"14203"</f>
        <v>14203</v>
      </c>
      <c r="AC4159" t="s">
        <v>119</v>
      </c>
      <c r="AD4159" t="s">
        <v>113</v>
      </c>
      <c r="AE4159" t="s">
        <v>3098</v>
      </c>
      <c r="AG4159" t="s">
        <v>121</v>
      </c>
    </row>
    <row r="4160" spans="1:33" x14ac:dyDescent="0.25">
      <c r="C4160" t="s">
        <v>21869</v>
      </c>
      <c r="G4160" t="s">
        <v>21870</v>
      </c>
      <c r="H4160" t="s">
        <v>21871</v>
      </c>
      <c r="J4160" t="s">
        <v>3094</v>
      </c>
      <c r="K4160" t="s">
        <v>303</v>
      </c>
      <c r="L4160" t="s">
        <v>3095</v>
      </c>
      <c r="M4160" t="s">
        <v>113</v>
      </c>
      <c r="N4160" t="s">
        <v>21872</v>
      </c>
      <c r="O4160" t="s">
        <v>3097</v>
      </c>
      <c r="P4160" t="s">
        <v>117</v>
      </c>
      <c r="Q4160" t="str">
        <f>"14204"</f>
        <v>14204</v>
      </c>
      <c r="AC4160" t="s">
        <v>119</v>
      </c>
      <c r="AD4160" t="s">
        <v>113</v>
      </c>
      <c r="AE4160" t="s">
        <v>3098</v>
      </c>
      <c r="AG4160" t="s">
        <v>121</v>
      </c>
    </row>
    <row r="4161" spans="3:33" x14ac:dyDescent="0.25">
      <c r="C4161" t="s">
        <v>21873</v>
      </c>
      <c r="G4161" t="s">
        <v>21874</v>
      </c>
      <c r="J4161" t="s">
        <v>3094</v>
      </c>
      <c r="K4161" t="s">
        <v>303</v>
      </c>
      <c r="L4161" t="s">
        <v>3095</v>
      </c>
      <c r="M4161" t="s">
        <v>113</v>
      </c>
      <c r="N4161" t="s">
        <v>21875</v>
      </c>
      <c r="O4161" t="s">
        <v>3097</v>
      </c>
      <c r="P4161" t="s">
        <v>117</v>
      </c>
      <c r="Q4161" t="str">
        <f>"14213"</f>
        <v>14213</v>
      </c>
      <c r="AC4161" t="s">
        <v>119</v>
      </c>
      <c r="AD4161" t="s">
        <v>113</v>
      </c>
      <c r="AE4161" t="s">
        <v>3098</v>
      </c>
      <c r="AG4161" t="s">
        <v>121</v>
      </c>
    </row>
    <row r="4162" spans="3:33" x14ac:dyDescent="0.25">
      <c r="C4162" t="s">
        <v>21876</v>
      </c>
      <c r="G4162" t="s">
        <v>21877</v>
      </c>
      <c r="H4162" t="s">
        <v>21878</v>
      </c>
      <c r="J4162" t="s">
        <v>3094</v>
      </c>
      <c r="K4162" t="s">
        <v>303</v>
      </c>
      <c r="L4162" t="s">
        <v>3095</v>
      </c>
      <c r="M4162" t="s">
        <v>113</v>
      </c>
      <c r="N4162" t="s">
        <v>21879</v>
      </c>
      <c r="O4162" t="s">
        <v>3139</v>
      </c>
      <c r="P4162" t="s">
        <v>117</v>
      </c>
      <c r="Q4162" t="str">
        <f>"14218"</f>
        <v>14218</v>
      </c>
      <c r="AC4162" t="s">
        <v>119</v>
      </c>
      <c r="AD4162" t="s">
        <v>113</v>
      </c>
      <c r="AE4162" t="s">
        <v>3098</v>
      </c>
      <c r="AG4162" t="s">
        <v>121</v>
      </c>
    </row>
    <row r="4163" spans="3:33" x14ac:dyDescent="0.25">
      <c r="C4163" t="s">
        <v>21880</v>
      </c>
      <c r="G4163" t="s">
        <v>21881</v>
      </c>
      <c r="H4163" t="s">
        <v>21882</v>
      </c>
      <c r="J4163" t="s">
        <v>3094</v>
      </c>
      <c r="K4163" t="s">
        <v>303</v>
      </c>
      <c r="L4163" t="s">
        <v>3095</v>
      </c>
      <c r="M4163" t="s">
        <v>113</v>
      </c>
      <c r="N4163" t="s">
        <v>21883</v>
      </c>
      <c r="O4163" t="s">
        <v>3097</v>
      </c>
      <c r="P4163" t="s">
        <v>117</v>
      </c>
      <c r="Q4163" t="str">
        <f>"14208"</f>
        <v>14208</v>
      </c>
      <c r="AC4163" t="s">
        <v>119</v>
      </c>
      <c r="AD4163" t="s">
        <v>113</v>
      </c>
      <c r="AE4163" t="s">
        <v>3098</v>
      </c>
      <c r="AG4163" t="s">
        <v>121</v>
      </c>
    </row>
    <row r="4164" spans="3:33" x14ac:dyDescent="0.25">
      <c r="C4164" t="s">
        <v>21884</v>
      </c>
      <c r="G4164" t="s">
        <v>21885</v>
      </c>
      <c r="H4164" t="s">
        <v>21886</v>
      </c>
      <c r="J4164" t="s">
        <v>3094</v>
      </c>
      <c r="K4164" t="s">
        <v>303</v>
      </c>
      <c r="L4164" t="s">
        <v>3095</v>
      </c>
      <c r="M4164" t="s">
        <v>113</v>
      </c>
      <c r="N4164" t="s">
        <v>21887</v>
      </c>
      <c r="O4164" t="s">
        <v>3097</v>
      </c>
      <c r="P4164" t="s">
        <v>117</v>
      </c>
      <c r="Q4164" t="str">
        <f>"14215"</f>
        <v>14215</v>
      </c>
      <c r="AC4164" t="s">
        <v>119</v>
      </c>
      <c r="AD4164" t="s">
        <v>113</v>
      </c>
      <c r="AE4164" t="s">
        <v>3098</v>
      </c>
      <c r="AG4164" t="s">
        <v>121</v>
      </c>
    </row>
    <row r="4165" spans="3:33" x14ac:dyDescent="0.25">
      <c r="C4165" t="s">
        <v>21888</v>
      </c>
      <c r="G4165" t="s">
        <v>21889</v>
      </c>
      <c r="H4165" t="s">
        <v>21890</v>
      </c>
      <c r="J4165" t="s">
        <v>3094</v>
      </c>
      <c r="K4165" t="s">
        <v>303</v>
      </c>
      <c r="L4165" t="s">
        <v>3095</v>
      </c>
      <c r="M4165" t="s">
        <v>113</v>
      </c>
      <c r="N4165" t="s">
        <v>21891</v>
      </c>
      <c r="O4165" t="s">
        <v>3097</v>
      </c>
      <c r="P4165" t="s">
        <v>117</v>
      </c>
      <c r="Q4165" t="str">
        <f>"14211"</f>
        <v>14211</v>
      </c>
      <c r="AC4165" t="s">
        <v>119</v>
      </c>
      <c r="AD4165" t="s">
        <v>113</v>
      </c>
      <c r="AE4165" t="s">
        <v>3098</v>
      </c>
      <c r="AG4165" t="s">
        <v>121</v>
      </c>
    </row>
    <row r="4166" spans="3:33" x14ac:dyDescent="0.25">
      <c r="C4166" t="s">
        <v>21892</v>
      </c>
      <c r="G4166" t="s">
        <v>21893</v>
      </c>
      <c r="H4166" t="s">
        <v>21894</v>
      </c>
      <c r="J4166" t="s">
        <v>3094</v>
      </c>
      <c r="K4166" t="s">
        <v>303</v>
      </c>
      <c r="L4166" t="s">
        <v>3095</v>
      </c>
      <c r="M4166" t="s">
        <v>113</v>
      </c>
      <c r="N4166" t="s">
        <v>21895</v>
      </c>
      <c r="O4166" t="s">
        <v>3097</v>
      </c>
      <c r="P4166" t="s">
        <v>117</v>
      </c>
      <c r="Q4166" t="str">
        <f>"14215"</f>
        <v>14215</v>
      </c>
      <c r="AC4166" t="s">
        <v>119</v>
      </c>
      <c r="AD4166" t="s">
        <v>113</v>
      </c>
      <c r="AE4166" t="s">
        <v>3098</v>
      </c>
      <c r="AG4166" t="s">
        <v>121</v>
      </c>
    </row>
    <row r="4167" spans="3:33" x14ac:dyDescent="0.25">
      <c r="C4167" t="s">
        <v>21896</v>
      </c>
      <c r="G4167" t="s">
        <v>21897</v>
      </c>
      <c r="H4167" t="s">
        <v>21898</v>
      </c>
      <c r="J4167" t="s">
        <v>3094</v>
      </c>
      <c r="K4167" t="s">
        <v>303</v>
      </c>
      <c r="L4167" t="s">
        <v>3095</v>
      </c>
      <c r="M4167" t="s">
        <v>113</v>
      </c>
      <c r="N4167" t="s">
        <v>21899</v>
      </c>
      <c r="O4167" t="s">
        <v>3097</v>
      </c>
      <c r="P4167" t="s">
        <v>117</v>
      </c>
      <c r="Q4167" t="str">
        <f>"14204"</f>
        <v>14204</v>
      </c>
      <c r="AC4167" t="s">
        <v>119</v>
      </c>
      <c r="AD4167" t="s">
        <v>113</v>
      </c>
      <c r="AE4167" t="s">
        <v>3098</v>
      </c>
      <c r="AG4167" t="s">
        <v>121</v>
      </c>
    </row>
    <row r="4168" spans="3:33" x14ac:dyDescent="0.25">
      <c r="C4168" t="s">
        <v>21900</v>
      </c>
      <c r="G4168" t="s">
        <v>21901</v>
      </c>
      <c r="H4168" t="s">
        <v>21902</v>
      </c>
      <c r="J4168" t="s">
        <v>3094</v>
      </c>
      <c r="K4168" t="s">
        <v>303</v>
      </c>
      <c r="L4168" t="s">
        <v>3095</v>
      </c>
      <c r="M4168" t="s">
        <v>113</v>
      </c>
      <c r="N4168" t="s">
        <v>21903</v>
      </c>
      <c r="O4168" t="s">
        <v>3097</v>
      </c>
      <c r="P4168" t="s">
        <v>117</v>
      </c>
      <c r="Q4168" t="str">
        <f>"14208"</f>
        <v>14208</v>
      </c>
      <c r="AC4168" t="s">
        <v>119</v>
      </c>
      <c r="AD4168" t="s">
        <v>113</v>
      </c>
      <c r="AE4168" t="s">
        <v>3098</v>
      </c>
      <c r="AG4168" t="s">
        <v>121</v>
      </c>
    </row>
    <row r="4169" spans="3:33" x14ac:dyDescent="0.25">
      <c r="C4169" t="s">
        <v>21904</v>
      </c>
      <c r="G4169" t="s">
        <v>21905</v>
      </c>
      <c r="H4169" t="s">
        <v>21906</v>
      </c>
      <c r="J4169" t="s">
        <v>21907</v>
      </c>
      <c r="K4169" t="s">
        <v>303</v>
      </c>
      <c r="L4169" t="s">
        <v>3095</v>
      </c>
      <c r="M4169" t="s">
        <v>113</v>
      </c>
      <c r="N4169" t="s">
        <v>21908</v>
      </c>
      <c r="O4169" t="s">
        <v>3097</v>
      </c>
      <c r="P4169" t="s">
        <v>117</v>
      </c>
      <c r="Q4169" t="str">
        <f>"14209"</f>
        <v>14209</v>
      </c>
      <c r="AC4169" t="s">
        <v>119</v>
      </c>
      <c r="AD4169" t="s">
        <v>113</v>
      </c>
      <c r="AE4169" t="s">
        <v>3098</v>
      </c>
      <c r="AG4169" t="s">
        <v>121</v>
      </c>
    </row>
    <row r="4170" spans="3:33" x14ac:dyDescent="0.25">
      <c r="C4170" t="s">
        <v>21909</v>
      </c>
      <c r="G4170" t="s">
        <v>21905</v>
      </c>
      <c r="H4170" t="s">
        <v>21910</v>
      </c>
      <c r="J4170" t="s">
        <v>21907</v>
      </c>
      <c r="K4170" t="s">
        <v>303</v>
      </c>
      <c r="L4170" t="s">
        <v>3095</v>
      </c>
      <c r="M4170" t="s">
        <v>113</v>
      </c>
      <c r="N4170" t="s">
        <v>21911</v>
      </c>
      <c r="O4170" t="s">
        <v>21912</v>
      </c>
      <c r="P4170" t="s">
        <v>117</v>
      </c>
      <c r="Q4170" t="str">
        <f>"14008"</f>
        <v>14008</v>
      </c>
      <c r="AC4170" t="s">
        <v>119</v>
      </c>
      <c r="AD4170" t="s">
        <v>113</v>
      </c>
      <c r="AE4170" t="s">
        <v>3098</v>
      </c>
      <c r="AG4170" t="s">
        <v>121</v>
      </c>
    </row>
    <row r="4171" spans="3:33" x14ac:dyDescent="0.25">
      <c r="C4171" t="s">
        <v>21913</v>
      </c>
      <c r="G4171" t="s">
        <v>21905</v>
      </c>
      <c r="H4171" t="s">
        <v>21914</v>
      </c>
      <c r="I4171">
        <v>208</v>
      </c>
      <c r="J4171" t="s">
        <v>21907</v>
      </c>
      <c r="K4171" t="s">
        <v>303</v>
      </c>
      <c r="L4171" t="s">
        <v>3095</v>
      </c>
      <c r="M4171" t="s">
        <v>113</v>
      </c>
      <c r="N4171" t="s">
        <v>21915</v>
      </c>
      <c r="O4171" t="s">
        <v>3097</v>
      </c>
      <c r="P4171" t="s">
        <v>117</v>
      </c>
      <c r="Q4171" t="str">
        <f>"14209"</f>
        <v>14209</v>
      </c>
      <c r="AC4171" t="s">
        <v>119</v>
      </c>
      <c r="AD4171" t="s">
        <v>113</v>
      </c>
      <c r="AE4171" t="s">
        <v>3098</v>
      </c>
      <c r="AG4171" t="s">
        <v>121</v>
      </c>
    </row>
    <row r="4172" spans="3:33" x14ac:dyDescent="0.25">
      <c r="C4172" t="s">
        <v>21916</v>
      </c>
      <c r="G4172" t="s">
        <v>21905</v>
      </c>
      <c r="H4172" t="s">
        <v>21917</v>
      </c>
      <c r="J4172" t="s">
        <v>21907</v>
      </c>
      <c r="K4172" t="s">
        <v>303</v>
      </c>
      <c r="L4172" t="s">
        <v>3095</v>
      </c>
      <c r="M4172" t="s">
        <v>113</v>
      </c>
      <c r="N4172" t="s">
        <v>21918</v>
      </c>
      <c r="O4172" t="s">
        <v>3097</v>
      </c>
      <c r="P4172" t="s">
        <v>117</v>
      </c>
      <c r="Q4172" t="str">
        <f>"14208"</f>
        <v>14208</v>
      </c>
      <c r="AC4172" t="s">
        <v>119</v>
      </c>
      <c r="AD4172" t="s">
        <v>113</v>
      </c>
      <c r="AE4172" t="s">
        <v>3098</v>
      </c>
      <c r="AG4172" t="s">
        <v>121</v>
      </c>
    </row>
    <row r="4173" spans="3:33" x14ac:dyDescent="0.25">
      <c r="C4173" t="s">
        <v>21919</v>
      </c>
      <c r="G4173" t="s">
        <v>21905</v>
      </c>
      <c r="H4173" t="s">
        <v>21920</v>
      </c>
      <c r="J4173" t="s">
        <v>21907</v>
      </c>
      <c r="K4173" t="s">
        <v>303</v>
      </c>
      <c r="L4173" t="s">
        <v>3095</v>
      </c>
      <c r="M4173" t="s">
        <v>113</v>
      </c>
      <c r="N4173" t="s">
        <v>21921</v>
      </c>
      <c r="O4173" t="s">
        <v>3097</v>
      </c>
      <c r="P4173" t="s">
        <v>117</v>
      </c>
      <c r="Q4173" t="str">
        <f>"14211"</f>
        <v>14211</v>
      </c>
      <c r="AC4173" t="s">
        <v>119</v>
      </c>
      <c r="AD4173" t="s">
        <v>113</v>
      </c>
      <c r="AE4173" t="s">
        <v>3098</v>
      </c>
      <c r="AG4173" t="s">
        <v>121</v>
      </c>
    </row>
    <row r="4174" spans="3:33" x14ac:dyDescent="0.25">
      <c r="C4174" t="s">
        <v>21922</v>
      </c>
      <c r="G4174" t="s">
        <v>21905</v>
      </c>
      <c r="H4174" t="s">
        <v>21923</v>
      </c>
      <c r="J4174" t="s">
        <v>21907</v>
      </c>
      <c r="K4174" t="s">
        <v>303</v>
      </c>
      <c r="L4174" t="s">
        <v>3095</v>
      </c>
      <c r="M4174" t="s">
        <v>113</v>
      </c>
      <c r="N4174" t="s">
        <v>21924</v>
      </c>
      <c r="O4174" t="s">
        <v>3097</v>
      </c>
      <c r="P4174" t="s">
        <v>117</v>
      </c>
      <c r="Q4174" t="str">
        <f>"14204"</f>
        <v>14204</v>
      </c>
      <c r="AC4174" t="s">
        <v>119</v>
      </c>
      <c r="AD4174" t="s">
        <v>113</v>
      </c>
      <c r="AE4174" t="s">
        <v>3098</v>
      </c>
      <c r="AG4174" t="s">
        <v>121</v>
      </c>
    </row>
    <row r="4175" spans="3:33" x14ac:dyDescent="0.25">
      <c r="C4175" t="s">
        <v>21925</v>
      </c>
      <c r="G4175" t="s">
        <v>21905</v>
      </c>
      <c r="H4175" t="s">
        <v>5038</v>
      </c>
      <c r="J4175" t="s">
        <v>21907</v>
      </c>
      <c r="K4175" t="s">
        <v>303</v>
      </c>
      <c r="L4175" t="s">
        <v>3095</v>
      </c>
      <c r="M4175" t="s">
        <v>113</v>
      </c>
      <c r="N4175" t="s">
        <v>21926</v>
      </c>
      <c r="O4175" t="s">
        <v>3097</v>
      </c>
      <c r="P4175" t="s">
        <v>117</v>
      </c>
      <c r="Q4175" t="str">
        <f>"14203"</f>
        <v>14203</v>
      </c>
      <c r="AC4175" t="s">
        <v>119</v>
      </c>
      <c r="AD4175" t="s">
        <v>113</v>
      </c>
      <c r="AE4175" t="s">
        <v>3098</v>
      </c>
      <c r="AG4175" t="s">
        <v>121</v>
      </c>
    </row>
    <row r="4176" spans="3:33" x14ac:dyDescent="0.25">
      <c r="C4176" t="s">
        <v>21927</v>
      </c>
      <c r="G4176" t="s">
        <v>21905</v>
      </c>
      <c r="H4176" t="s">
        <v>21928</v>
      </c>
      <c r="J4176" t="s">
        <v>21907</v>
      </c>
      <c r="K4176" t="s">
        <v>303</v>
      </c>
      <c r="L4176" t="s">
        <v>3095</v>
      </c>
      <c r="M4176" t="s">
        <v>113</v>
      </c>
      <c r="N4176" t="s">
        <v>21929</v>
      </c>
      <c r="O4176" t="s">
        <v>20882</v>
      </c>
      <c r="P4176" t="s">
        <v>117</v>
      </c>
      <c r="Q4176" t="str">
        <f>"14150"</f>
        <v>14150</v>
      </c>
      <c r="AC4176" t="s">
        <v>119</v>
      </c>
      <c r="AD4176" t="s">
        <v>113</v>
      </c>
      <c r="AE4176" t="s">
        <v>3098</v>
      </c>
      <c r="AG4176" t="s">
        <v>121</v>
      </c>
    </row>
    <row r="4177" spans="1:33" x14ac:dyDescent="0.25">
      <c r="C4177" t="s">
        <v>12472</v>
      </c>
      <c r="G4177" t="s">
        <v>12472</v>
      </c>
      <c r="J4177" t="s">
        <v>352</v>
      </c>
      <c r="K4177" t="s">
        <v>303</v>
      </c>
      <c r="L4177" t="s">
        <v>3095</v>
      </c>
      <c r="M4177" t="s">
        <v>113</v>
      </c>
      <c r="AC4177" t="s">
        <v>119</v>
      </c>
      <c r="AD4177" t="s">
        <v>113</v>
      </c>
      <c r="AE4177" t="s">
        <v>3098</v>
      </c>
      <c r="AG4177" t="s">
        <v>121</v>
      </c>
    </row>
    <row r="4178" spans="1:33" x14ac:dyDescent="0.25">
      <c r="C4178" t="s">
        <v>1127</v>
      </c>
      <c r="G4178" t="s">
        <v>1127</v>
      </c>
      <c r="J4178" t="s">
        <v>352</v>
      </c>
      <c r="K4178" t="s">
        <v>303</v>
      </c>
      <c r="L4178" t="s">
        <v>3095</v>
      </c>
      <c r="M4178" t="s">
        <v>113</v>
      </c>
      <c r="AC4178" t="s">
        <v>119</v>
      </c>
      <c r="AD4178" t="s">
        <v>113</v>
      </c>
      <c r="AE4178" t="s">
        <v>3098</v>
      </c>
      <c r="AG4178" t="s">
        <v>121</v>
      </c>
    </row>
    <row r="4179" spans="1:33" x14ac:dyDescent="0.25">
      <c r="C4179" t="s">
        <v>5876</v>
      </c>
      <c r="G4179" t="s">
        <v>5876</v>
      </c>
      <c r="J4179" t="s">
        <v>352</v>
      </c>
      <c r="K4179" t="s">
        <v>303</v>
      </c>
      <c r="L4179" t="s">
        <v>3095</v>
      </c>
      <c r="M4179" t="s">
        <v>113</v>
      </c>
      <c r="AC4179" t="s">
        <v>119</v>
      </c>
      <c r="AD4179" t="s">
        <v>113</v>
      </c>
      <c r="AE4179" t="s">
        <v>3098</v>
      </c>
      <c r="AG4179" t="s">
        <v>121</v>
      </c>
    </row>
    <row r="4180" spans="1:33" x14ac:dyDescent="0.25">
      <c r="C4180" t="s">
        <v>12309</v>
      </c>
      <c r="G4180" t="s">
        <v>12309</v>
      </c>
      <c r="J4180" t="s">
        <v>352</v>
      </c>
      <c r="K4180" t="s">
        <v>303</v>
      </c>
      <c r="L4180" t="s">
        <v>3095</v>
      </c>
      <c r="M4180" t="s">
        <v>113</v>
      </c>
      <c r="AC4180" t="s">
        <v>119</v>
      </c>
      <c r="AD4180" t="s">
        <v>113</v>
      </c>
      <c r="AE4180" t="s">
        <v>3098</v>
      </c>
      <c r="AG4180" t="s">
        <v>121</v>
      </c>
    </row>
    <row r="4181" spans="1:33" x14ac:dyDescent="0.25">
      <c r="C4181" t="s">
        <v>9582</v>
      </c>
      <c r="G4181" t="s">
        <v>9582</v>
      </c>
      <c r="J4181" t="s">
        <v>352</v>
      </c>
      <c r="K4181" t="s">
        <v>303</v>
      </c>
      <c r="L4181" t="s">
        <v>3095</v>
      </c>
      <c r="M4181" t="s">
        <v>113</v>
      </c>
      <c r="AC4181" t="s">
        <v>119</v>
      </c>
      <c r="AD4181" t="s">
        <v>113</v>
      </c>
      <c r="AE4181" t="s">
        <v>3098</v>
      </c>
      <c r="AG4181" t="s">
        <v>121</v>
      </c>
    </row>
    <row r="4182" spans="1:33" x14ac:dyDescent="0.25">
      <c r="C4182" t="s">
        <v>10070</v>
      </c>
      <c r="G4182" t="s">
        <v>10070</v>
      </c>
      <c r="J4182" t="s">
        <v>352</v>
      </c>
      <c r="K4182" t="s">
        <v>303</v>
      </c>
      <c r="L4182" t="s">
        <v>3095</v>
      </c>
      <c r="M4182" t="s">
        <v>113</v>
      </c>
      <c r="AC4182" t="s">
        <v>119</v>
      </c>
      <c r="AD4182" t="s">
        <v>113</v>
      </c>
      <c r="AE4182" t="s">
        <v>3098</v>
      </c>
      <c r="AG4182" t="s">
        <v>121</v>
      </c>
    </row>
    <row r="4183" spans="1:33" x14ac:dyDescent="0.25">
      <c r="C4183" t="s">
        <v>10143</v>
      </c>
      <c r="G4183" t="s">
        <v>10143</v>
      </c>
      <c r="J4183" t="s">
        <v>352</v>
      </c>
      <c r="K4183" t="s">
        <v>303</v>
      </c>
      <c r="L4183" t="s">
        <v>3095</v>
      </c>
      <c r="M4183" t="s">
        <v>113</v>
      </c>
      <c r="AC4183" t="s">
        <v>119</v>
      </c>
      <c r="AD4183" t="s">
        <v>113</v>
      </c>
      <c r="AE4183" t="s">
        <v>3098</v>
      </c>
      <c r="AG4183" t="s">
        <v>121</v>
      </c>
    </row>
    <row r="4184" spans="1:33" x14ac:dyDescent="0.25">
      <c r="C4184" t="s">
        <v>1924</v>
      </c>
      <c r="G4184" t="s">
        <v>1924</v>
      </c>
      <c r="J4184" t="s">
        <v>352</v>
      </c>
      <c r="K4184" t="s">
        <v>303</v>
      </c>
      <c r="L4184" t="s">
        <v>3095</v>
      </c>
      <c r="M4184" t="s">
        <v>113</v>
      </c>
      <c r="AC4184" t="s">
        <v>119</v>
      </c>
      <c r="AD4184" t="s">
        <v>113</v>
      </c>
      <c r="AE4184" t="s">
        <v>3098</v>
      </c>
      <c r="AG4184" t="s">
        <v>121</v>
      </c>
    </row>
    <row r="4185" spans="1:33" x14ac:dyDescent="0.25">
      <c r="C4185" t="s">
        <v>9175</v>
      </c>
      <c r="G4185" t="s">
        <v>9175</v>
      </c>
      <c r="J4185" t="s">
        <v>352</v>
      </c>
      <c r="K4185" t="s">
        <v>303</v>
      </c>
      <c r="L4185" t="s">
        <v>3095</v>
      </c>
      <c r="M4185" t="s">
        <v>113</v>
      </c>
      <c r="AC4185" t="s">
        <v>119</v>
      </c>
      <c r="AD4185" t="s">
        <v>113</v>
      </c>
      <c r="AE4185" t="s">
        <v>3098</v>
      </c>
      <c r="AG4185" t="s">
        <v>121</v>
      </c>
    </row>
    <row r="4186" spans="1:33" x14ac:dyDescent="0.25">
      <c r="A4186" t="str">
        <f>"1801842844"</f>
        <v>1801842844</v>
      </c>
      <c r="B4186" t="str">
        <f>"02212706"</f>
        <v>02212706</v>
      </c>
      <c r="C4186" t="s">
        <v>21930</v>
      </c>
      <c r="D4186" t="s">
        <v>21931</v>
      </c>
      <c r="E4186" t="s">
        <v>21932</v>
      </c>
      <c r="G4186" t="s">
        <v>21930</v>
      </c>
      <c r="H4186" t="s">
        <v>21933</v>
      </c>
      <c r="J4186" t="s">
        <v>21934</v>
      </c>
      <c r="L4186" t="s">
        <v>112</v>
      </c>
      <c r="M4186" t="s">
        <v>113</v>
      </c>
      <c r="R4186" t="s">
        <v>21935</v>
      </c>
      <c r="W4186" t="s">
        <v>21932</v>
      </c>
      <c r="X4186" t="s">
        <v>13103</v>
      </c>
      <c r="Y4186" t="s">
        <v>362</v>
      </c>
      <c r="Z4186" t="s">
        <v>117</v>
      </c>
      <c r="AA4186" t="str">
        <f>"14108-1093"</f>
        <v>14108-1093</v>
      </c>
      <c r="AB4186" t="s">
        <v>118</v>
      </c>
      <c r="AC4186" t="s">
        <v>119</v>
      </c>
      <c r="AD4186" t="s">
        <v>113</v>
      </c>
      <c r="AE4186" t="s">
        <v>120</v>
      </c>
      <c r="AG4186" t="s">
        <v>121</v>
      </c>
    </row>
    <row r="4187" spans="1:33" x14ac:dyDescent="0.25">
      <c r="A4187" t="str">
        <f>"1801851803"</f>
        <v>1801851803</v>
      </c>
      <c r="B4187" t="str">
        <f>"00693949"</f>
        <v>00693949</v>
      </c>
      <c r="C4187" t="s">
        <v>21936</v>
      </c>
      <c r="D4187" t="s">
        <v>21937</v>
      </c>
      <c r="E4187" t="s">
        <v>21938</v>
      </c>
      <c r="G4187" t="s">
        <v>21936</v>
      </c>
      <c r="H4187" t="s">
        <v>205</v>
      </c>
      <c r="J4187" t="s">
        <v>21939</v>
      </c>
      <c r="L4187" t="s">
        <v>142</v>
      </c>
      <c r="M4187" t="s">
        <v>113</v>
      </c>
      <c r="R4187" t="s">
        <v>21940</v>
      </c>
      <c r="W4187" t="s">
        <v>21938</v>
      </c>
      <c r="Y4187" t="s">
        <v>116</v>
      </c>
      <c r="Z4187" t="s">
        <v>117</v>
      </c>
      <c r="AA4187" t="str">
        <f>"14220-2095"</f>
        <v>14220-2095</v>
      </c>
      <c r="AB4187" t="s">
        <v>118</v>
      </c>
      <c r="AC4187" t="s">
        <v>119</v>
      </c>
      <c r="AD4187" t="s">
        <v>113</v>
      </c>
      <c r="AE4187" t="s">
        <v>120</v>
      </c>
      <c r="AG4187" t="s">
        <v>121</v>
      </c>
    </row>
    <row r="4188" spans="1:33" x14ac:dyDescent="0.25">
      <c r="A4188" t="str">
        <f>"1801852512"</f>
        <v>1801852512</v>
      </c>
      <c r="B4188" t="str">
        <f>"02526194"</f>
        <v>02526194</v>
      </c>
      <c r="C4188" t="s">
        <v>21941</v>
      </c>
      <c r="D4188" t="s">
        <v>21942</v>
      </c>
      <c r="E4188" t="s">
        <v>21943</v>
      </c>
      <c r="G4188" t="s">
        <v>21944</v>
      </c>
      <c r="H4188" t="s">
        <v>213</v>
      </c>
      <c r="J4188" t="s">
        <v>21945</v>
      </c>
      <c r="L4188" t="s">
        <v>142</v>
      </c>
      <c r="M4188" t="s">
        <v>113</v>
      </c>
      <c r="R4188" t="s">
        <v>21946</v>
      </c>
      <c r="W4188" t="s">
        <v>21943</v>
      </c>
      <c r="X4188" t="s">
        <v>216</v>
      </c>
      <c r="Y4188" t="s">
        <v>116</v>
      </c>
      <c r="Z4188" t="s">
        <v>117</v>
      </c>
      <c r="AA4188" t="str">
        <f>"14222-2006"</f>
        <v>14222-2006</v>
      </c>
      <c r="AB4188" t="s">
        <v>118</v>
      </c>
      <c r="AC4188" t="s">
        <v>119</v>
      </c>
      <c r="AD4188" t="s">
        <v>113</v>
      </c>
      <c r="AE4188" t="s">
        <v>120</v>
      </c>
      <c r="AG4188" t="s">
        <v>121</v>
      </c>
    </row>
    <row r="4189" spans="1:33" x14ac:dyDescent="0.25">
      <c r="A4189" t="str">
        <f>"1801852777"</f>
        <v>1801852777</v>
      </c>
      <c r="B4189" t="str">
        <f>"02073210"</f>
        <v>02073210</v>
      </c>
      <c r="C4189" t="s">
        <v>21947</v>
      </c>
      <c r="D4189" t="s">
        <v>21948</v>
      </c>
      <c r="E4189" t="s">
        <v>21949</v>
      </c>
      <c r="G4189" t="s">
        <v>21950</v>
      </c>
      <c r="H4189" t="s">
        <v>21951</v>
      </c>
      <c r="J4189" t="s">
        <v>21952</v>
      </c>
      <c r="L4189" t="s">
        <v>142</v>
      </c>
      <c r="M4189" t="s">
        <v>113</v>
      </c>
      <c r="R4189" t="s">
        <v>21953</v>
      </c>
      <c r="W4189" t="s">
        <v>21949</v>
      </c>
      <c r="X4189" t="s">
        <v>136</v>
      </c>
      <c r="Y4189" t="s">
        <v>116</v>
      </c>
      <c r="Z4189" t="s">
        <v>117</v>
      </c>
      <c r="AA4189" t="str">
        <f>"14209-1120"</f>
        <v>14209-1120</v>
      </c>
      <c r="AB4189" t="s">
        <v>118</v>
      </c>
      <c r="AC4189" t="s">
        <v>119</v>
      </c>
      <c r="AD4189" t="s">
        <v>113</v>
      </c>
      <c r="AE4189" t="s">
        <v>120</v>
      </c>
      <c r="AG4189" t="s">
        <v>121</v>
      </c>
    </row>
    <row r="4190" spans="1:33" x14ac:dyDescent="0.25">
      <c r="A4190" t="str">
        <f>"1801852876"</f>
        <v>1801852876</v>
      </c>
      <c r="B4190" t="str">
        <f>"01195468"</f>
        <v>01195468</v>
      </c>
      <c r="C4190" t="s">
        <v>21954</v>
      </c>
      <c r="D4190" t="s">
        <v>21955</v>
      </c>
      <c r="E4190" t="s">
        <v>21956</v>
      </c>
      <c r="G4190" t="s">
        <v>21954</v>
      </c>
      <c r="H4190" t="s">
        <v>707</v>
      </c>
      <c r="J4190" t="s">
        <v>21957</v>
      </c>
      <c r="L4190" t="s">
        <v>142</v>
      </c>
      <c r="M4190" t="s">
        <v>113</v>
      </c>
      <c r="R4190" t="s">
        <v>21958</v>
      </c>
      <c r="W4190" t="s">
        <v>21959</v>
      </c>
      <c r="X4190" t="s">
        <v>2721</v>
      </c>
      <c r="Y4190" t="s">
        <v>326</v>
      </c>
      <c r="Z4190" t="s">
        <v>117</v>
      </c>
      <c r="AA4190" t="str">
        <f>"14127-1853"</f>
        <v>14127-1853</v>
      </c>
      <c r="AB4190" t="s">
        <v>118</v>
      </c>
      <c r="AC4190" t="s">
        <v>119</v>
      </c>
      <c r="AD4190" t="s">
        <v>113</v>
      </c>
      <c r="AE4190" t="s">
        <v>120</v>
      </c>
      <c r="AG4190" t="s">
        <v>121</v>
      </c>
    </row>
    <row r="4191" spans="1:33" x14ac:dyDescent="0.25">
      <c r="B4191" t="str">
        <f>"01490871"</f>
        <v>01490871</v>
      </c>
      <c r="C4191" t="s">
        <v>18508</v>
      </c>
      <c r="D4191" t="s">
        <v>18509</v>
      </c>
      <c r="E4191" t="s">
        <v>18508</v>
      </c>
      <c r="F4191">
        <v>161146128</v>
      </c>
      <c r="L4191" t="s">
        <v>69</v>
      </c>
      <c r="M4191" t="s">
        <v>199</v>
      </c>
      <c r="W4191" t="s">
        <v>18508</v>
      </c>
      <c r="X4191" t="s">
        <v>18510</v>
      </c>
      <c r="Y4191" t="s">
        <v>512</v>
      </c>
      <c r="Z4191" t="s">
        <v>117</v>
      </c>
      <c r="AA4191" t="str">
        <f>"14092-1726"</f>
        <v>14092-1726</v>
      </c>
      <c r="AB4191" t="s">
        <v>291</v>
      </c>
      <c r="AC4191" t="s">
        <v>119</v>
      </c>
      <c r="AD4191" t="s">
        <v>113</v>
      </c>
      <c r="AE4191" t="s">
        <v>120</v>
      </c>
      <c r="AG4191" t="s">
        <v>121</v>
      </c>
    </row>
    <row r="4192" spans="1:33" x14ac:dyDescent="0.25">
      <c r="A4192" t="str">
        <f>"1992963532"</f>
        <v>1992963532</v>
      </c>
      <c r="C4192" t="s">
        <v>21963</v>
      </c>
      <c r="G4192" t="s">
        <v>21964</v>
      </c>
      <c r="H4192" t="s">
        <v>1071</v>
      </c>
      <c r="J4192" t="s">
        <v>438</v>
      </c>
      <c r="K4192" t="s">
        <v>303</v>
      </c>
      <c r="L4192" t="s">
        <v>112</v>
      </c>
      <c r="M4192" t="s">
        <v>113</v>
      </c>
      <c r="R4192" t="s">
        <v>21965</v>
      </c>
      <c r="S4192" t="s">
        <v>1994</v>
      </c>
      <c r="T4192" t="s">
        <v>116</v>
      </c>
      <c r="U4192" t="s">
        <v>117</v>
      </c>
      <c r="V4192" t="str">
        <f>"142041811"</f>
        <v>142041811</v>
      </c>
      <c r="AC4192" t="s">
        <v>119</v>
      </c>
      <c r="AD4192" t="s">
        <v>113</v>
      </c>
      <c r="AE4192" t="s">
        <v>306</v>
      </c>
      <c r="AG4192" t="s">
        <v>121</v>
      </c>
    </row>
    <row r="4193" spans="1:33" x14ac:dyDescent="0.25">
      <c r="A4193" t="str">
        <f>"1992969919"</f>
        <v>1992969919</v>
      </c>
      <c r="B4193" t="str">
        <f>"03223049"</f>
        <v>03223049</v>
      </c>
      <c r="C4193" t="s">
        <v>21966</v>
      </c>
      <c r="D4193" t="s">
        <v>21967</v>
      </c>
      <c r="E4193" t="s">
        <v>21968</v>
      </c>
      <c r="G4193" t="s">
        <v>21966</v>
      </c>
      <c r="H4193" t="s">
        <v>21969</v>
      </c>
      <c r="J4193" t="s">
        <v>21970</v>
      </c>
      <c r="L4193" t="s">
        <v>142</v>
      </c>
      <c r="M4193" t="s">
        <v>113</v>
      </c>
      <c r="R4193" t="s">
        <v>21968</v>
      </c>
      <c r="W4193" t="s">
        <v>21971</v>
      </c>
      <c r="X4193" t="s">
        <v>216</v>
      </c>
      <c r="Y4193" t="s">
        <v>116</v>
      </c>
      <c r="Z4193" t="s">
        <v>117</v>
      </c>
      <c r="AA4193" t="str">
        <f>"14222-2006"</f>
        <v>14222-2006</v>
      </c>
      <c r="AB4193" t="s">
        <v>118</v>
      </c>
      <c r="AC4193" t="s">
        <v>119</v>
      </c>
      <c r="AD4193" t="s">
        <v>113</v>
      </c>
      <c r="AE4193" t="s">
        <v>120</v>
      </c>
      <c r="AG4193" t="s">
        <v>121</v>
      </c>
    </row>
    <row r="4194" spans="1:33" x14ac:dyDescent="0.25">
      <c r="A4194" t="str">
        <f>"1871579003"</f>
        <v>1871579003</v>
      </c>
      <c r="B4194" t="str">
        <f>"02686428"</f>
        <v>02686428</v>
      </c>
      <c r="C4194" t="s">
        <v>21972</v>
      </c>
      <c r="D4194" t="s">
        <v>21973</v>
      </c>
      <c r="E4194" t="s">
        <v>21974</v>
      </c>
      <c r="H4194" t="s">
        <v>7348</v>
      </c>
      <c r="L4194" t="s">
        <v>142</v>
      </c>
      <c r="M4194" t="s">
        <v>113</v>
      </c>
      <c r="R4194" t="s">
        <v>21975</v>
      </c>
      <c r="W4194" t="s">
        <v>21974</v>
      </c>
      <c r="X4194" t="s">
        <v>21976</v>
      </c>
      <c r="Y4194" t="s">
        <v>512</v>
      </c>
      <c r="Z4194" t="s">
        <v>117</v>
      </c>
      <c r="AA4194" t="str">
        <f>"14092-2149"</f>
        <v>14092-2149</v>
      </c>
      <c r="AB4194" t="s">
        <v>118</v>
      </c>
      <c r="AC4194" t="s">
        <v>119</v>
      </c>
      <c r="AD4194" t="s">
        <v>113</v>
      </c>
      <c r="AE4194" t="s">
        <v>120</v>
      </c>
      <c r="AG4194" t="s">
        <v>121</v>
      </c>
    </row>
    <row r="4195" spans="1:33" x14ac:dyDescent="0.25">
      <c r="A4195" t="str">
        <f>"1871584516"</f>
        <v>1871584516</v>
      </c>
      <c r="B4195" t="str">
        <f>"02148305"</f>
        <v>02148305</v>
      </c>
      <c r="C4195" t="s">
        <v>21977</v>
      </c>
      <c r="D4195" t="s">
        <v>21978</v>
      </c>
      <c r="E4195" t="s">
        <v>21979</v>
      </c>
      <c r="G4195" t="s">
        <v>21977</v>
      </c>
      <c r="H4195" t="s">
        <v>21980</v>
      </c>
      <c r="J4195" t="s">
        <v>21981</v>
      </c>
      <c r="L4195" t="s">
        <v>112</v>
      </c>
      <c r="M4195" t="s">
        <v>113</v>
      </c>
      <c r="R4195" t="s">
        <v>21982</v>
      </c>
      <c r="W4195" t="s">
        <v>21979</v>
      </c>
      <c r="X4195" t="s">
        <v>838</v>
      </c>
      <c r="Y4195" t="s">
        <v>240</v>
      </c>
      <c r="Z4195" t="s">
        <v>117</v>
      </c>
      <c r="AA4195" t="str">
        <f>"14221-3647"</f>
        <v>14221-3647</v>
      </c>
      <c r="AB4195" t="s">
        <v>118</v>
      </c>
      <c r="AC4195" t="s">
        <v>119</v>
      </c>
      <c r="AD4195" t="s">
        <v>113</v>
      </c>
      <c r="AE4195" t="s">
        <v>120</v>
      </c>
      <c r="AG4195" t="s">
        <v>121</v>
      </c>
    </row>
    <row r="4196" spans="1:33" x14ac:dyDescent="0.25">
      <c r="A4196" t="str">
        <f>"1871591040"</f>
        <v>1871591040</v>
      </c>
      <c r="B4196" t="str">
        <f>"02528669"</f>
        <v>02528669</v>
      </c>
      <c r="C4196" t="s">
        <v>21983</v>
      </c>
      <c r="D4196" t="s">
        <v>21984</v>
      </c>
      <c r="E4196" t="s">
        <v>21985</v>
      </c>
      <c r="H4196" t="s">
        <v>1204</v>
      </c>
      <c r="L4196" t="s">
        <v>150</v>
      </c>
      <c r="M4196" t="s">
        <v>113</v>
      </c>
      <c r="R4196" t="s">
        <v>21986</v>
      </c>
      <c r="W4196" t="s">
        <v>21985</v>
      </c>
      <c r="X4196" t="s">
        <v>1207</v>
      </c>
      <c r="Y4196" t="s">
        <v>153</v>
      </c>
      <c r="Z4196" t="s">
        <v>117</v>
      </c>
      <c r="AA4196" t="str">
        <f>"14304-5705"</f>
        <v>14304-5705</v>
      </c>
      <c r="AB4196" t="s">
        <v>118</v>
      </c>
      <c r="AC4196" t="s">
        <v>119</v>
      </c>
      <c r="AD4196" t="s">
        <v>113</v>
      </c>
      <c r="AE4196" t="s">
        <v>120</v>
      </c>
      <c r="AG4196" t="s">
        <v>121</v>
      </c>
    </row>
    <row r="4197" spans="1:33" x14ac:dyDescent="0.25">
      <c r="A4197" t="str">
        <f>"1871593053"</f>
        <v>1871593053</v>
      </c>
      <c r="B4197" t="str">
        <f>"01438013"</f>
        <v>01438013</v>
      </c>
      <c r="C4197" t="s">
        <v>21987</v>
      </c>
      <c r="D4197" t="s">
        <v>21988</v>
      </c>
      <c r="E4197" t="s">
        <v>21989</v>
      </c>
      <c r="G4197" t="s">
        <v>21987</v>
      </c>
      <c r="H4197" t="s">
        <v>3305</v>
      </c>
      <c r="J4197" t="s">
        <v>21990</v>
      </c>
      <c r="L4197" t="s">
        <v>142</v>
      </c>
      <c r="M4197" t="s">
        <v>113</v>
      </c>
      <c r="R4197" t="s">
        <v>21991</v>
      </c>
      <c r="W4197" t="s">
        <v>21989</v>
      </c>
      <c r="X4197" t="s">
        <v>21992</v>
      </c>
      <c r="Y4197" t="s">
        <v>116</v>
      </c>
      <c r="Z4197" t="s">
        <v>117</v>
      </c>
      <c r="AA4197" t="str">
        <f>"14209-1120"</f>
        <v>14209-1120</v>
      </c>
      <c r="AB4197" t="s">
        <v>118</v>
      </c>
      <c r="AC4197" t="s">
        <v>119</v>
      </c>
      <c r="AD4197" t="s">
        <v>113</v>
      </c>
      <c r="AE4197" t="s">
        <v>120</v>
      </c>
      <c r="AG4197" t="s">
        <v>121</v>
      </c>
    </row>
    <row r="4198" spans="1:33" x14ac:dyDescent="0.25">
      <c r="A4198" t="str">
        <f>"1871599381"</f>
        <v>1871599381</v>
      </c>
      <c r="B4198" t="str">
        <f>"01744247"</f>
        <v>01744247</v>
      </c>
      <c r="C4198" t="s">
        <v>21993</v>
      </c>
      <c r="D4198" t="s">
        <v>21994</v>
      </c>
      <c r="E4198" t="s">
        <v>21995</v>
      </c>
      <c r="G4198" t="s">
        <v>21996</v>
      </c>
      <c r="H4198" t="s">
        <v>16778</v>
      </c>
      <c r="J4198" t="s">
        <v>21997</v>
      </c>
      <c r="L4198" t="s">
        <v>142</v>
      </c>
      <c r="M4198" t="s">
        <v>113</v>
      </c>
      <c r="R4198" t="s">
        <v>21998</v>
      </c>
      <c r="W4198" t="s">
        <v>21995</v>
      </c>
      <c r="X4198" t="s">
        <v>21999</v>
      </c>
      <c r="Y4198" t="s">
        <v>2946</v>
      </c>
      <c r="Z4198" t="s">
        <v>117</v>
      </c>
      <c r="AA4198" t="str">
        <f>"14075-5835"</f>
        <v>14075-5835</v>
      </c>
      <c r="AB4198" t="s">
        <v>118</v>
      </c>
      <c r="AC4198" t="s">
        <v>119</v>
      </c>
      <c r="AD4198" t="s">
        <v>113</v>
      </c>
      <c r="AE4198" t="s">
        <v>120</v>
      </c>
      <c r="AG4198" t="s">
        <v>121</v>
      </c>
    </row>
    <row r="4199" spans="1:33" x14ac:dyDescent="0.25">
      <c r="A4199" t="str">
        <f>"1871606376"</f>
        <v>1871606376</v>
      </c>
      <c r="B4199" t="str">
        <f>"00840235"</f>
        <v>00840235</v>
      </c>
      <c r="C4199" t="s">
        <v>22000</v>
      </c>
      <c r="D4199" t="s">
        <v>22001</v>
      </c>
      <c r="E4199" t="s">
        <v>22002</v>
      </c>
      <c r="G4199" t="s">
        <v>22003</v>
      </c>
      <c r="H4199" t="s">
        <v>22004</v>
      </c>
      <c r="J4199" t="s">
        <v>22005</v>
      </c>
      <c r="L4199" t="s">
        <v>8364</v>
      </c>
      <c r="M4199" t="s">
        <v>113</v>
      </c>
      <c r="R4199" t="s">
        <v>22006</v>
      </c>
      <c r="W4199" t="s">
        <v>22007</v>
      </c>
      <c r="X4199" t="s">
        <v>15577</v>
      </c>
      <c r="Y4199" t="s">
        <v>116</v>
      </c>
      <c r="Z4199" t="s">
        <v>117</v>
      </c>
      <c r="AA4199" t="str">
        <f>"14214-3001"</f>
        <v>14214-3001</v>
      </c>
      <c r="AB4199" t="s">
        <v>634</v>
      </c>
      <c r="AC4199" t="s">
        <v>119</v>
      </c>
      <c r="AD4199" t="s">
        <v>113</v>
      </c>
      <c r="AE4199" t="s">
        <v>120</v>
      </c>
      <c r="AG4199" t="s">
        <v>121</v>
      </c>
    </row>
    <row r="4200" spans="1:33" x14ac:dyDescent="0.25">
      <c r="A4200" t="str">
        <f>"1871608398"</f>
        <v>1871608398</v>
      </c>
      <c r="B4200" t="str">
        <f>"01147846"</f>
        <v>01147846</v>
      </c>
      <c r="C4200" t="s">
        <v>22008</v>
      </c>
      <c r="D4200" t="s">
        <v>22009</v>
      </c>
      <c r="E4200" t="s">
        <v>22010</v>
      </c>
      <c r="G4200" t="s">
        <v>22008</v>
      </c>
      <c r="H4200" t="s">
        <v>22011</v>
      </c>
      <c r="J4200" t="s">
        <v>22012</v>
      </c>
      <c r="L4200" t="s">
        <v>150</v>
      </c>
      <c r="M4200" t="s">
        <v>113</v>
      </c>
      <c r="R4200" t="s">
        <v>22013</v>
      </c>
      <c r="W4200" t="s">
        <v>22010</v>
      </c>
      <c r="X4200" t="s">
        <v>176</v>
      </c>
      <c r="Y4200" t="s">
        <v>116</v>
      </c>
      <c r="Z4200" t="s">
        <v>117</v>
      </c>
      <c r="AA4200" t="str">
        <f>"14203-1126"</f>
        <v>14203-1126</v>
      </c>
      <c r="AB4200" t="s">
        <v>118</v>
      </c>
      <c r="AC4200" t="s">
        <v>119</v>
      </c>
      <c r="AD4200" t="s">
        <v>113</v>
      </c>
      <c r="AE4200" t="s">
        <v>120</v>
      </c>
      <c r="AG4200" t="s">
        <v>121</v>
      </c>
    </row>
    <row r="4201" spans="1:33" x14ac:dyDescent="0.25">
      <c r="A4201" t="str">
        <f>"1871626796"</f>
        <v>1871626796</v>
      </c>
      <c r="B4201" t="str">
        <f>"03018013"</f>
        <v>03018013</v>
      </c>
      <c r="C4201" t="s">
        <v>22014</v>
      </c>
      <c r="D4201" t="s">
        <v>22015</v>
      </c>
      <c r="E4201" t="s">
        <v>22016</v>
      </c>
      <c r="H4201" t="s">
        <v>22017</v>
      </c>
      <c r="L4201" t="s">
        <v>150</v>
      </c>
      <c r="M4201" t="s">
        <v>113</v>
      </c>
      <c r="R4201" t="s">
        <v>22018</v>
      </c>
      <c r="W4201" t="s">
        <v>22019</v>
      </c>
      <c r="X4201" t="s">
        <v>1353</v>
      </c>
      <c r="Y4201" t="s">
        <v>663</v>
      </c>
      <c r="Z4201" t="s">
        <v>117</v>
      </c>
      <c r="AA4201" t="str">
        <f>"14094-3201"</f>
        <v>14094-3201</v>
      </c>
      <c r="AB4201" t="s">
        <v>118</v>
      </c>
      <c r="AC4201" t="s">
        <v>119</v>
      </c>
      <c r="AD4201" t="s">
        <v>113</v>
      </c>
      <c r="AE4201" t="s">
        <v>120</v>
      </c>
      <c r="AG4201" t="s">
        <v>121</v>
      </c>
    </row>
    <row r="4202" spans="1:33" x14ac:dyDescent="0.25">
      <c r="A4202" t="str">
        <f>"1871647974"</f>
        <v>1871647974</v>
      </c>
      <c r="B4202" t="str">
        <f>"01360094"</f>
        <v>01360094</v>
      </c>
      <c r="C4202" t="s">
        <v>6038</v>
      </c>
      <c r="D4202" t="s">
        <v>22020</v>
      </c>
      <c r="E4202" t="s">
        <v>22021</v>
      </c>
      <c r="F4202">
        <v>160786061</v>
      </c>
      <c r="G4202" t="s">
        <v>6041</v>
      </c>
      <c r="H4202" t="s">
        <v>6042</v>
      </c>
      <c r="I4202">
        <v>126</v>
      </c>
      <c r="J4202" t="s">
        <v>6043</v>
      </c>
      <c r="L4202" t="s">
        <v>69</v>
      </c>
      <c r="M4202" t="s">
        <v>199</v>
      </c>
      <c r="R4202" t="s">
        <v>6038</v>
      </c>
      <c r="W4202" t="s">
        <v>22021</v>
      </c>
      <c r="X4202" t="s">
        <v>22022</v>
      </c>
      <c r="Y4202" t="s">
        <v>1872</v>
      </c>
      <c r="Z4202" t="s">
        <v>117</v>
      </c>
      <c r="AA4202" t="str">
        <f>"14132-9233"</f>
        <v>14132-9233</v>
      </c>
      <c r="AB4202" t="s">
        <v>282</v>
      </c>
      <c r="AC4202" t="s">
        <v>119</v>
      </c>
      <c r="AD4202" t="s">
        <v>113</v>
      </c>
      <c r="AE4202" t="s">
        <v>120</v>
      </c>
      <c r="AG4202" t="s">
        <v>121</v>
      </c>
    </row>
    <row r="4203" spans="1:33" x14ac:dyDescent="0.25">
      <c r="A4203" t="str">
        <f>"1871676924"</f>
        <v>1871676924</v>
      </c>
      <c r="C4203" t="s">
        <v>22023</v>
      </c>
      <c r="G4203" t="s">
        <v>22024</v>
      </c>
      <c r="J4203" t="s">
        <v>352</v>
      </c>
      <c r="K4203" t="s">
        <v>303</v>
      </c>
      <c r="L4203" t="s">
        <v>229</v>
      </c>
      <c r="M4203" t="s">
        <v>113</v>
      </c>
      <c r="R4203" t="s">
        <v>22025</v>
      </c>
      <c r="S4203" t="s">
        <v>6562</v>
      </c>
      <c r="T4203" t="s">
        <v>116</v>
      </c>
      <c r="U4203" t="s">
        <v>117</v>
      </c>
      <c r="V4203" t="str">
        <f>"142141804"</f>
        <v>142141804</v>
      </c>
      <c r="AC4203" t="s">
        <v>119</v>
      </c>
      <c r="AD4203" t="s">
        <v>113</v>
      </c>
      <c r="AE4203" t="s">
        <v>306</v>
      </c>
      <c r="AG4203" t="s">
        <v>121</v>
      </c>
    </row>
    <row r="4204" spans="1:33" x14ac:dyDescent="0.25">
      <c r="A4204" t="str">
        <f>"1205018637"</f>
        <v>1205018637</v>
      </c>
      <c r="C4204" t="s">
        <v>22026</v>
      </c>
      <c r="G4204" t="s">
        <v>20732</v>
      </c>
      <c r="H4204" t="s">
        <v>443</v>
      </c>
      <c r="J4204" t="s">
        <v>20733</v>
      </c>
      <c r="K4204" t="s">
        <v>303</v>
      </c>
      <c r="L4204" t="s">
        <v>229</v>
      </c>
      <c r="M4204" t="s">
        <v>113</v>
      </c>
      <c r="R4204" t="s">
        <v>22027</v>
      </c>
      <c r="S4204" t="s">
        <v>2052</v>
      </c>
      <c r="T4204" t="s">
        <v>116</v>
      </c>
      <c r="U4204" t="s">
        <v>117</v>
      </c>
      <c r="V4204" t="str">
        <f>"142072341"</f>
        <v>142072341</v>
      </c>
      <c r="AC4204" t="s">
        <v>119</v>
      </c>
      <c r="AD4204" t="s">
        <v>113</v>
      </c>
      <c r="AE4204" t="s">
        <v>306</v>
      </c>
      <c r="AG4204" t="s">
        <v>121</v>
      </c>
    </row>
    <row r="4205" spans="1:33" x14ac:dyDescent="0.25">
      <c r="A4205" t="str">
        <f>"1457616013"</f>
        <v>1457616013</v>
      </c>
      <c r="C4205" t="s">
        <v>22028</v>
      </c>
      <c r="G4205" t="s">
        <v>20732</v>
      </c>
      <c r="H4205" t="s">
        <v>443</v>
      </c>
      <c r="J4205" t="s">
        <v>20733</v>
      </c>
      <c r="K4205" t="s">
        <v>303</v>
      </c>
      <c r="L4205" t="s">
        <v>229</v>
      </c>
      <c r="M4205" t="s">
        <v>113</v>
      </c>
      <c r="R4205" t="s">
        <v>22029</v>
      </c>
      <c r="S4205" t="s">
        <v>354</v>
      </c>
      <c r="T4205" t="s">
        <v>116</v>
      </c>
      <c r="U4205" t="s">
        <v>117</v>
      </c>
      <c r="V4205" t="str">
        <f>"142152814"</f>
        <v>142152814</v>
      </c>
      <c r="AC4205" t="s">
        <v>119</v>
      </c>
      <c r="AD4205" t="s">
        <v>113</v>
      </c>
      <c r="AE4205" t="s">
        <v>306</v>
      </c>
      <c r="AG4205" t="s">
        <v>121</v>
      </c>
    </row>
    <row r="4206" spans="1:33" x14ac:dyDescent="0.25">
      <c r="A4206" t="str">
        <f>"1184768350"</f>
        <v>1184768350</v>
      </c>
      <c r="B4206" t="str">
        <f>"02344609"</f>
        <v>02344609</v>
      </c>
      <c r="C4206" t="s">
        <v>22030</v>
      </c>
      <c r="D4206" t="s">
        <v>22031</v>
      </c>
      <c r="E4206" t="s">
        <v>22032</v>
      </c>
      <c r="G4206" t="s">
        <v>20732</v>
      </c>
      <c r="H4206" t="s">
        <v>443</v>
      </c>
      <c r="J4206" t="s">
        <v>20733</v>
      </c>
      <c r="L4206" t="s">
        <v>142</v>
      </c>
      <c r="M4206" t="s">
        <v>113</v>
      </c>
      <c r="R4206" t="s">
        <v>22033</v>
      </c>
      <c r="W4206" t="s">
        <v>22032</v>
      </c>
      <c r="X4206" t="s">
        <v>22034</v>
      </c>
      <c r="Y4206" t="s">
        <v>14668</v>
      </c>
      <c r="Z4206" t="s">
        <v>117</v>
      </c>
      <c r="AA4206" t="str">
        <f>"14221"</f>
        <v>14221</v>
      </c>
      <c r="AB4206" t="s">
        <v>118</v>
      </c>
      <c r="AC4206" t="s">
        <v>119</v>
      </c>
      <c r="AD4206" t="s">
        <v>113</v>
      </c>
      <c r="AE4206" t="s">
        <v>120</v>
      </c>
      <c r="AG4206" t="s">
        <v>121</v>
      </c>
    </row>
    <row r="4207" spans="1:33" x14ac:dyDescent="0.25">
      <c r="A4207" t="str">
        <f>"1700216744"</f>
        <v>1700216744</v>
      </c>
      <c r="B4207" t="str">
        <f>"03803385"</f>
        <v>03803385</v>
      </c>
      <c r="C4207" t="s">
        <v>22035</v>
      </c>
      <c r="D4207" t="s">
        <v>22036</v>
      </c>
      <c r="E4207" t="s">
        <v>22037</v>
      </c>
      <c r="G4207" t="s">
        <v>20732</v>
      </c>
      <c r="H4207" t="s">
        <v>443</v>
      </c>
      <c r="J4207" t="s">
        <v>20733</v>
      </c>
      <c r="L4207" t="s">
        <v>112</v>
      </c>
      <c r="M4207" t="s">
        <v>113</v>
      </c>
      <c r="R4207" t="s">
        <v>22038</v>
      </c>
      <c r="W4207" t="s">
        <v>22037</v>
      </c>
      <c r="X4207" t="s">
        <v>22039</v>
      </c>
      <c r="Y4207" t="s">
        <v>816</v>
      </c>
      <c r="Z4207" t="s">
        <v>117</v>
      </c>
      <c r="AA4207" t="str">
        <f>"14120-2511"</f>
        <v>14120-2511</v>
      </c>
      <c r="AB4207" t="s">
        <v>118</v>
      </c>
      <c r="AC4207" t="s">
        <v>119</v>
      </c>
      <c r="AD4207" t="s">
        <v>113</v>
      </c>
      <c r="AE4207" t="s">
        <v>120</v>
      </c>
      <c r="AG4207" t="s">
        <v>121</v>
      </c>
    </row>
    <row r="4208" spans="1:33" x14ac:dyDescent="0.25">
      <c r="A4208" t="str">
        <f>"1316924913"</f>
        <v>1316924913</v>
      </c>
      <c r="B4208" t="str">
        <f>"00310889"</f>
        <v>00310889</v>
      </c>
      <c r="C4208" t="s">
        <v>8974</v>
      </c>
      <c r="D4208" t="s">
        <v>8975</v>
      </c>
      <c r="E4208" t="s">
        <v>8976</v>
      </c>
      <c r="G4208" t="s">
        <v>8977</v>
      </c>
      <c r="H4208" t="s">
        <v>3557</v>
      </c>
      <c r="I4208">
        <v>4404</v>
      </c>
      <c r="J4208" t="s">
        <v>8978</v>
      </c>
      <c r="L4208" t="s">
        <v>8979</v>
      </c>
      <c r="M4208" t="s">
        <v>199</v>
      </c>
      <c r="R4208" t="s">
        <v>3555</v>
      </c>
      <c r="W4208" t="s">
        <v>3553</v>
      </c>
      <c r="X4208" t="s">
        <v>3559</v>
      </c>
      <c r="Y4208" t="s">
        <v>847</v>
      </c>
      <c r="Z4208" t="s">
        <v>117</v>
      </c>
      <c r="AA4208" t="str">
        <f>"14569-1025"</f>
        <v>14569-1025</v>
      </c>
      <c r="AB4208" t="s">
        <v>1460</v>
      </c>
      <c r="AC4208" t="s">
        <v>119</v>
      </c>
      <c r="AD4208" t="s">
        <v>113</v>
      </c>
      <c r="AE4208" t="s">
        <v>120</v>
      </c>
      <c r="AG4208" t="s">
        <v>121</v>
      </c>
    </row>
    <row r="4209" spans="1:33" x14ac:dyDescent="0.25">
      <c r="A4209" t="str">
        <f>"1851482525"</f>
        <v>1851482525</v>
      </c>
      <c r="C4209" t="s">
        <v>22040</v>
      </c>
      <c r="G4209" t="s">
        <v>22041</v>
      </c>
      <c r="J4209" t="s">
        <v>352</v>
      </c>
      <c r="K4209" t="s">
        <v>303</v>
      </c>
      <c r="L4209" t="s">
        <v>112</v>
      </c>
      <c r="M4209" t="s">
        <v>113</v>
      </c>
      <c r="R4209" t="s">
        <v>22042</v>
      </c>
      <c r="S4209" t="s">
        <v>1922</v>
      </c>
      <c r="T4209" t="s">
        <v>268</v>
      </c>
      <c r="U4209" t="s">
        <v>117</v>
      </c>
      <c r="V4209" t="str">
        <f>"14150"</f>
        <v>14150</v>
      </c>
      <c r="AC4209" t="s">
        <v>119</v>
      </c>
      <c r="AD4209" t="s">
        <v>113</v>
      </c>
      <c r="AE4209" t="s">
        <v>306</v>
      </c>
      <c r="AG4209" t="s">
        <v>121</v>
      </c>
    </row>
    <row r="4210" spans="1:33" x14ac:dyDescent="0.25">
      <c r="A4210" t="str">
        <f>"1851494769"</f>
        <v>1851494769</v>
      </c>
      <c r="B4210" t="str">
        <f>"02677585"</f>
        <v>02677585</v>
      </c>
      <c r="C4210" t="s">
        <v>22043</v>
      </c>
      <c r="D4210" t="s">
        <v>22044</v>
      </c>
      <c r="E4210" t="s">
        <v>22045</v>
      </c>
      <c r="G4210" t="s">
        <v>22046</v>
      </c>
      <c r="H4210" t="s">
        <v>22047</v>
      </c>
      <c r="L4210" t="s">
        <v>142</v>
      </c>
      <c r="M4210" t="s">
        <v>113</v>
      </c>
      <c r="R4210" t="s">
        <v>22046</v>
      </c>
      <c r="W4210" t="s">
        <v>22045</v>
      </c>
      <c r="X4210" t="s">
        <v>1361</v>
      </c>
      <c r="Y4210" t="s">
        <v>318</v>
      </c>
      <c r="Z4210" t="s">
        <v>117</v>
      </c>
      <c r="AA4210" t="str">
        <f>"14225-2500"</f>
        <v>14225-2500</v>
      </c>
      <c r="AB4210" t="s">
        <v>118</v>
      </c>
      <c r="AC4210" t="s">
        <v>119</v>
      </c>
      <c r="AD4210" t="s">
        <v>113</v>
      </c>
      <c r="AE4210" t="s">
        <v>120</v>
      </c>
      <c r="AG4210" t="s">
        <v>121</v>
      </c>
    </row>
    <row r="4211" spans="1:33" x14ac:dyDescent="0.25">
      <c r="A4211" t="str">
        <f>"1851498448"</f>
        <v>1851498448</v>
      </c>
      <c r="B4211" t="str">
        <f>"02782621"</f>
        <v>02782621</v>
      </c>
      <c r="C4211" t="s">
        <v>22048</v>
      </c>
      <c r="D4211" t="s">
        <v>22049</v>
      </c>
      <c r="E4211" t="s">
        <v>22050</v>
      </c>
      <c r="G4211" t="s">
        <v>22048</v>
      </c>
      <c r="H4211" t="s">
        <v>2757</v>
      </c>
      <c r="J4211" t="s">
        <v>22051</v>
      </c>
      <c r="L4211" t="s">
        <v>142</v>
      </c>
      <c r="M4211" t="s">
        <v>113</v>
      </c>
      <c r="R4211" t="s">
        <v>22052</v>
      </c>
      <c r="W4211" t="s">
        <v>22053</v>
      </c>
      <c r="X4211" t="s">
        <v>17458</v>
      </c>
      <c r="Y4211" t="s">
        <v>17459</v>
      </c>
      <c r="Z4211" t="s">
        <v>117</v>
      </c>
      <c r="AA4211" t="str">
        <f>"11030-3816"</f>
        <v>11030-3816</v>
      </c>
      <c r="AB4211" t="s">
        <v>118</v>
      </c>
      <c r="AC4211" t="s">
        <v>119</v>
      </c>
      <c r="AD4211" t="s">
        <v>113</v>
      </c>
      <c r="AE4211" t="s">
        <v>120</v>
      </c>
      <c r="AG4211" t="s">
        <v>121</v>
      </c>
    </row>
    <row r="4212" spans="1:33" x14ac:dyDescent="0.25">
      <c r="A4212" t="str">
        <f>"1851527600"</f>
        <v>1851527600</v>
      </c>
      <c r="B4212" t="str">
        <f>"03876886"</f>
        <v>03876886</v>
      </c>
      <c r="C4212" t="s">
        <v>22054</v>
      </c>
      <c r="D4212" t="s">
        <v>22055</v>
      </c>
      <c r="E4212" t="s">
        <v>22056</v>
      </c>
      <c r="G4212" t="s">
        <v>22057</v>
      </c>
      <c r="H4212" t="s">
        <v>22058</v>
      </c>
      <c r="J4212" t="s">
        <v>22059</v>
      </c>
      <c r="L4212" t="s">
        <v>3604</v>
      </c>
      <c r="M4212" t="s">
        <v>113</v>
      </c>
      <c r="R4212" t="s">
        <v>22060</v>
      </c>
      <c r="W4212" t="s">
        <v>22061</v>
      </c>
      <c r="X4212" t="s">
        <v>8739</v>
      </c>
      <c r="Y4212" t="s">
        <v>116</v>
      </c>
      <c r="Z4212" t="s">
        <v>117</v>
      </c>
      <c r="AA4212" t="str">
        <f>"14203-2209"</f>
        <v>14203-2209</v>
      </c>
      <c r="AB4212" t="s">
        <v>634</v>
      </c>
      <c r="AC4212" t="s">
        <v>119</v>
      </c>
      <c r="AD4212" t="s">
        <v>113</v>
      </c>
      <c r="AE4212" t="s">
        <v>120</v>
      </c>
      <c r="AG4212" t="s">
        <v>121</v>
      </c>
    </row>
    <row r="4213" spans="1:33" x14ac:dyDescent="0.25">
      <c r="A4213" t="str">
        <f>"1972896298"</f>
        <v>1972896298</v>
      </c>
      <c r="C4213" t="s">
        <v>22062</v>
      </c>
      <c r="G4213" t="s">
        <v>22063</v>
      </c>
      <c r="H4213" t="s">
        <v>22064</v>
      </c>
      <c r="J4213" t="s">
        <v>22065</v>
      </c>
      <c r="K4213" t="s">
        <v>303</v>
      </c>
      <c r="L4213" t="s">
        <v>229</v>
      </c>
      <c r="M4213" t="s">
        <v>113</v>
      </c>
      <c r="R4213" t="s">
        <v>22066</v>
      </c>
      <c r="S4213" t="s">
        <v>176</v>
      </c>
      <c r="T4213" t="s">
        <v>116</v>
      </c>
      <c r="U4213" t="s">
        <v>117</v>
      </c>
      <c r="V4213" t="str">
        <f>"142031126"</f>
        <v>142031126</v>
      </c>
      <c r="AC4213" t="s">
        <v>119</v>
      </c>
      <c r="AD4213" t="s">
        <v>113</v>
      </c>
      <c r="AE4213" t="s">
        <v>306</v>
      </c>
      <c r="AG4213" t="s">
        <v>121</v>
      </c>
    </row>
    <row r="4214" spans="1:33" x14ac:dyDescent="0.25">
      <c r="A4214" t="str">
        <f>"1972937563"</f>
        <v>1972937563</v>
      </c>
      <c r="B4214" t="str">
        <f>"03783740"</f>
        <v>03783740</v>
      </c>
      <c r="C4214" t="s">
        <v>22067</v>
      </c>
      <c r="D4214" t="s">
        <v>22068</v>
      </c>
      <c r="E4214" t="s">
        <v>22069</v>
      </c>
      <c r="G4214" t="s">
        <v>22070</v>
      </c>
      <c r="H4214" t="s">
        <v>22071</v>
      </c>
      <c r="J4214" t="s">
        <v>22072</v>
      </c>
      <c r="L4214" t="s">
        <v>112</v>
      </c>
      <c r="M4214" t="s">
        <v>113</v>
      </c>
      <c r="R4214" t="s">
        <v>22073</v>
      </c>
      <c r="W4214" t="s">
        <v>22069</v>
      </c>
      <c r="AB4214" t="s">
        <v>118</v>
      </c>
      <c r="AC4214" t="s">
        <v>119</v>
      </c>
      <c r="AD4214" t="s">
        <v>113</v>
      </c>
      <c r="AE4214" t="s">
        <v>120</v>
      </c>
      <c r="AG4214" t="s">
        <v>121</v>
      </c>
    </row>
    <row r="4215" spans="1:33" x14ac:dyDescent="0.25">
      <c r="A4215" t="str">
        <f>"1982601175"</f>
        <v>1982601175</v>
      </c>
      <c r="B4215" t="str">
        <f>"02342854"</f>
        <v>02342854</v>
      </c>
      <c r="C4215" t="s">
        <v>22074</v>
      </c>
      <c r="D4215" t="s">
        <v>22075</v>
      </c>
      <c r="E4215" t="s">
        <v>22076</v>
      </c>
      <c r="G4215" t="s">
        <v>196</v>
      </c>
      <c r="H4215" t="s">
        <v>197</v>
      </c>
      <c r="I4215">
        <v>214</v>
      </c>
      <c r="J4215" t="s">
        <v>198</v>
      </c>
      <c r="L4215" t="s">
        <v>150</v>
      </c>
      <c r="M4215" t="s">
        <v>199</v>
      </c>
      <c r="R4215" t="s">
        <v>22077</v>
      </c>
      <c r="W4215" t="s">
        <v>22076</v>
      </c>
      <c r="X4215" t="s">
        <v>10376</v>
      </c>
      <c r="Y4215" t="s">
        <v>153</v>
      </c>
      <c r="Z4215" t="s">
        <v>117</v>
      </c>
      <c r="AA4215" t="str">
        <f>"14304-3022"</f>
        <v>14304-3022</v>
      </c>
      <c r="AB4215" t="s">
        <v>118</v>
      </c>
      <c r="AC4215" t="s">
        <v>119</v>
      </c>
      <c r="AD4215" t="s">
        <v>113</v>
      </c>
      <c r="AE4215" t="s">
        <v>120</v>
      </c>
      <c r="AG4215" t="s">
        <v>121</v>
      </c>
    </row>
    <row r="4216" spans="1:33" x14ac:dyDescent="0.25">
      <c r="A4216" t="str">
        <f>"1982604468"</f>
        <v>1982604468</v>
      </c>
      <c r="B4216" t="str">
        <f>"00928890"</f>
        <v>00928890</v>
      </c>
      <c r="C4216" t="s">
        <v>22078</v>
      </c>
      <c r="D4216" t="s">
        <v>22079</v>
      </c>
      <c r="E4216" t="s">
        <v>22080</v>
      </c>
      <c r="G4216" t="s">
        <v>22081</v>
      </c>
      <c r="H4216" t="s">
        <v>22082</v>
      </c>
      <c r="J4216" t="s">
        <v>22083</v>
      </c>
      <c r="L4216" t="s">
        <v>150</v>
      </c>
      <c r="M4216" t="s">
        <v>113</v>
      </c>
      <c r="R4216" t="s">
        <v>22084</v>
      </c>
      <c r="W4216" t="s">
        <v>22080</v>
      </c>
      <c r="X4216" t="s">
        <v>22085</v>
      </c>
      <c r="Y4216" t="s">
        <v>153</v>
      </c>
      <c r="Z4216" t="s">
        <v>117</v>
      </c>
      <c r="AA4216" t="str">
        <f>"14301-1922"</f>
        <v>14301-1922</v>
      </c>
      <c r="AB4216" t="s">
        <v>118</v>
      </c>
      <c r="AC4216" t="s">
        <v>119</v>
      </c>
      <c r="AD4216" t="s">
        <v>113</v>
      </c>
      <c r="AE4216" t="s">
        <v>120</v>
      </c>
      <c r="AG4216" t="s">
        <v>121</v>
      </c>
    </row>
    <row r="4217" spans="1:33" x14ac:dyDescent="0.25">
      <c r="A4217" t="str">
        <f>"1982605499"</f>
        <v>1982605499</v>
      </c>
      <c r="B4217" t="str">
        <f>"01843278"</f>
        <v>01843278</v>
      </c>
      <c r="C4217" t="s">
        <v>22086</v>
      </c>
      <c r="D4217" t="s">
        <v>22087</v>
      </c>
      <c r="E4217" t="s">
        <v>22088</v>
      </c>
      <c r="G4217" t="s">
        <v>22086</v>
      </c>
      <c r="H4217" t="s">
        <v>22089</v>
      </c>
      <c r="J4217" t="s">
        <v>22090</v>
      </c>
      <c r="L4217" t="s">
        <v>142</v>
      </c>
      <c r="M4217" t="s">
        <v>113</v>
      </c>
      <c r="R4217" t="s">
        <v>22091</v>
      </c>
      <c r="W4217" t="s">
        <v>22088</v>
      </c>
      <c r="X4217" t="s">
        <v>22088</v>
      </c>
      <c r="Y4217" t="s">
        <v>663</v>
      </c>
      <c r="Z4217" t="s">
        <v>117</v>
      </c>
      <c r="AA4217" t="str">
        <f>"14094-6340"</f>
        <v>14094-6340</v>
      </c>
      <c r="AB4217" t="s">
        <v>118</v>
      </c>
      <c r="AC4217" t="s">
        <v>119</v>
      </c>
      <c r="AD4217" t="s">
        <v>113</v>
      </c>
      <c r="AE4217" t="s">
        <v>120</v>
      </c>
      <c r="AG4217" t="s">
        <v>121</v>
      </c>
    </row>
    <row r="4218" spans="1:33" x14ac:dyDescent="0.25">
      <c r="A4218" t="str">
        <f>"1982605879"</f>
        <v>1982605879</v>
      </c>
      <c r="B4218" t="str">
        <f>"03526978"</f>
        <v>03526978</v>
      </c>
      <c r="C4218" t="s">
        <v>22092</v>
      </c>
      <c r="D4218" t="s">
        <v>22093</v>
      </c>
      <c r="E4218" t="s">
        <v>22094</v>
      </c>
      <c r="G4218" t="s">
        <v>22092</v>
      </c>
      <c r="H4218" t="s">
        <v>205</v>
      </c>
      <c r="J4218" t="s">
        <v>22095</v>
      </c>
      <c r="L4218" t="s">
        <v>142</v>
      </c>
      <c r="M4218" t="s">
        <v>113</v>
      </c>
      <c r="R4218" t="s">
        <v>22096</v>
      </c>
      <c r="W4218" t="s">
        <v>22094</v>
      </c>
      <c r="X4218" t="s">
        <v>7465</v>
      </c>
      <c r="Y4218" t="s">
        <v>240</v>
      </c>
      <c r="Z4218" t="s">
        <v>117</v>
      </c>
      <c r="AA4218" t="str">
        <f>"14221-4834"</f>
        <v>14221-4834</v>
      </c>
      <c r="AB4218" t="s">
        <v>118</v>
      </c>
      <c r="AC4218" t="s">
        <v>119</v>
      </c>
      <c r="AD4218" t="s">
        <v>113</v>
      </c>
      <c r="AE4218" t="s">
        <v>120</v>
      </c>
      <c r="AG4218" t="s">
        <v>121</v>
      </c>
    </row>
    <row r="4219" spans="1:33" x14ac:dyDescent="0.25">
      <c r="A4219" t="str">
        <f>"1982606430"</f>
        <v>1982606430</v>
      </c>
      <c r="B4219" t="str">
        <f>"00725324"</f>
        <v>00725324</v>
      </c>
      <c r="C4219" t="s">
        <v>22097</v>
      </c>
      <c r="D4219" t="s">
        <v>22098</v>
      </c>
      <c r="E4219" t="s">
        <v>22099</v>
      </c>
      <c r="G4219" t="s">
        <v>22097</v>
      </c>
      <c r="H4219" t="s">
        <v>22100</v>
      </c>
      <c r="J4219" t="s">
        <v>22101</v>
      </c>
      <c r="L4219" t="s">
        <v>150</v>
      </c>
      <c r="M4219" t="s">
        <v>113</v>
      </c>
      <c r="R4219" t="s">
        <v>22102</v>
      </c>
      <c r="W4219" t="s">
        <v>22099</v>
      </c>
      <c r="X4219" t="s">
        <v>22103</v>
      </c>
      <c r="Y4219" t="s">
        <v>12061</v>
      </c>
      <c r="Z4219" t="s">
        <v>117</v>
      </c>
      <c r="AA4219" t="str">
        <f>"14031-1927"</f>
        <v>14031-1927</v>
      </c>
      <c r="AB4219" t="s">
        <v>118</v>
      </c>
      <c r="AC4219" t="s">
        <v>119</v>
      </c>
      <c r="AD4219" t="s">
        <v>113</v>
      </c>
      <c r="AE4219" t="s">
        <v>120</v>
      </c>
      <c r="AG4219" t="s">
        <v>121</v>
      </c>
    </row>
    <row r="4220" spans="1:33" x14ac:dyDescent="0.25">
      <c r="A4220" t="str">
        <f>"1982609491"</f>
        <v>1982609491</v>
      </c>
      <c r="B4220" t="str">
        <f>"00931264"</f>
        <v>00931264</v>
      </c>
      <c r="C4220" t="s">
        <v>22104</v>
      </c>
      <c r="D4220" t="s">
        <v>22105</v>
      </c>
      <c r="E4220" t="s">
        <v>22106</v>
      </c>
      <c r="G4220" t="s">
        <v>22107</v>
      </c>
      <c r="H4220" t="s">
        <v>3994</v>
      </c>
      <c r="J4220" t="s">
        <v>22108</v>
      </c>
      <c r="L4220" t="s">
        <v>150</v>
      </c>
      <c r="M4220" t="s">
        <v>113</v>
      </c>
      <c r="R4220" t="s">
        <v>22109</v>
      </c>
      <c r="W4220" t="s">
        <v>22106</v>
      </c>
      <c r="X4220" t="s">
        <v>22110</v>
      </c>
      <c r="Y4220" t="s">
        <v>3012</v>
      </c>
      <c r="Z4220" t="s">
        <v>117</v>
      </c>
      <c r="AA4220" t="str">
        <f>"14052-2531"</f>
        <v>14052-2531</v>
      </c>
      <c r="AB4220" t="s">
        <v>118</v>
      </c>
      <c r="AC4220" t="s">
        <v>119</v>
      </c>
      <c r="AD4220" t="s">
        <v>113</v>
      </c>
      <c r="AE4220" t="s">
        <v>120</v>
      </c>
      <c r="AG4220" t="s">
        <v>121</v>
      </c>
    </row>
    <row r="4221" spans="1:33" x14ac:dyDescent="0.25">
      <c r="A4221" t="str">
        <f>"1982610838"</f>
        <v>1982610838</v>
      </c>
      <c r="C4221" t="s">
        <v>22111</v>
      </c>
      <c r="G4221" t="s">
        <v>22112</v>
      </c>
      <c r="H4221" t="s">
        <v>22113</v>
      </c>
      <c r="J4221" t="s">
        <v>22114</v>
      </c>
      <c r="K4221" t="s">
        <v>634</v>
      </c>
      <c r="L4221" t="s">
        <v>229</v>
      </c>
      <c r="M4221" t="s">
        <v>113</v>
      </c>
      <c r="R4221" t="s">
        <v>22115</v>
      </c>
      <c r="S4221" t="s">
        <v>22116</v>
      </c>
      <c r="T4221" t="s">
        <v>22117</v>
      </c>
      <c r="U4221" t="s">
        <v>117</v>
      </c>
      <c r="V4221" t="str">
        <f>"142143008"</f>
        <v>142143008</v>
      </c>
      <c r="AC4221" t="s">
        <v>119</v>
      </c>
      <c r="AD4221" t="s">
        <v>113</v>
      </c>
      <c r="AE4221" t="s">
        <v>306</v>
      </c>
      <c r="AG4221" t="s">
        <v>121</v>
      </c>
    </row>
    <row r="4222" spans="1:33" x14ac:dyDescent="0.25">
      <c r="A4222" t="str">
        <f>"1982610994"</f>
        <v>1982610994</v>
      </c>
      <c r="B4222" t="str">
        <f>"01885083"</f>
        <v>01885083</v>
      </c>
      <c r="C4222" t="s">
        <v>22118</v>
      </c>
      <c r="D4222" t="s">
        <v>22119</v>
      </c>
      <c r="E4222" t="s">
        <v>22120</v>
      </c>
      <c r="G4222" t="s">
        <v>22118</v>
      </c>
      <c r="J4222" t="s">
        <v>22121</v>
      </c>
      <c r="L4222" t="s">
        <v>142</v>
      </c>
      <c r="M4222" t="s">
        <v>113</v>
      </c>
      <c r="R4222" t="s">
        <v>22122</v>
      </c>
      <c r="W4222" t="s">
        <v>22120</v>
      </c>
      <c r="X4222" t="s">
        <v>176</v>
      </c>
      <c r="Y4222" t="s">
        <v>116</v>
      </c>
      <c r="Z4222" t="s">
        <v>117</v>
      </c>
      <c r="AA4222" t="str">
        <f>"14203-1126"</f>
        <v>14203-1126</v>
      </c>
      <c r="AB4222" t="s">
        <v>118</v>
      </c>
      <c r="AC4222" t="s">
        <v>119</v>
      </c>
      <c r="AD4222" t="s">
        <v>113</v>
      </c>
      <c r="AE4222" t="s">
        <v>120</v>
      </c>
      <c r="AG4222" t="s">
        <v>121</v>
      </c>
    </row>
    <row r="4223" spans="1:33" x14ac:dyDescent="0.25">
      <c r="A4223" t="str">
        <f>"1982615100"</f>
        <v>1982615100</v>
      </c>
      <c r="B4223" t="str">
        <f>"02333306"</f>
        <v>02333306</v>
      </c>
      <c r="C4223" t="s">
        <v>22123</v>
      </c>
      <c r="D4223" t="s">
        <v>22124</v>
      </c>
      <c r="E4223" t="s">
        <v>22125</v>
      </c>
      <c r="G4223" t="s">
        <v>22126</v>
      </c>
      <c r="H4223" t="s">
        <v>22127</v>
      </c>
      <c r="J4223" t="s">
        <v>22128</v>
      </c>
      <c r="L4223" t="s">
        <v>112</v>
      </c>
      <c r="M4223" t="s">
        <v>113</v>
      </c>
      <c r="R4223" t="s">
        <v>22129</v>
      </c>
      <c r="W4223" t="s">
        <v>22125</v>
      </c>
      <c r="X4223" t="s">
        <v>216</v>
      </c>
      <c r="Y4223" t="s">
        <v>116</v>
      </c>
      <c r="Z4223" t="s">
        <v>117</v>
      </c>
      <c r="AA4223" t="str">
        <f>"14222-2006"</f>
        <v>14222-2006</v>
      </c>
      <c r="AB4223" t="s">
        <v>118</v>
      </c>
      <c r="AC4223" t="s">
        <v>119</v>
      </c>
      <c r="AD4223" t="s">
        <v>113</v>
      </c>
      <c r="AE4223" t="s">
        <v>120</v>
      </c>
      <c r="AG4223" t="s">
        <v>121</v>
      </c>
    </row>
    <row r="4224" spans="1:33" x14ac:dyDescent="0.25">
      <c r="A4224" t="str">
        <f>"1982619433"</f>
        <v>1982619433</v>
      </c>
      <c r="B4224" t="str">
        <f>"02898960"</f>
        <v>02898960</v>
      </c>
      <c r="C4224" t="s">
        <v>22130</v>
      </c>
      <c r="D4224" t="s">
        <v>22131</v>
      </c>
      <c r="E4224" t="s">
        <v>22132</v>
      </c>
      <c r="G4224" t="s">
        <v>22130</v>
      </c>
      <c r="H4224" t="s">
        <v>7389</v>
      </c>
      <c r="J4224" t="s">
        <v>22133</v>
      </c>
      <c r="L4224" t="s">
        <v>150</v>
      </c>
      <c r="M4224" t="s">
        <v>113</v>
      </c>
      <c r="R4224" t="s">
        <v>22134</v>
      </c>
      <c r="W4224" t="s">
        <v>22132</v>
      </c>
      <c r="X4224" t="s">
        <v>7392</v>
      </c>
      <c r="Y4224" t="s">
        <v>326</v>
      </c>
      <c r="Z4224" t="s">
        <v>117</v>
      </c>
      <c r="AA4224" t="str">
        <f>"14127-2604"</f>
        <v>14127-2604</v>
      </c>
      <c r="AB4224" t="s">
        <v>118</v>
      </c>
      <c r="AC4224" t="s">
        <v>119</v>
      </c>
      <c r="AD4224" t="s">
        <v>113</v>
      </c>
      <c r="AE4224" t="s">
        <v>120</v>
      </c>
      <c r="AG4224" t="s">
        <v>121</v>
      </c>
    </row>
    <row r="4225" spans="1:33" x14ac:dyDescent="0.25">
      <c r="A4225" t="str">
        <f>"1982620027"</f>
        <v>1982620027</v>
      </c>
      <c r="B4225" t="str">
        <f>"01896386"</f>
        <v>01896386</v>
      </c>
      <c r="C4225" t="s">
        <v>22135</v>
      </c>
      <c r="D4225" t="s">
        <v>22136</v>
      </c>
      <c r="E4225" t="s">
        <v>22137</v>
      </c>
      <c r="G4225" t="s">
        <v>22135</v>
      </c>
      <c r="H4225" t="s">
        <v>22138</v>
      </c>
      <c r="J4225" t="s">
        <v>22139</v>
      </c>
      <c r="L4225" t="s">
        <v>142</v>
      </c>
      <c r="M4225" t="s">
        <v>113</v>
      </c>
      <c r="R4225" t="s">
        <v>22140</v>
      </c>
      <c r="W4225" t="s">
        <v>22137</v>
      </c>
      <c r="X4225" t="s">
        <v>22141</v>
      </c>
      <c r="Y4225" t="s">
        <v>116</v>
      </c>
      <c r="Z4225" t="s">
        <v>117</v>
      </c>
      <c r="AA4225" t="str">
        <f>"14215-1907"</f>
        <v>14215-1907</v>
      </c>
      <c r="AB4225" t="s">
        <v>118</v>
      </c>
      <c r="AC4225" t="s">
        <v>119</v>
      </c>
      <c r="AD4225" t="s">
        <v>113</v>
      </c>
      <c r="AE4225" t="s">
        <v>120</v>
      </c>
      <c r="AG4225" t="s">
        <v>121</v>
      </c>
    </row>
    <row r="4226" spans="1:33" x14ac:dyDescent="0.25">
      <c r="A4226" t="str">
        <f>"1982624045"</f>
        <v>1982624045</v>
      </c>
      <c r="B4226" t="str">
        <f>"00481943"</f>
        <v>00481943</v>
      </c>
      <c r="C4226" t="s">
        <v>22142</v>
      </c>
      <c r="D4226" t="s">
        <v>22143</v>
      </c>
      <c r="E4226" t="s">
        <v>22144</v>
      </c>
      <c r="G4226" t="s">
        <v>22142</v>
      </c>
      <c r="H4226" t="s">
        <v>3464</v>
      </c>
      <c r="J4226" t="s">
        <v>22145</v>
      </c>
      <c r="L4226" t="s">
        <v>229</v>
      </c>
      <c r="M4226" t="s">
        <v>113</v>
      </c>
      <c r="R4226" t="s">
        <v>22146</v>
      </c>
      <c r="W4226" t="s">
        <v>22147</v>
      </c>
      <c r="X4226" t="s">
        <v>216</v>
      </c>
      <c r="Y4226" t="s">
        <v>116</v>
      </c>
      <c r="Z4226" t="s">
        <v>117</v>
      </c>
      <c r="AA4226" t="str">
        <f>"14222-2006"</f>
        <v>14222-2006</v>
      </c>
      <c r="AB4226" t="s">
        <v>118</v>
      </c>
      <c r="AC4226" t="s">
        <v>119</v>
      </c>
      <c r="AD4226" t="s">
        <v>113</v>
      </c>
      <c r="AE4226" t="s">
        <v>120</v>
      </c>
      <c r="AG4226" t="s">
        <v>121</v>
      </c>
    </row>
    <row r="4227" spans="1:33" x14ac:dyDescent="0.25">
      <c r="A4227" t="str">
        <f>"1982628574"</f>
        <v>1982628574</v>
      </c>
      <c r="B4227" t="str">
        <f>"00710949"</f>
        <v>00710949</v>
      </c>
      <c r="C4227" t="s">
        <v>22148</v>
      </c>
      <c r="D4227" t="s">
        <v>22149</v>
      </c>
      <c r="E4227" t="s">
        <v>22150</v>
      </c>
      <c r="H4227" t="s">
        <v>22151</v>
      </c>
      <c r="L4227" t="s">
        <v>150</v>
      </c>
      <c r="M4227" t="s">
        <v>113</v>
      </c>
      <c r="R4227" t="s">
        <v>22152</v>
      </c>
      <c r="W4227" t="s">
        <v>22150</v>
      </c>
      <c r="X4227" t="s">
        <v>22153</v>
      </c>
      <c r="Y4227" t="s">
        <v>663</v>
      </c>
      <c r="Z4227" t="s">
        <v>117</v>
      </c>
      <c r="AA4227" t="str">
        <f>"14094-3722"</f>
        <v>14094-3722</v>
      </c>
      <c r="AB4227" t="s">
        <v>118</v>
      </c>
      <c r="AC4227" t="s">
        <v>119</v>
      </c>
      <c r="AD4227" t="s">
        <v>113</v>
      </c>
      <c r="AE4227" t="s">
        <v>120</v>
      </c>
      <c r="AG4227" t="s">
        <v>121</v>
      </c>
    </row>
    <row r="4228" spans="1:33" x14ac:dyDescent="0.25">
      <c r="A4228" t="str">
        <f>"1982630133"</f>
        <v>1982630133</v>
      </c>
      <c r="B4228" t="str">
        <f>"02730918"</f>
        <v>02730918</v>
      </c>
      <c r="C4228" t="s">
        <v>22154</v>
      </c>
      <c r="D4228" t="s">
        <v>22155</v>
      </c>
      <c r="E4228" t="s">
        <v>22154</v>
      </c>
      <c r="G4228" t="s">
        <v>22154</v>
      </c>
      <c r="H4228" t="s">
        <v>366</v>
      </c>
      <c r="L4228" t="s">
        <v>69</v>
      </c>
      <c r="M4228" t="s">
        <v>113</v>
      </c>
      <c r="R4228" t="s">
        <v>22154</v>
      </c>
      <c r="W4228" t="s">
        <v>22154</v>
      </c>
      <c r="X4228" t="s">
        <v>152</v>
      </c>
      <c r="Y4228" t="s">
        <v>153</v>
      </c>
      <c r="Z4228" t="s">
        <v>117</v>
      </c>
      <c r="AA4228" t="str">
        <f>"14301-1813"</f>
        <v>14301-1813</v>
      </c>
      <c r="AB4228" t="s">
        <v>872</v>
      </c>
      <c r="AC4228" t="s">
        <v>119</v>
      </c>
      <c r="AD4228" t="s">
        <v>113</v>
      </c>
      <c r="AE4228" t="s">
        <v>120</v>
      </c>
      <c r="AG4228" t="s">
        <v>121</v>
      </c>
    </row>
    <row r="4229" spans="1:33" x14ac:dyDescent="0.25">
      <c r="A4229" t="str">
        <f>"1982635504"</f>
        <v>1982635504</v>
      </c>
      <c r="B4229" t="str">
        <f>"01280359"</f>
        <v>01280359</v>
      </c>
      <c r="C4229" t="s">
        <v>22156</v>
      </c>
      <c r="D4229" t="s">
        <v>22157</v>
      </c>
      <c r="E4229" t="s">
        <v>22158</v>
      </c>
      <c r="G4229" t="s">
        <v>22156</v>
      </c>
      <c r="H4229" t="s">
        <v>22159</v>
      </c>
      <c r="J4229" t="s">
        <v>22160</v>
      </c>
      <c r="L4229" t="s">
        <v>150</v>
      </c>
      <c r="M4229" t="s">
        <v>113</v>
      </c>
      <c r="R4229" t="s">
        <v>22161</v>
      </c>
      <c r="W4229" t="s">
        <v>22162</v>
      </c>
      <c r="X4229" t="s">
        <v>815</v>
      </c>
      <c r="Y4229" t="s">
        <v>889</v>
      </c>
      <c r="Z4229" t="s">
        <v>117</v>
      </c>
      <c r="AA4229" t="str">
        <f>"14120-4435"</f>
        <v>14120-4435</v>
      </c>
      <c r="AB4229" t="s">
        <v>118</v>
      </c>
      <c r="AC4229" t="s">
        <v>119</v>
      </c>
      <c r="AD4229" t="s">
        <v>113</v>
      </c>
      <c r="AE4229" t="s">
        <v>120</v>
      </c>
      <c r="AG4229" t="s">
        <v>121</v>
      </c>
    </row>
    <row r="4230" spans="1:33" x14ac:dyDescent="0.25">
      <c r="A4230" t="str">
        <f>"1982636650"</f>
        <v>1982636650</v>
      </c>
      <c r="B4230" t="str">
        <f>"01191877"</f>
        <v>01191877</v>
      </c>
      <c r="C4230" t="s">
        <v>22163</v>
      </c>
      <c r="D4230" t="s">
        <v>22164</v>
      </c>
      <c r="E4230" t="s">
        <v>22165</v>
      </c>
      <c r="G4230" t="s">
        <v>22163</v>
      </c>
      <c r="H4230" t="s">
        <v>5291</v>
      </c>
      <c r="J4230" t="s">
        <v>22166</v>
      </c>
      <c r="L4230" t="s">
        <v>150</v>
      </c>
      <c r="M4230" t="s">
        <v>113</v>
      </c>
      <c r="R4230" t="s">
        <v>22167</v>
      </c>
      <c r="W4230" t="s">
        <v>22168</v>
      </c>
      <c r="X4230" t="s">
        <v>22169</v>
      </c>
      <c r="Y4230" t="s">
        <v>318</v>
      </c>
      <c r="Z4230" t="s">
        <v>117</v>
      </c>
      <c r="AA4230" t="str">
        <f>"14225-4031"</f>
        <v>14225-4031</v>
      </c>
      <c r="AB4230" t="s">
        <v>118</v>
      </c>
      <c r="AC4230" t="s">
        <v>119</v>
      </c>
      <c r="AD4230" t="s">
        <v>113</v>
      </c>
      <c r="AE4230" t="s">
        <v>120</v>
      </c>
      <c r="AG4230" t="s">
        <v>121</v>
      </c>
    </row>
    <row r="4231" spans="1:33" x14ac:dyDescent="0.25">
      <c r="A4231" t="str">
        <f>"1982650578"</f>
        <v>1982650578</v>
      </c>
      <c r="B4231" t="str">
        <f>"01341088"</f>
        <v>01341088</v>
      </c>
      <c r="C4231" t="s">
        <v>22170</v>
      </c>
      <c r="D4231" t="s">
        <v>22171</v>
      </c>
      <c r="E4231" t="s">
        <v>22172</v>
      </c>
      <c r="G4231" t="s">
        <v>22170</v>
      </c>
      <c r="H4231" t="s">
        <v>1478</v>
      </c>
      <c r="J4231" t="s">
        <v>22173</v>
      </c>
      <c r="L4231" t="s">
        <v>142</v>
      </c>
      <c r="M4231" t="s">
        <v>113</v>
      </c>
      <c r="R4231" t="s">
        <v>22174</v>
      </c>
      <c r="W4231" t="s">
        <v>22172</v>
      </c>
      <c r="X4231" t="s">
        <v>784</v>
      </c>
      <c r="Y4231" t="s">
        <v>240</v>
      </c>
      <c r="Z4231" t="s">
        <v>117</v>
      </c>
      <c r="AA4231" t="str">
        <f>"14221-3698"</f>
        <v>14221-3698</v>
      </c>
      <c r="AB4231" t="s">
        <v>118</v>
      </c>
      <c r="AC4231" t="s">
        <v>119</v>
      </c>
      <c r="AD4231" t="s">
        <v>113</v>
      </c>
      <c r="AE4231" t="s">
        <v>120</v>
      </c>
      <c r="AG4231" t="s">
        <v>121</v>
      </c>
    </row>
    <row r="4232" spans="1:33" x14ac:dyDescent="0.25">
      <c r="A4232" t="str">
        <f>"1982653630"</f>
        <v>1982653630</v>
      </c>
      <c r="B4232" t="str">
        <f>"02383195"</f>
        <v>02383195</v>
      </c>
      <c r="C4232" t="s">
        <v>22175</v>
      </c>
      <c r="D4232" t="s">
        <v>22176</v>
      </c>
      <c r="E4232" t="s">
        <v>22177</v>
      </c>
      <c r="G4232" t="s">
        <v>22175</v>
      </c>
      <c r="H4232" t="s">
        <v>205</v>
      </c>
      <c r="J4232" t="s">
        <v>22178</v>
      </c>
      <c r="L4232" t="s">
        <v>112</v>
      </c>
      <c r="M4232" t="s">
        <v>113</v>
      </c>
      <c r="R4232" t="s">
        <v>22179</v>
      </c>
      <c r="W4232" t="s">
        <v>22177</v>
      </c>
      <c r="X4232" t="s">
        <v>13466</v>
      </c>
      <c r="Y4232" t="s">
        <v>116</v>
      </c>
      <c r="Z4232" t="s">
        <v>117</v>
      </c>
      <c r="AA4232" t="str">
        <f>"14203-1194"</f>
        <v>14203-1194</v>
      </c>
      <c r="AB4232" t="s">
        <v>118</v>
      </c>
      <c r="AC4232" t="s">
        <v>119</v>
      </c>
      <c r="AD4232" t="s">
        <v>113</v>
      </c>
      <c r="AE4232" t="s">
        <v>120</v>
      </c>
      <c r="AG4232" t="s">
        <v>121</v>
      </c>
    </row>
    <row r="4233" spans="1:33" x14ac:dyDescent="0.25">
      <c r="A4233" t="str">
        <f>"1982653697"</f>
        <v>1982653697</v>
      </c>
      <c r="B4233" t="str">
        <f>"02259281"</f>
        <v>02259281</v>
      </c>
      <c r="C4233" t="s">
        <v>22180</v>
      </c>
      <c r="D4233" t="s">
        <v>22181</v>
      </c>
      <c r="E4233" t="s">
        <v>22182</v>
      </c>
      <c r="G4233" t="s">
        <v>22180</v>
      </c>
      <c r="H4233" t="s">
        <v>2156</v>
      </c>
      <c r="J4233" t="s">
        <v>22183</v>
      </c>
      <c r="L4233" t="s">
        <v>142</v>
      </c>
      <c r="M4233" t="s">
        <v>113</v>
      </c>
      <c r="R4233" t="s">
        <v>22184</v>
      </c>
      <c r="W4233" t="s">
        <v>22182</v>
      </c>
      <c r="X4233" t="s">
        <v>4642</v>
      </c>
      <c r="Y4233" t="s">
        <v>240</v>
      </c>
      <c r="Z4233" t="s">
        <v>117</v>
      </c>
      <c r="AA4233" t="str">
        <f>"14221-6800"</f>
        <v>14221-6800</v>
      </c>
      <c r="AB4233" t="s">
        <v>118</v>
      </c>
      <c r="AC4233" t="s">
        <v>119</v>
      </c>
      <c r="AD4233" t="s">
        <v>113</v>
      </c>
      <c r="AE4233" t="s">
        <v>120</v>
      </c>
      <c r="AG4233" t="s">
        <v>121</v>
      </c>
    </row>
    <row r="4234" spans="1:33" x14ac:dyDescent="0.25">
      <c r="A4234" t="str">
        <f>"1982659256"</f>
        <v>1982659256</v>
      </c>
      <c r="B4234" t="str">
        <f>"02419294"</f>
        <v>02419294</v>
      </c>
      <c r="C4234" t="s">
        <v>22185</v>
      </c>
      <c r="D4234" t="s">
        <v>22186</v>
      </c>
      <c r="E4234" t="s">
        <v>22187</v>
      </c>
      <c r="G4234" t="s">
        <v>22188</v>
      </c>
      <c r="H4234" t="s">
        <v>579</v>
      </c>
      <c r="L4234" t="s">
        <v>69</v>
      </c>
      <c r="M4234" t="s">
        <v>113</v>
      </c>
      <c r="R4234" t="s">
        <v>22185</v>
      </c>
      <c r="W4234" t="s">
        <v>22189</v>
      </c>
      <c r="X4234" t="s">
        <v>152</v>
      </c>
      <c r="Y4234" t="s">
        <v>153</v>
      </c>
      <c r="Z4234" t="s">
        <v>117</v>
      </c>
      <c r="AA4234" t="str">
        <f>"14301-1813"</f>
        <v>14301-1813</v>
      </c>
      <c r="AB4234" t="s">
        <v>872</v>
      </c>
      <c r="AC4234" t="s">
        <v>119</v>
      </c>
      <c r="AD4234" t="s">
        <v>113</v>
      </c>
      <c r="AE4234" t="s">
        <v>120</v>
      </c>
      <c r="AG4234" t="s">
        <v>121</v>
      </c>
    </row>
    <row r="4235" spans="1:33" x14ac:dyDescent="0.25">
      <c r="A4235" t="str">
        <f>"1982660205"</f>
        <v>1982660205</v>
      </c>
      <c r="B4235" t="str">
        <f>"02240040"</f>
        <v>02240040</v>
      </c>
      <c r="C4235" t="s">
        <v>22190</v>
      </c>
      <c r="D4235" t="s">
        <v>22191</v>
      </c>
      <c r="E4235" t="s">
        <v>22192</v>
      </c>
      <c r="G4235" t="s">
        <v>22190</v>
      </c>
      <c r="H4235" t="s">
        <v>22193</v>
      </c>
      <c r="J4235" t="s">
        <v>22194</v>
      </c>
      <c r="L4235" t="s">
        <v>150</v>
      </c>
      <c r="M4235" t="s">
        <v>113</v>
      </c>
      <c r="R4235" t="s">
        <v>22195</v>
      </c>
      <c r="W4235" t="s">
        <v>22192</v>
      </c>
      <c r="X4235" t="s">
        <v>13157</v>
      </c>
      <c r="Y4235" t="s">
        <v>1257</v>
      </c>
      <c r="Z4235" t="s">
        <v>117</v>
      </c>
      <c r="AA4235" t="str">
        <f>"14141-1314"</f>
        <v>14141-1314</v>
      </c>
      <c r="AB4235" t="s">
        <v>118</v>
      </c>
      <c r="AC4235" t="s">
        <v>119</v>
      </c>
      <c r="AD4235" t="s">
        <v>113</v>
      </c>
      <c r="AE4235" t="s">
        <v>120</v>
      </c>
      <c r="AG4235" t="s">
        <v>121</v>
      </c>
    </row>
    <row r="4236" spans="1:33" x14ac:dyDescent="0.25">
      <c r="A4236" t="str">
        <f>"1063447456"</f>
        <v>1063447456</v>
      </c>
      <c r="B4236" t="str">
        <f>"02505517"</f>
        <v>02505517</v>
      </c>
      <c r="C4236" t="s">
        <v>22196</v>
      </c>
      <c r="D4236" t="s">
        <v>22197</v>
      </c>
      <c r="E4236" t="s">
        <v>22198</v>
      </c>
      <c r="G4236" t="s">
        <v>22199</v>
      </c>
      <c r="H4236" t="s">
        <v>22200</v>
      </c>
      <c r="L4236" t="s">
        <v>150</v>
      </c>
      <c r="M4236" t="s">
        <v>199</v>
      </c>
      <c r="R4236" t="s">
        <v>22201</v>
      </c>
      <c r="W4236" t="s">
        <v>22198</v>
      </c>
      <c r="X4236" t="s">
        <v>18524</v>
      </c>
      <c r="Y4236" t="s">
        <v>116</v>
      </c>
      <c r="Z4236" t="s">
        <v>117</v>
      </c>
      <c r="AA4236" t="str">
        <f>"14225-2523"</f>
        <v>14225-2523</v>
      </c>
      <c r="AB4236" t="s">
        <v>118</v>
      </c>
      <c r="AC4236" t="s">
        <v>119</v>
      </c>
      <c r="AD4236" t="s">
        <v>113</v>
      </c>
      <c r="AE4236" t="s">
        <v>120</v>
      </c>
      <c r="AG4236" t="s">
        <v>121</v>
      </c>
    </row>
    <row r="4237" spans="1:33" x14ac:dyDescent="0.25">
      <c r="C4237" t="s">
        <v>22202</v>
      </c>
      <c r="G4237" t="s">
        <v>22199</v>
      </c>
      <c r="H4237" t="s">
        <v>22203</v>
      </c>
      <c r="K4237" t="s">
        <v>303</v>
      </c>
      <c r="L4237" t="s">
        <v>3095</v>
      </c>
      <c r="M4237" t="s">
        <v>113</v>
      </c>
      <c r="N4237" t="s">
        <v>22204</v>
      </c>
      <c r="O4237" t="s">
        <v>22205</v>
      </c>
      <c r="P4237" t="s">
        <v>117</v>
      </c>
      <c r="Q4237" t="str">
        <f>"14069"</f>
        <v>14069</v>
      </c>
      <c r="AC4237" t="s">
        <v>119</v>
      </c>
      <c r="AD4237" t="s">
        <v>113</v>
      </c>
      <c r="AE4237" t="s">
        <v>3098</v>
      </c>
      <c r="AG4237" t="s">
        <v>121</v>
      </c>
    </row>
    <row r="4238" spans="1:33" x14ac:dyDescent="0.25">
      <c r="A4238" t="str">
        <f>"1982747101"</f>
        <v>1982747101</v>
      </c>
      <c r="B4238" t="str">
        <f>"00635070"</f>
        <v>00635070</v>
      </c>
      <c r="C4238" t="s">
        <v>10048</v>
      </c>
      <c r="D4238" t="s">
        <v>22206</v>
      </c>
      <c r="E4238" t="s">
        <v>22207</v>
      </c>
      <c r="H4238" t="s">
        <v>10051</v>
      </c>
      <c r="L4238" t="s">
        <v>14</v>
      </c>
      <c r="M4238" t="s">
        <v>199</v>
      </c>
      <c r="R4238" t="s">
        <v>10048</v>
      </c>
      <c r="W4238" t="s">
        <v>22207</v>
      </c>
      <c r="X4238" t="s">
        <v>22208</v>
      </c>
      <c r="Y4238" t="s">
        <v>305</v>
      </c>
      <c r="Z4238" t="s">
        <v>117</v>
      </c>
      <c r="AA4238" t="str">
        <f>"14760-2511"</f>
        <v>14760-2511</v>
      </c>
      <c r="AB4238" t="s">
        <v>1460</v>
      </c>
      <c r="AC4238" t="s">
        <v>119</v>
      </c>
      <c r="AD4238" t="s">
        <v>113</v>
      </c>
      <c r="AE4238" t="s">
        <v>120</v>
      </c>
      <c r="AG4238" t="s">
        <v>121</v>
      </c>
    </row>
    <row r="4239" spans="1:33" x14ac:dyDescent="0.25">
      <c r="A4239" t="str">
        <f>"1982757605"</f>
        <v>1982757605</v>
      </c>
      <c r="B4239" t="str">
        <f>"03787419"</f>
        <v>03787419</v>
      </c>
      <c r="C4239" t="s">
        <v>22209</v>
      </c>
      <c r="D4239" t="s">
        <v>22210</v>
      </c>
      <c r="E4239" t="s">
        <v>22211</v>
      </c>
      <c r="G4239" t="s">
        <v>22212</v>
      </c>
      <c r="H4239" t="s">
        <v>22213</v>
      </c>
      <c r="J4239" t="s">
        <v>22214</v>
      </c>
      <c r="L4239" t="s">
        <v>112</v>
      </c>
      <c r="M4239" t="s">
        <v>113</v>
      </c>
      <c r="R4239" t="s">
        <v>22215</v>
      </c>
      <c r="W4239" t="s">
        <v>22211</v>
      </c>
      <c r="X4239" t="s">
        <v>8308</v>
      </c>
      <c r="Y4239" t="s">
        <v>116</v>
      </c>
      <c r="Z4239" t="s">
        <v>117</v>
      </c>
      <c r="AA4239" t="str">
        <f>"14213-2116"</f>
        <v>14213-2116</v>
      </c>
      <c r="AB4239" t="s">
        <v>621</v>
      </c>
      <c r="AC4239" t="s">
        <v>119</v>
      </c>
      <c r="AD4239" t="s">
        <v>113</v>
      </c>
      <c r="AE4239" t="s">
        <v>120</v>
      </c>
      <c r="AG4239" t="s">
        <v>121</v>
      </c>
    </row>
    <row r="4240" spans="1:33" x14ac:dyDescent="0.25">
      <c r="A4240" t="str">
        <f>"1982802476"</f>
        <v>1982802476</v>
      </c>
      <c r="B4240" t="str">
        <f>"03361828"</f>
        <v>03361828</v>
      </c>
      <c r="C4240" t="s">
        <v>22216</v>
      </c>
      <c r="D4240" t="s">
        <v>22217</v>
      </c>
      <c r="E4240" t="s">
        <v>22218</v>
      </c>
      <c r="G4240" t="s">
        <v>22219</v>
      </c>
      <c r="H4240" t="s">
        <v>22220</v>
      </c>
      <c r="J4240" t="s">
        <v>22221</v>
      </c>
      <c r="L4240" t="s">
        <v>142</v>
      </c>
      <c r="M4240" t="s">
        <v>113</v>
      </c>
      <c r="R4240" t="s">
        <v>22222</v>
      </c>
      <c r="W4240" t="s">
        <v>22218</v>
      </c>
      <c r="X4240" t="s">
        <v>22223</v>
      </c>
      <c r="Y4240" t="s">
        <v>2762</v>
      </c>
      <c r="Z4240" t="s">
        <v>117</v>
      </c>
      <c r="AA4240" t="str">
        <f>"14642-0001"</f>
        <v>14642-0001</v>
      </c>
      <c r="AB4240" t="s">
        <v>118</v>
      </c>
      <c r="AC4240" t="s">
        <v>119</v>
      </c>
      <c r="AD4240" t="s">
        <v>113</v>
      </c>
      <c r="AE4240" t="s">
        <v>120</v>
      </c>
      <c r="AG4240" t="s">
        <v>121</v>
      </c>
    </row>
    <row r="4241" spans="1:33" x14ac:dyDescent="0.25">
      <c r="A4241" t="str">
        <f>"1982815197"</f>
        <v>1982815197</v>
      </c>
      <c r="B4241" t="str">
        <f>"03495287"</f>
        <v>03495287</v>
      </c>
      <c r="C4241" t="s">
        <v>22224</v>
      </c>
      <c r="D4241" t="s">
        <v>22225</v>
      </c>
      <c r="E4241" t="s">
        <v>22226</v>
      </c>
      <c r="G4241" t="s">
        <v>22224</v>
      </c>
      <c r="H4241" t="s">
        <v>2695</v>
      </c>
      <c r="J4241" t="s">
        <v>22227</v>
      </c>
      <c r="L4241" t="s">
        <v>728</v>
      </c>
      <c r="M4241" t="s">
        <v>113</v>
      </c>
      <c r="R4241" t="s">
        <v>22228</v>
      </c>
      <c r="W4241" t="s">
        <v>22226</v>
      </c>
      <c r="X4241" t="s">
        <v>6282</v>
      </c>
      <c r="Y4241" t="s">
        <v>240</v>
      </c>
      <c r="Z4241" t="s">
        <v>117</v>
      </c>
      <c r="AA4241" t="str">
        <f>"14221-7099"</f>
        <v>14221-7099</v>
      </c>
      <c r="AB4241" t="s">
        <v>118</v>
      </c>
      <c r="AC4241" t="s">
        <v>119</v>
      </c>
      <c r="AD4241" t="s">
        <v>113</v>
      </c>
      <c r="AE4241" t="s">
        <v>120</v>
      </c>
      <c r="AG4241" t="s">
        <v>121</v>
      </c>
    </row>
    <row r="4242" spans="1:33" x14ac:dyDescent="0.25">
      <c r="A4242" t="str">
        <f>"1982838835"</f>
        <v>1982838835</v>
      </c>
      <c r="B4242" t="str">
        <f>"03836353"</f>
        <v>03836353</v>
      </c>
      <c r="C4242" t="s">
        <v>22229</v>
      </c>
      <c r="D4242" t="s">
        <v>22230</v>
      </c>
      <c r="E4242" t="s">
        <v>22231</v>
      </c>
      <c r="G4242" t="s">
        <v>22232</v>
      </c>
      <c r="H4242" t="s">
        <v>2280</v>
      </c>
      <c r="J4242" t="s">
        <v>22233</v>
      </c>
      <c r="L4242" t="s">
        <v>142</v>
      </c>
      <c r="M4242" t="s">
        <v>113</v>
      </c>
      <c r="R4242" t="s">
        <v>22234</v>
      </c>
      <c r="W4242" t="s">
        <v>22231</v>
      </c>
      <c r="X4242" t="s">
        <v>216</v>
      </c>
      <c r="Y4242" t="s">
        <v>116</v>
      </c>
      <c r="Z4242" t="s">
        <v>117</v>
      </c>
      <c r="AA4242" t="str">
        <f>"14222-2006"</f>
        <v>14222-2006</v>
      </c>
      <c r="AB4242" t="s">
        <v>118</v>
      </c>
      <c r="AC4242" t="s">
        <v>119</v>
      </c>
      <c r="AD4242" t="s">
        <v>113</v>
      </c>
      <c r="AE4242" t="s">
        <v>120</v>
      </c>
      <c r="AG4242" t="s">
        <v>121</v>
      </c>
    </row>
    <row r="4243" spans="1:33" x14ac:dyDescent="0.25">
      <c r="A4243" t="str">
        <f>"1982849659"</f>
        <v>1982849659</v>
      </c>
      <c r="B4243" t="str">
        <f>"03522552"</f>
        <v>03522552</v>
      </c>
      <c r="C4243" t="s">
        <v>22235</v>
      </c>
      <c r="D4243" t="s">
        <v>22236</v>
      </c>
      <c r="E4243" t="s">
        <v>22237</v>
      </c>
      <c r="G4243" t="s">
        <v>22238</v>
      </c>
      <c r="H4243" t="s">
        <v>22239</v>
      </c>
      <c r="L4243" t="s">
        <v>1033</v>
      </c>
      <c r="M4243" t="s">
        <v>113</v>
      </c>
      <c r="R4243" t="s">
        <v>22238</v>
      </c>
      <c r="W4243" t="s">
        <v>22237</v>
      </c>
      <c r="X4243" t="s">
        <v>1098</v>
      </c>
      <c r="Y4243" t="s">
        <v>305</v>
      </c>
      <c r="Z4243" t="s">
        <v>117</v>
      </c>
      <c r="AA4243" t="str">
        <f>"14760-1513"</f>
        <v>14760-1513</v>
      </c>
      <c r="AB4243" t="s">
        <v>118</v>
      </c>
      <c r="AC4243" t="s">
        <v>119</v>
      </c>
      <c r="AD4243" t="s">
        <v>113</v>
      </c>
      <c r="AE4243" t="s">
        <v>120</v>
      </c>
      <c r="AG4243" t="s">
        <v>121</v>
      </c>
    </row>
    <row r="4244" spans="1:33" x14ac:dyDescent="0.25">
      <c r="A4244" t="str">
        <f>"1982850160"</f>
        <v>1982850160</v>
      </c>
      <c r="B4244" t="str">
        <f>"03350621"</f>
        <v>03350621</v>
      </c>
      <c r="C4244" t="s">
        <v>22240</v>
      </c>
      <c r="D4244" t="s">
        <v>22241</v>
      </c>
      <c r="E4244" t="s">
        <v>22242</v>
      </c>
      <c r="G4244" t="s">
        <v>22243</v>
      </c>
      <c r="H4244" t="s">
        <v>22244</v>
      </c>
      <c r="J4244" t="s">
        <v>22245</v>
      </c>
      <c r="L4244" t="s">
        <v>112</v>
      </c>
      <c r="M4244" t="s">
        <v>113</v>
      </c>
      <c r="R4244" t="s">
        <v>22246</v>
      </c>
      <c r="W4244" t="s">
        <v>22247</v>
      </c>
      <c r="X4244" t="s">
        <v>216</v>
      </c>
      <c r="Y4244" t="s">
        <v>116</v>
      </c>
      <c r="Z4244" t="s">
        <v>117</v>
      </c>
      <c r="AA4244" t="str">
        <f>"14222-2006"</f>
        <v>14222-2006</v>
      </c>
      <c r="AB4244" t="s">
        <v>118</v>
      </c>
      <c r="AC4244" t="s">
        <v>119</v>
      </c>
      <c r="AD4244" t="s">
        <v>113</v>
      </c>
      <c r="AE4244" t="s">
        <v>120</v>
      </c>
      <c r="AG4244" t="s">
        <v>121</v>
      </c>
    </row>
    <row r="4245" spans="1:33" x14ac:dyDescent="0.25">
      <c r="A4245" t="str">
        <f>"1982866877"</f>
        <v>1982866877</v>
      </c>
      <c r="B4245" t="str">
        <f>"03218797"</f>
        <v>03218797</v>
      </c>
      <c r="C4245" t="s">
        <v>22248</v>
      </c>
      <c r="D4245" t="s">
        <v>22249</v>
      </c>
      <c r="E4245" t="s">
        <v>22250</v>
      </c>
      <c r="H4245" t="s">
        <v>22251</v>
      </c>
      <c r="L4245" t="s">
        <v>142</v>
      </c>
      <c r="M4245" t="s">
        <v>113</v>
      </c>
      <c r="R4245" t="s">
        <v>22252</v>
      </c>
      <c r="W4245" t="s">
        <v>22250</v>
      </c>
      <c r="X4245" t="s">
        <v>152</v>
      </c>
      <c r="Y4245" t="s">
        <v>153</v>
      </c>
      <c r="Z4245" t="s">
        <v>117</v>
      </c>
      <c r="AA4245" t="str">
        <f>"14301-1813"</f>
        <v>14301-1813</v>
      </c>
      <c r="AB4245" t="s">
        <v>118</v>
      </c>
      <c r="AC4245" t="s">
        <v>119</v>
      </c>
      <c r="AD4245" t="s">
        <v>113</v>
      </c>
      <c r="AE4245" t="s">
        <v>120</v>
      </c>
      <c r="AG4245" t="s">
        <v>121</v>
      </c>
    </row>
    <row r="4246" spans="1:33" x14ac:dyDescent="0.25">
      <c r="A4246" t="str">
        <f>"1982889903"</f>
        <v>1982889903</v>
      </c>
      <c r="C4246" t="s">
        <v>22253</v>
      </c>
      <c r="G4246" t="s">
        <v>22253</v>
      </c>
      <c r="H4246" t="s">
        <v>693</v>
      </c>
      <c r="J4246" t="s">
        <v>22254</v>
      </c>
      <c r="K4246" t="s">
        <v>303</v>
      </c>
      <c r="L4246" t="s">
        <v>112</v>
      </c>
      <c r="M4246" t="s">
        <v>113</v>
      </c>
      <c r="R4246" t="s">
        <v>22255</v>
      </c>
      <c r="S4246" t="s">
        <v>22256</v>
      </c>
      <c r="T4246" t="s">
        <v>240</v>
      </c>
      <c r="U4246" t="s">
        <v>117</v>
      </c>
      <c r="V4246" t="str">
        <f>"142217470"</f>
        <v>142217470</v>
      </c>
      <c r="AC4246" t="s">
        <v>119</v>
      </c>
      <c r="AD4246" t="s">
        <v>113</v>
      </c>
      <c r="AE4246" t="s">
        <v>306</v>
      </c>
      <c r="AG4246" t="s">
        <v>121</v>
      </c>
    </row>
    <row r="4247" spans="1:33" x14ac:dyDescent="0.25">
      <c r="A4247" t="str">
        <f>"1982920898"</f>
        <v>1982920898</v>
      </c>
      <c r="B4247" t="str">
        <f>"03418926"</f>
        <v>03418926</v>
      </c>
      <c r="C4247" t="s">
        <v>22257</v>
      </c>
      <c r="D4247" t="s">
        <v>22258</v>
      </c>
      <c r="E4247" t="s">
        <v>22259</v>
      </c>
      <c r="G4247" t="s">
        <v>22260</v>
      </c>
      <c r="H4247" t="s">
        <v>6733</v>
      </c>
      <c r="L4247" t="s">
        <v>150</v>
      </c>
      <c r="M4247" t="s">
        <v>113</v>
      </c>
      <c r="R4247" t="s">
        <v>22261</v>
      </c>
      <c r="W4247" t="s">
        <v>22259</v>
      </c>
      <c r="X4247" t="s">
        <v>855</v>
      </c>
      <c r="Y4247" t="s">
        <v>116</v>
      </c>
      <c r="Z4247" t="s">
        <v>117</v>
      </c>
      <c r="AA4247" t="str">
        <f>"14213-1573"</f>
        <v>14213-1573</v>
      </c>
      <c r="AB4247" t="s">
        <v>118</v>
      </c>
      <c r="AC4247" t="s">
        <v>119</v>
      </c>
      <c r="AD4247" t="s">
        <v>113</v>
      </c>
      <c r="AE4247" t="s">
        <v>120</v>
      </c>
      <c r="AG4247" t="s">
        <v>121</v>
      </c>
    </row>
    <row r="4248" spans="1:33" x14ac:dyDescent="0.25">
      <c r="A4248" t="str">
        <f>"1982943080"</f>
        <v>1982943080</v>
      </c>
      <c r="C4248" t="s">
        <v>6563</v>
      </c>
      <c r="H4248" t="s">
        <v>6567</v>
      </c>
      <c r="K4248" t="s">
        <v>303</v>
      </c>
      <c r="L4248" t="s">
        <v>229</v>
      </c>
      <c r="M4248" t="s">
        <v>113</v>
      </c>
      <c r="R4248" t="s">
        <v>6563</v>
      </c>
      <c r="S4248" t="s">
        <v>22262</v>
      </c>
      <c r="T4248" t="s">
        <v>153</v>
      </c>
      <c r="U4248" t="s">
        <v>117</v>
      </c>
      <c r="V4248" t="str">
        <f>"143011201"</f>
        <v>143011201</v>
      </c>
      <c r="AC4248" t="s">
        <v>119</v>
      </c>
      <c r="AD4248" t="s">
        <v>113</v>
      </c>
      <c r="AE4248" t="s">
        <v>306</v>
      </c>
      <c r="AG4248" t="s">
        <v>121</v>
      </c>
    </row>
    <row r="4249" spans="1:33" x14ac:dyDescent="0.25">
      <c r="A4249" t="str">
        <f>"1982945424"</f>
        <v>1982945424</v>
      </c>
      <c r="B4249" t="str">
        <f>"03743804"</f>
        <v>03743804</v>
      </c>
      <c r="C4249" t="s">
        <v>22263</v>
      </c>
      <c r="D4249" t="s">
        <v>22264</v>
      </c>
      <c r="E4249" t="s">
        <v>22265</v>
      </c>
      <c r="G4249" t="s">
        <v>22263</v>
      </c>
      <c r="H4249" t="s">
        <v>1478</v>
      </c>
      <c r="J4249" t="s">
        <v>22266</v>
      </c>
      <c r="L4249" t="s">
        <v>112</v>
      </c>
      <c r="M4249" t="s">
        <v>113</v>
      </c>
      <c r="R4249" t="s">
        <v>22267</v>
      </c>
      <c r="W4249" t="s">
        <v>22265</v>
      </c>
      <c r="X4249" t="s">
        <v>176</v>
      </c>
      <c r="Y4249" t="s">
        <v>116</v>
      </c>
      <c r="Z4249" t="s">
        <v>117</v>
      </c>
      <c r="AA4249" t="str">
        <f>"14203-1126"</f>
        <v>14203-1126</v>
      </c>
      <c r="AB4249" t="s">
        <v>118</v>
      </c>
      <c r="AC4249" t="s">
        <v>119</v>
      </c>
      <c r="AD4249" t="s">
        <v>113</v>
      </c>
      <c r="AE4249" t="s">
        <v>120</v>
      </c>
      <c r="AG4249" t="s">
        <v>121</v>
      </c>
    </row>
    <row r="4250" spans="1:33" x14ac:dyDescent="0.25">
      <c r="A4250" t="str">
        <f>"1982955282"</f>
        <v>1982955282</v>
      </c>
      <c r="C4250" t="s">
        <v>22268</v>
      </c>
      <c r="G4250" t="s">
        <v>22269</v>
      </c>
      <c r="H4250" t="s">
        <v>22270</v>
      </c>
      <c r="J4250" t="s">
        <v>22271</v>
      </c>
      <c r="K4250" t="s">
        <v>303</v>
      </c>
      <c r="L4250" t="s">
        <v>229</v>
      </c>
      <c r="M4250" t="s">
        <v>113</v>
      </c>
      <c r="R4250" t="s">
        <v>22272</v>
      </c>
      <c r="S4250" t="s">
        <v>22273</v>
      </c>
      <c r="T4250" t="s">
        <v>18721</v>
      </c>
      <c r="U4250" t="s">
        <v>117</v>
      </c>
      <c r="V4250" t="str">
        <f>"144541263"</f>
        <v>144541263</v>
      </c>
      <c r="AC4250" t="s">
        <v>119</v>
      </c>
      <c r="AD4250" t="s">
        <v>113</v>
      </c>
      <c r="AE4250" t="s">
        <v>306</v>
      </c>
      <c r="AG4250" t="s">
        <v>121</v>
      </c>
    </row>
    <row r="4251" spans="1:33" x14ac:dyDescent="0.25">
      <c r="A4251" t="str">
        <f>"1982956629"</f>
        <v>1982956629</v>
      </c>
      <c r="C4251" t="s">
        <v>22274</v>
      </c>
      <c r="G4251" t="s">
        <v>22275</v>
      </c>
      <c r="H4251" t="s">
        <v>351</v>
      </c>
      <c r="J4251" t="s">
        <v>352</v>
      </c>
      <c r="K4251" t="s">
        <v>303</v>
      </c>
      <c r="L4251" t="s">
        <v>229</v>
      </c>
      <c r="M4251" t="s">
        <v>113</v>
      </c>
      <c r="R4251" t="s">
        <v>22276</v>
      </c>
      <c r="S4251" t="s">
        <v>354</v>
      </c>
      <c r="T4251" t="s">
        <v>116</v>
      </c>
      <c r="U4251" t="s">
        <v>117</v>
      </c>
      <c r="V4251" t="str">
        <f>"142152814"</f>
        <v>142152814</v>
      </c>
      <c r="AC4251" t="s">
        <v>119</v>
      </c>
      <c r="AD4251" t="s">
        <v>113</v>
      </c>
      <c r="AE4251" t="s">
        <v>306</v>
      </c>
      <c r="AG4251" t="s">
        <v>121</v>
      </c>
    </row>
    <row r="4252" spans="1:33" x14ac:dyDescent="0.25">
      <c r="A4252" t="str">
        <f>"1992001903"</f>
        <v>1992001903</v>
      </c>
      <c r="B4252" t="str">
        <f>"03717957"</f>
        <v>03717957</v>
      </c>
      <c r="C4252" t="s">
        <v>22277</v>
      </c>
      <c r="D4252" t="s">
        <v>22278</v>
      </c>
      <c r="E4252" t="s">
        <v>22279</v>
      </c>
      <c r="G4252" t="s">
        <v>22277</v>
      </c>
      <c r="H4252" t="s">
        <v>22280</v>
      </c>
      <c r="J4252" t="s">
        <v>22281</v>
      </c>
      <c r="L4252" t="s">
        <v>112</v>
      </c>
      <c r="M4252" t="s">
        <v>113</v>
      </c>
      <c r="R4252" t="s">
        <v>22282</v>
      </c>
      <c r="W4252" t="s">
        <v>22283</v>
      </c>
      <c r="X4252" t="s">
        <v>176</v>
      </c>
      <c r="Y4252" t="s">
        <v>116</v>
      </c>
      <c r="Z4252" t="s">
        <v>117</v>
      </c>
      <c r="AA4252" t="str">
        <f>"14203-1126"</f>
        <v>14203-1126</v>
      </c>
      <c r="AB4252" t="s">
        <v>118</v>
      </c>
      <c r="AC4252" t="s">
        <v>119</v>
      </c>
      <c r="AD4252" t="s">
        <v>113</v>
      </c>
      <c r="AE4252" t="s">
        <v>120</v>
      </c>
      <c r="AG4252" t="s">
        <v>121</v>
      </c>
    </row>
    <row r="4253" spans="1:33" x14ac:dyDescent="0.25">
      <c r="A4253" t="str">
        <f>"1992019038"</f>
        <v>1992019038</v>
      </c>
      <c r="B4253" t="str">
        <f>"03322534"</f>
        <v>03322534</v>
      </c>
      <c r="C4253" t="s">
        <v>22284</v>
      </c>
      <c r="D4253" t="s">
        <v>22285</v>
      </c>
      <c r="E4253" t="s">
        <v>22286</v>
      </c>
      <c r="G4253" t="s">
        <v>22287</v>
      </c>
      <c r="H4253" t="s">
        <v>1478</v>
      </c>
      <c r="J4253" t="s">
        <v>22288</v>
      </c>
      <c r="L4253" t="s">
        <v>150</v>
      </c>
      <c r="M4253" t="s">
        <v>199</v>
      </c>
      <c r="R4253" t="s">
        <v>22289</v>
      </c>
      <c r="W4253" t="s">
        <v>22290</v>
      </c>
      <c r="X4253" t="s">
        <v>3728</v>
      </c>
      <c r="Y4253" t="s">
        <v>116</v>
      </c>
      <c r="Z4253" t="s">
        <v>117</v>
      </c>
      <c r="AA4253" t="str">
        <f>"14215-3021"</f>
        <v>14215-3021</v>
      </c>
      <c r="AB4253" t="s">
        <v>118</v>
      </c>
      <c r="AC4253" t="s">
        <v>119</v>
      </c>
      <c r="AD4253" t="s">
        <v>113</v>
      </c>
      <c r="AE4253" t="s">
        <v>120</v>
      </c>
      <c r="AG4253" t="s">
        <v>121</v>
      </c>
    </row>
    <row r="4254" spans="1:33" x14ac:dyDescent="0.25">
      <c r="A4254" t="str">
        <f>"1992039861"</f>
        <v>1992039861</v>
      </c>
      <c r="B4254" t="str">
        <f>"03158041"</f>
        <v>03158041</v>
      </c>
      <c r="C4254" t="s">
        <v>22291</v>
      </c>
      <c r="D4254" t="s">
        <v>22292</v>
      </c>
      <c r="E4254" t="s">
        <v>22293</v>
      </c>
      <c r="G4254" t="s">
        <v>1816</v>
      </c>
      <c r="H4254" t="s">
        <v>22294</v>
      </c>
      <c r="J4254" t="s">
        <v>1818</v>
      </c>
      <c r="L4254" t="s">
        <v>150</v>
      </c>
      <c r="M4254" t="s">
        <v>113</v>
      </c>
      <c r="R4254" t="s">
        <v>22295</v>
      </c>
      <c r="W4254" t="s">
        <v>22296</v>
      </c>
      <c r="X4254" t="s">
        <v>518</v>
      </c>
      <c r="Y4254" t="s">
        <v>305</v>
      </c>
      <c r="Z4254" t="s">
        <v>117</v>
      </c>
      <c r="AA4254" t="str">
        <f>"14760-1500"</f>
        <v>14760-1500</v>
      </c>
      <c r="AB4254" t="s">
        <v>118</v>
      </c>
      <c r="AC4254" t="s">
        <v>119</v>
      </c>
      <c r="AD4254" t="s">
        <v>113</v>
      </c>
      <c r="AE4254" t="s">
        <v>120</v>
      </c>
      <c r="AG4254" t="s">
        <v>121</v>
      </c>
    </row>
    <row r="4255" spans="1:33" x14ac:dyDescent="0.25">
      <c r="A4255" t="str">
        <f>"1790870103"</f>
        <v>1790870103</v>
      </c>
      <c r="B4255" t="str">
        <f>"00566445"</f>
        <v>00566445</v>
      </c>
      <c r="C4255" t="s">
        <v>22297</v>
      </c>
      <c r="D4255" t="s">
        <v>22298</v>
      </c>
      <c r="E4255" t="s">
        <v>22299</v>
      </c>
      <c r="G4255" t="s">
        <v>22300</v>
      </c>
      <c r="H4255" t="s">
        <v>22301</v>
      </c>
      <c r="J4255" t="s">
        <v>22302</v>
      </c>
      <c r="L4255" t="s">
        <v>112</v>
      </c>
      <c r="M4255" t="s">
        <v>113</v>
      </c>
      <c r="R4255" t="s">
        <v>22303</v>
      </c>
      <c r="W4255" t="s">
        <v>22299</v>
      </c>
      <c r="X4255" t="s">
        <v>15533</v>
      </c>
      <c r="Y4255" t="s">
        <v>116</v>
      </c>
      <c r="Z4255" t="s">
        <v>117</v>
      </c>
      <c r="AA4255" t="str">
        <f>"14203-1154"</f>
        <v>14203-1154</v>
      </c>
      <c r="AB4255" t="s">
        <v>118</v>
      </c>
      <c r="AC4255" t="s">
        <v>119</v>
      </c>
      <c r="AD4255" t="s">
        <v>113</v>
      </c>
      <c r="AE4255" t="s">
        <v>120</v>
      </c>
      <c r="AG4255" t="s">
        <v>121</v>
      </c>
    </row>
    <row r="4256" spans="1:33" x14ac:dyDescent="0.25">
      <c r="A4256" t="str">
        <f>"1790892826"</f>
        <v>1790892826</v>
      </c>
      <c r="B4256" t="str">
        <f>"02405181"</f>
        <v>02405181</v>
      </c>
      <c r="C4256" t="s">
        <v>22304</v>
      </c>
      <c r="D4256" t="s">
        <v>22305</v>
      </c>
      <c r="E4256" t="s">
        <v>22306</v>
      </c>
      <c r="H4256" t="s">
        <v>22307</v>
      </c>
      <c r="L4256" t="s">
        <v>142</v>
      </c>
      <c r="M4256" t="s">
        <v>113</v>
      </c>
      <c r="R4256" t="s">
        <v>22304</v>
      </c>
      <c r="W4256" t="s">
        <v>22306</v>
      </c>
      <c r="X4256" t="s">
        <v>22308</v>
      </c>
      <c r="Y4256" t="s">
        <v>240</v>
      </c>
      <c r="Z4256" t="s">
        <v>117</v>
      </c>
      <c r="AA4256" t="str">
        <f>"14221-5626"</f>
        <v>14221-5626</v>
      </c>
      <c r="AB4256" t="s">
        <v>22309</v>
      </c>
      <c r="AC4256" t="s">
        <v>119</v>
      </c>
      <c r="AD4256" t="s">
        <v>113</v>
      </c>
      <c r="AE4256" t="s">
        <v>120</v>
      </c>
      <c r="AG4256" t="s">
        <v>121</v>
      </c>
    </row>
    <row r="4257" spans="1:33" x14ac:dyDescent="0.25">
      <c r="A4257" t="str">
        <f>"1790899144"</f>
        <v>1790899144</v>
      </c>
      <c r="B4257" t="str">
        <f>"02564987"</f>
        <v>02564987</v>
      </c>
      <c r="C4257" t="s">
        <v>22310</v>
      </c>
      <c r="D4257" t="s">
        <v>22311</v>
      </c>
      <c r="E4257" t="s">
        <v>22312</v>
      </c>
      <c r="G4257" t="s">
        <v>22310</v>
      </c>
      <c r="H4257" t="s">
        <v>1164</v>
      </c>
      <c r="J4257" t="s">
        <v>22313</v>
      </c>
      <c r="L4257" t="s">
        <v>112</v>
      </c>
      <c r="M4257" t="s">
        <v>113</v>
      </c>
      <c r="R4257" t="s">
        <v>22314</v>
      </c>
      <c r="W4257" t="s">
        <v>22312</v>
      </c>
      <c r="X4257" t="s">
        <v>22312</v>
      </c>
      <c r="Y4257" t="s">
        <v>9511</v>
      </c>
      <c r="Z4257" t="s">
        <v>117</v>
      </c>
      <c r="AA4257" t="str">
        <f>"14420-1517"</f>
        <v>14420-1517</v>
      </c>
      <c r="AB4257" t="s">
        <v>118</v>
      </c>
      <c r="AC4257" t="s">
        <v>119</v>
      </c>
      <c r="AD4257" t="s">
        <v>113</v>
      </c>
      <c r="AE4257" t="s">
        <v>120</v>
      </c>
      <c r="AG4257" t="s">
        <v>121</v>
      </c>
    </row>
    <row r="4258" spans="1:33" x14ac:dyDescent="0.25">
      <c r="A4258" t="str">
        <f>"1790899326"</f>
        <v>1790899326</v>
      </c>
      <c r="B4258" t="str">
        <f>"02504603"</f>
        <v>02504603</v>
      </c>
      <c r="C4258" t="s">
        <v>22315</v>
      </c>
      <c r="D4258" t="s">
        <v>22316</v>
      </c>
      <c r="E4258" t="s">
        <v>22317</v>
      </c>
      <c r="G4258" t="s">
        <v>22315</v>
      </c>
      <c r="H4258" t="s">
        <v>22318</v>
      </c>
      <c r="J4258" t="s">
        <v>22319</v>
      </c>
      <c r="L4258" t="s">
        <v>142</v>
      </c>
      <c r="M4258" t="s">
        <v>113</v>
      </c>
      <c r="R4258" t="s">
        <v>22320</v>
      </c>
      <c r="W4258" t="s">
        <v>22317</v>
      </c>
      <c r="X4258" t="s">
        <v>1304</v>
      </c>
      <c r="Y4258" t="s">
        <v>116</v>
      </c>
      <c r="Z4258" t="s">
        <v>117</v>
      </c>
      <c r="AA4258" t="str">
        <f>"14220-2039"</f>
        <v>14220-2039</v>
      </c>
      <c r="AB4258" t="s">
        <v>118</v>
      </c>
      <c r="AC4258" t="s">
        <v>119</v>
      </c>
      <c r="AD4258" t="s">
        <v>113</v>
      </c>
      <c r="AE4258" t="s">
        <v>120</v>
      </c>
      <c r="AG4258" t="s">
        <v>121</v>
      </c>
    </row>
    <row r="4259" spans="1:33" x14ac:dyDescent="0.25">
      <c r="A4259" t="str">
        <f>"1790899458"</f>
        <v>1790899458</v>
      </c>
      <c r="B4259" t="str">
        <f>"00753975"</f>
        <v>00753975</v>
      </c>
      <c r="C4259" t="s">
        <v>22321</v>
      </c>
      <c r="D4259" t="s">
        <v>22322</v>
      </c>
      <c r="E4259" t="s">
        <v>22323</v>
      </c>
      <c r="G4259" t="s">
        <v>22321</v>
      </c>
      <c r="H4259" t="s">
        <v>14712</v>
      </c>
      <c r="J4259" t="s">
        <v>22324</v>
      </c>
      <c r="L4259" t="s">
        <v>150</v>
      </c>
      <c r="M4259" t="s">
        <v>113</v>
      </c>
      <c r="R4259" t="s">
        <v>22325</v>
      </c>
      <c r="W4259" t="s">
        <v>22323</v>
      </c>
      <c r="X4259" t="s">
        <v>22326</v>
      </c>
      <c r="Y4259" t="s">
        <v>145</v>
      </c>
      <c r="Z4259" t="s">
        <v>117</v>
      </c>
      <c r="AA4259" t="str">
        <f>"14051-2610"</f>
        <v>14051-2610</v>
      </c>
      <c r="AB4259" t="s">
        <v>118</v>
      </c>
      <c r="AC4259" t="s">
        <v>119</v>
      </c>
      <c r="AD4259" t="s">
        <v>113</v>
      </c>
      <c r="AE4259" t="s">
        <v>120</v>
      </c>
      <c r="AG4259" t="s">
        <v>121</v>
      </c>
    </row>
    <row r="4260" spans="1:33" x14ac:dyDescent="0.25">
      <c r="A4260" t="str">
        <f>"1790917623"</f>
        <v>1790917623</v>
      </c>
      <c r="B4260" t="str">
        <f>"03253761"</f>
        <v>03253761</v>
      </c>
      <c r="C4260" t="s">
        <v>22327</v>
      </c>
      <c r="D4260" t="s">
        <v>22328</v>
      </c>
      <c r="E4260" t="s">
        <v>22329</v>
      </c>
      <c r="G4260" t="s">
        <v>22327</v>
      </c>
      <c r="H4260" t="s">
        <v>22330</v>
      </c>
      <c r="J4260" t="s">
        <v>22331</v>
      </c>
      <c r="L4260" t="s">
        <v>112</v>
      </c>
      <c r="M4260" t="s">
        <v>113</v>
      </c>
      <c r="R4260" t="s">
        <v>22332</v>
      </c>
      <c r="W4260" t="s">
        <v>22329</v>
      </c>
      <c r="X4260" t="s">
        <v>176</v>
      </c>
      <c r="Y4260" t="s">
        <v>116</v>
      </c>
      <c r="Z4260" t="s">
        <v>117</v>
      </c>
      <c r="AA4260" t="str">
        <f>"14203-1126"</f>
        <v>14203-1126</v>
      </c>
      <c r="AB4260" t="s">
        <v>118</v>
      </c>
      <c r="AC4260" t="s">
        <v>119</v>
      </c>
      <c r="AD4260" t="s">
        <v>113</v>
      </c>
      <c r="AE4260" t="s">
        <v>120</v>
      </c>
      <c r="AG4260" t="s">
        <v>121</v>
      </c>
    </row>
    <row r="4261" spans="1:33" x14ac:dyDescent="0.25">
      <c r="A4261" t="str">
        <f>"1790948123"</f>
        <v>1790948123</v>
      </c>
      <c r="B4261" t="str">
        <f>"03571400"</f>
        <v>03571400</v>
      </c>
      <c r="C4261" t="s">
        <v>22333</v>
      </c>
      <c r="D4261" t="s">
        <v>22334</v>
      </c>
      <c r="E4261" t="s">
        <v>22335</v>
      </c>
      <c r="G4261" t="s">
        <v>22333</v>
      </c>
      <c r="H4261" t="s">
        <v>22336</v>
      </c>
      <c r="J4261" t="s">
        <v>22337</v>
      </c>
      <c r="L4261" t="s">
        <v>142</v>
      </c>
      <c r="M4261" t="s">
        <v>199</v>
      </c>
      <c r="R4261" t="s">
        <v>22335</v>
      </c>
      <c r="W4261" t="s">
        <v>22335</v>
      </c>
      <c r="X4261" t="s">
        <v>7792</v>
      </c>
      <c r="Y4261" t="s">
        <v>116</v>
      </c>
      <c r="Z4261" t="s">
        <v>117</v>
      </c>
      <c r="AA4261" t="str">
        <f>"14209-2102"</f>
        <v>14209-2102</v>
      </c>
      <c r="AB4261" t="s">
        <v>118</v>
      </c>
      <c r="AC4261" t="s">
        <v>119</v>
      </c>
      <c r="AD4261" t="s">
        <v>113</v>
      </c>
      <c r="AE4261" t="s">
        <v>120</v>
      </c>
      <c r="AG4261" t="s">
        <v>121</v>
      </c>
    </row>
    <row r="4262" spans="1:33" x14ac:dyDescent="0.25">
      <c r="A4262" t="str">
        <f>"1790960904"</f>
        <v>1790960904</v>
      </c>
      <c r="B4262" t="str">
        <f>"03303697"</f>
        <v>03303697</v>
      </c>
      <c r="C4262" t="s">
        <v>22338</v>
      </c>
      <c r="D4262" t="s">
        <v>22339</v>
      </c>
      <c r="E4262" t="s">
        <v>22340</v>
      </c>
      <c r="G4262" t="s">
        <v>22338</v>
      </c>
      <c r="H4262" t="s">
        <v>707</v>
      </c>
      <c r="J4262" t="s">
        <v>22341</v>
      </c>
      <c r="L4262" t="s">
        <v>112</v>
      </c>
      <c r="M4262" t="s">
        <v>113</v>
      </c>
      <c r="R4262" t="s">
        <v>22342</v>
      </c>
      <c r="W4262" t="s">
        <v>22340</v>
      </c>
      <c r="X4262" t="s">
        <v>709</v>
      </c>
      <c r="Y4262" t="s">
        <v>116</v>
      </c>
      <c r="Z4262" t="s">
        <v>117</v>
      </c>
      <c r="AA4262" t="str">
        <f>"14263-0001"</f>
        <v>14263-0001</v>
      </c>
      <c r="AB4262" t="s">
        <v>118</v>
      </c>
      <c r="AC4262" t="s">
        <v>119</v>
      </c>
      <c r="AD4262" t="s">
        <v>113</v>
      </c>
      <c r="AE4262" t="s">
        <v>120</v>
      </c>
      <c r="AG4262" t="s">
        <v>121</v>
      </c>
    </row>
    <row r="4263" spans="1:33" x14ac:dyDescent="0.25">
      <c r="A4263" t="str">
        <f>"1801000963"</f>
        <v>1801000963</v>
      </c>
      <c r="B4263" t="str">
        <f>"04376990"</f>
        <v>04376990</v>
      </c>
      <c r="C4263" t="s">
        <v>22343</v>
      </c>
      <c r="D4263" t="s">
        <v>22344</v>
      </c>
      <c r="E4263" t="s">
        <v>22345</v>
      </c>
      <c r="G4263" t="s">
        <v>22346</v>
      </c>
      <c r="H4263" t="s">
        <v>22347</v>
      </c>
      <c r="J4263" t="s">
        <v>22348</v>
      </c>
      <c r="L4263" t="s">
        <v>112</v>
      </c>
      <c r="M4263" t="s">
        <v>113</v>
      </c>
      <c r="R4263" t="s">
        <v>22349</v>
      </c>
      <c r="W4263" t="s">
        <v>22345</v>
      </c>
      <c r="X4263" t="s">
        <v>8191</v>
      </c>
      <c r="Y4263" t="s">
        <v>8192</v>
      </c>
      <c r="Z4263" t="s">
        <v>117</v>
      </c>
      <c r="AA4263" t="str">
        <f>"10701-1301"</f>
        <v>10701-1301</v>
      </c>
      <c r="AB4263" t="s">
        <v>118</v>
      </c>
      <c r="AC4263" t="s">
        <v>119</v>
      </c>
      <c r="AD4263" t="s">
        <v>113</v>
      </c>
      <c r="AE4263" t="s">
        <v>120</v>
      </c>
      <c r="AG4263" t="s">
        <v>121</v>
      </c>
    </row>
    <row r="4264" spans="1:33" x14ac:dyDescent="0.25">
      <c r="A4264" t="str">
        <f>"1801020581"</f>
        <v>1801020581</v>
      </c>
      <c r="B4264" t="str">
        <f>"03470091"</f>
        <v>03470091</v>
      </c>
      <c r="C4264" t="s">
        <v>22350</v>
      </c>
      <c r="D4264" t="s">
        <v>22351</v>
      </c>
      <c r="E4264" t="s">
        <v>22352</v>
      </c>
      <c r="G4264" t="s">
        <v>22350</v>
      </c>
      <c r="H4264" t="s">
        <v>22353</v>
      </c>
      <c r="J4264" t="s">
        <v>22354</v>
      </c>
      <c r="L4264" t="s">
        <v>7480</v>
      </c>
      <c r="M4264" t="s">
        <v>199</v>
      </c>
      <c r="R4264" t="s">
        <v>22355</v>
      </c>
      <c r="W4264" t="s">
        <v>22352</v>
      </c>
      <c r="X4264" t="s">
        <v>176</v>
      </c>
      <c r="Y4264" t="s">
        <v>116</v>
      </c>
      <c r="Z4264" t="s">
        <v>117</v>
      </c>
      <c r="AA4264" t="str">
        <f>"14203-1126"</f>
        <v>14203-1126</v>
      </c>
      <c r="AB4264" t="s">
        <v>118</v>
      </c>
      <c r="AC4264" t="s">
        <v>119</v>
      </c>
      <c r="AD4264" t="s">
        <v>113</v>
      </c>
      <c r="AE4264" t="s">
        <v>120</v>
      </c>
      <c r="AG4264" t="s">
        <v>121</v>
      </c>
    </row>
    <row r="4265" spans="1:33" x14ac:dyDescent="0.25">
      <c r="A4265" t="str">
        <f>"1801035985"</f>
        <v>1801035985</v>
      </c>
      <c r="B4265" t="str">
        <f>"03488117"</f>
        <v>03488117</v>
      </c>
      <c r="C4265" t="s">
        <v>22356</v>
      </c>
      <c r="D4265" t="s">
        <v>22357</v>
      </c>
      <c r="E4265" t="s">
        <v>22358</v>
      </c>
      <c r="G4265" t="s">
        <v>859</v>
      </c>
      <c r="H4265" t="s">
        <v>22359</v>
      </c>
      <c r="J4265" t="s">
        <v>861</v>
      </c>
      <c r="L4265" t="s">
        <v>112</v>
      </c>
      <c r="M4265" t="s">
        <v>113</v>
      </c>
      <c r="R4265" t="s">
        <v>22358</v>
      </c>
      <c r="W4265" t="s">
        <v>22358</v>
      </c>
      <c r="X4265" t="s">
        <v>22360</v>
      </c>
      <c r="Y4265" t="s">
        <v>6540</v>
      </c>
      <c r="Z4265" t="s">
        <v>117</v>
      </c>
      <c r="AA4265" t="str">
        <f>"12204-1004"</f>
        <v>12204-1004</v>
      </c>
      <c r="AB4265" t="s">
        <v>118</v>
      </c>
      <c r="AC4265" t="s">
        <v>119</v>
      </c>
      <c r="AD4265" t="s">
        <v>113</v>
      </c>
      <c r="AE4265" t="s">
        <v>120</v>
      </c>
      <c r="AG4265" t="s">
        <v>121</v>
      </c>
    </row>
    <row r="4266" spans="1:33" x14ac:dyDescent="0.25">
      <c r="A4266" t="str">
        <f>"1609034305"</f>
        <v>1609034305</v>
      </c>
      <c r="B4266" t="str">
        <f>"03437065"</f>
        <v>03437065</v>
      </c>
      <c r="C4266" t="s">
        <v>22361</v>
      </c>
      <c r="D4266" t="s">
        <v>22362</v>
      </c>
      <c r="E4266" t="s">
        <v>22363</v>
      </c>
      <c r="G4266" t="s">
        <v>20732</v>
      </c>
      <c r="H4266" t="s">
        <v>443</v>
      </c>
      <c r="J4266" t="s">
        <v>20733</v>
      </c>
      <c r="L4266" t="s">
        <v>7480</v>
      </c>
      <c r="M4266" t="s">
        <v>113</v>
      </c>
      <c r="R4266" t="s">
        <v>22364</v>
      </c>
      <c r="W4266" t="s">
        <v>22363</v>
      </c>
      <c r="X4266" t="s">
        <v>1922</v>
      </c>
      <c r="Y4266" t="s">
        <v>268</v>
      </c>
      <c r="Z4266" t="s">
        <v>117</v>
      </c>
      <c r="AA4266" t="str">
        <f>"14150-8441"</f>
        <v>14150-8441</v>
      </c>
      <c r="AB4266" t="s">
        <v>118</v>
      </c>
      <c r="AC4266" t="s">
        <v>119</v>
      </c>
      <c r="AD4266" t="s">
        <v>113</v>
      </c>
      <c r="AE4266" t="s">
        <v>120</v>
      </c>
      <c r="AG4266" t="s">
        <v>121</v>
      </c>
    </row>
    <row r="4267" spans="1:33" x14ac:dyDescent="0.25">
      <c r="A4267" t="str">
        <f>"1699012856"</f>
        <v>1699012856</v>
      </c>
      <c r="C4267" t="s">
        <v>22365</v>
      </c>
      <c r="G4267" t="s">
        <v>20732</v>
      </c>
      <c r="H4267" t="s">
        <v>443</v>
      </c>
      <c r="J4267" t="s">
        <v>20733</v>
      </c>
      <c r="K4267" t="s">
        <v>303</v>
      </c>
      <c r="L4267" t="s">
        <v>229</v>
      </c>
      <c r="M4267" t="s">
        <v>113</v>
      </c>
      <c r="R4267" t="s">
        <v>22366</v>
      </c>
      <c r="S4267" t="s">
        <v>354</v>
      </c>
      <c r="T4267" t="s">
        <v>116</v>
      </c>
      <c r="U4267" t="s">
        <v>117</v>
      </c>
      <c r="V4267" t="str">
        <f>"142152814"</f>
        <v>142152814</v>
      </c>
      <c r="AC4267" t="s">
        <v>119</v>
      </c>
      <c r="AD4267" t="s">
        <v>113</v>
      </c>
      <c r="AE4267" t="s">
        <v>306</v>
      </c>
      <c r="AG4267" t="s">
        <v>121</v>
      </c>
    </row>
    <row r="4268" spans="1:33" x14ac:dyDescent="0.25">
      <c r="A4268" t="str">
        <f>"1629320361"</f>
        <v>1629320361</v>
      </c>
      <c r="C4268" t="s">
        <v>22367</v>
      </c>
      <c r="G4268" t="s">
        <v>20732</v>
      </c>
      <c r="H4268" t="s">
        <v>443</v>
      </c>
      <c r="J4268" t="s">
        <v>20733</v>
      </c>
      <c r="K4268" t="s">
        <v>303</v>
      </c>
      <c r="L4268" t="s">
        <v>229</v>
      </c>
      <c r="M4268" t="s">
        <v>113</v>
      </c>
      <c r="R4268" t="s">
        <v>22368</v>
      </c>
      <c r="S4268" t="s">
        <v>354</v>
      </c>
      <c r="T4268" t="s">
        <v>116</v>
      </c>
      <c r="U4268" t="s">
        <v>117</v>
      </c>
      <c r="V4268" t="str">
        <f>"142152814"</f>
        <v>142152814</v>
      </c>
      <c r="AC4268" t="s">
        <v>119</v>
      </c>
      <c r="AD4268" t="s">
        <v>113</v>
      </c>
      <c r="AE4268" t="s">
        <v>306</v>
      </c>
      <c r="AG4268" t="s">
        <v>121</v>
      </c>
    </row>
    <row r="4269" spans="1:33" x14ac:dyDescent="0.25">
      <c r="A4269" t="str">
        <f>"1841412673"</f>
        <v>1841412673</v>
      </c>
      <c r="C4269" t="s">
        <v>22369</v>
      </c>
      <c r="G4269" t="s">
        <v>20732</v>
      </c>
      <c r="H4269" t="s">
        <v>443</v>
      </c>
      <c r="J4269" t="s">
        <v>20733</v>
      </c>
      <c r="K4269" t="s">
        <v>303</v>
      </c>
      <c r="L4269" t="s">
        <v>112</v>
      </c>
      <c r="M4269" t="s">
        <v>113</v>
      </c>
      <c r="R4269" t="s">
        <v>22370</v>
      </c>
      <c r="S4269" t="s">
        <v>18245</v>
      </c>
      <c r="T4269" t="s">
        <v>116</v>
      </c>
      <c r="U4269" t="s">
        <v>117</v>
      </c>
      <c r="V4269" t="str">
        <f>"14209"</f>
        <v>14209</v>
      </c>
      <c r="AC4269" t="s">
        <v>119</v>
      </c>
      <c r="AD4269" t="s">
        <v>113</v>
      </c>
      <c r="AE4269" t="s">
        <v>306</v>
      </c>
      <c r="AG4269" t="s">
        <v>121</v>
      </c>
    </row>
    <row r="4270" spans="1:33" x14ac:dyDescent="0.25">
      <c r="A4270" t="str">
        <f>"1275814410"</f>
        <v>1275814410</v>
      </c>
      <c r="C4270" t="s">
        <v>22371</v>
      </c>
      <c r="G4270" t="s">
        <v>20732</v>
      </c>
      <c r="H4270" t="s">
        <v>443</v>
      </c>
      <c r="J4270" t="s">
        <v>20733</v>
      </c>
      <c r="K4270" t="s">
        <v>303</v>
      </c>
      <c r="L4270" t="s">
        <v>229</v>
      </c>
      <c r="M4270" t="s">
        <v>113</v>
      </c>
      <c r="R4270" t="s">
        <v>22372</v>
      </c>
      <c r="S4270" t="s">
        <v>1091</v>
      </c>
      <c r="T4270" t="s">
        <v>116</v>
      </c>
      <c r="U4270" t="s">
        <v>117</v>
      </c>
      <c r="V4270" t="str">
        <f>"142072341"</f>
        <v>142072341</v>
      </c>
      <c r="AC4270" t="s">
        <v>119</v>
      </c>
      <c r="AD4270" t="s">
        <v>113</v>
      </c>
      <c r="AE4270" t="s">
        <v>306</v>
      </c>
      <c r="AG4270" t="s">
        <v>121</v>
      </c>
    </row>
    <row r="4271" spans="1:33" x14ac:dyDescent="0.25">
      <c r="A4271" t="str">
        <f>"1962787960"</f>
        <v>1962787960</v>
      </c>
      <c r="C4271" t="s">
        <v>22373</v>
      </c>
      <c r="G4271" t="s">
        <v>20732</v>
      </c>
      <c r="H4271" t="s">
        <v>443</v>
      </c>
      <c r="J4271" t="s">
        <v>20733</v>
      </c>
      <c r="K4271" t="s">
        <v>303</v>
      </c>
      <c r="L4271" t="s">
        <v>112</v>
      </c>
      <c r="M4271" t="s">
        <v>113</v>
      </c>
      <c r="R4271" t="s">
        <v>22374</v>
      </c>
      <c r="S4271" t="s">
        <v>22375</v>
      </c>
      <c r="T4271" t="s">
        <v>22376</v>
      </c>
      <c r="U4271" t="s">
        <v>117</v>
      </c>
      <c r="V4271" t="str">
        <f>"116914000"</f>
        <v>116914000</v>
      </c>
      <c r="AC4271" t="s">
        <v>119</v>
      </c>
      <c r="AD4271" t="s">
        <v>113</v>
      </c>
      <c r="AE4271" t="s">
        <v>306</v>
      </c>
      <c r="AG4271" t="s">
        <v>121</v>
      </c>
    </row>
    <row r="4272" spans="1:33" x14ac:dyDescent="0.25">
      <c r="A4272" t="str">
        <f>"1184062838"</f>
        <v>1184062838</v>
      </c>
      <c r="C4272" t="s">
        <v>22377</v>
      </c>
      <c r="G4272" t="s">
        <v>20732</v>
      </c>
      <c r="H4272" t="s">
        <v>443</v>
      </c>
      <c r="J4272" t="s">
        <v>20733</v>
      </c>
      <c r="K4272" t="s">
        <v>303</v>
      </c>
      <c r="L4272" t="s">
        <v>229</v>
      </c>
      <c r="M4272" t="s">
        <v>113</v>
      </c>
      <c r="R4272" t="s">
        <v>22378</v>
      </c>
      <c r="S4272" t="s">
        <v>354</v>
      </c>
      <c r="T4272" t="s">
        <v>116</v>
      </c>
      <c r="U4272" t="s">
        <v>117</v>
      </c>
      <c r="V4272" t="str">
        <f>"142152814"</f>
        <v>142152814</v>
      </c>
      <c r="AC4272" t="s">
        <v>119</v>
      </c>
      <c r="AD4272" t="s">
        <v>113</v>
      </c>
      <c r="AE4272" t="s">
        <v>306</v>
      </c>
      <c r="AG4272" t="s">
        <v>121</v>
      </c>
    </row>
    <row r="4273" spans="1:33" x14ac:dyDescent="0.25">
      <c r="A4273" t="str">
        <f>"1396151452"</f>
        <v>1396151452</v>
      </c>
      <c r="C4273" t="s">
        <v>22379</v>
      </c>
      <c r="G4273" t="s">
        <v>20732</v>
      </c>
      <c r="H4273" t="s">
        <v>443</v>
      </c>
      <c r="J4273" t="s">
        <v>20733</v>
      </c>
      <c r="K4273" t="s">
        <v>303</v>
      </c>
      <c r="L4273" t="s">
        <v>229</v>
      </c>
      <c r="M4273" t="s">
        <v>113</v>
      </c>
      <c r="R4273" t="s">
        <v>22380</v>
      </c>
      <c r="S4273" t="s">
        <v>22381</v>
      </c>
      <c r="T4273" t="s">
        <v>116</v>
      </c>
      <c r="U4273" t="s">
        <v>117</v>
      </c>
      <c r="V4273" t="str">
        <f>"142152814"</f>
        <v>142152814</v>
      </c>
      <c r="AC4273" t="s">
        <v>119</v>
      </c>
      <c r="AD4273" t="s">
        <v>113</v>
      </c>
      <c r="AE4273" t="s">
        <v>306</v>
      </c>
      <c r="AG4273" t="s">
        <v>121</v>
      </c>
    </row>
    <row r="4274" spans="1:33" x14ac:dyDescent="0.25">
      <c r="A4274" t="str">
        <f>"1104073147"</f>
        <v>1104073147</v>
      </c>
      <c r="B4274" t="str">
        <f>"03676006"</f>
        <v>03676006</v>
      </c>
      <c r="C4274" t="s">
        <v>22382</v>
      </c>
      <c r="D4274" t="s">
        <v>22383</v>
      </c>
      <c r="E4274" t="s">
        <v>22384</v>
      </c>
      <c r="G4274" t="s">
        <v>20732</v>
      </c>
      <c r="H4274" t="s">
        <v>443</v>
      </c>
      <c r="J4274" t="s">
        <v>20733</v>
      </c>
      <c r="L4274" t="s">
        <v>112</v>
      </c>
      <c r="M4274" t="s">
        <v>113</v>
      </c>
      <c r="R4274" t="s">
        <v>22385</v>
      </c>
      <c r="W4274" t="s">
        <v>22384</v>
      </c>
      <c r="X4274" t="s">
        <v>20736</v>
      </c>
      <c r="Y4274" t="s">
        <v>1872</v>
      </c>
      <c r="Z4274" t="s">
        <v>117</v>
      </c>
      <c r="AA4274" t="str">
        <f>"14132-9016"</f>
        <v>14132-9016</v>
      </c>
      <c r="AB4274" t="s">
        <v>621</v>
      </c>
      <c r="AC4274" t="s">
        <v>119</v>
      </c>
      <c r="AD4274" t="s">
        <v>113</v>
      </c>
      <c r="AE4274" t="s">
        <v>120</v>
      </c>
      <c r="AG4274" t="s">
        <v>121</v>
      </c>
    </row>
    <row r="4275" spans="1:33" x14ac:dyDescent="0.25">
      <c r="A4275" t="str">
        <f>"1699871772"</f>
        <v>1699871772</v>
      </c>
      <c r="C4275" t="s">
        <v>22386</v>
      </c>
      <c r="G4275" t="s">
        <v>20732</v>
      </c>
      <c r="H4275" t="s">
        <v>443</v>
      </c>
      <c r="J4275" t="s">
        <v>20733</v>
      </c>
      <c r="K4275" t="s">
        <v>303</v>
      </c>
      <c r="L4275" t="s">
        <v>229</v>
      </c>
      <c r="M4275" t="s">
        <v>113</v>
      </c>
      <c r="R4275" t="s">
        <v>22387</v>
      </c>
      <c r="S4275" t="s">
        <v>1922</v>
      </c>
      <c r="T4275" t="s">
        <v>268</v>
      </c>
      <c r="U4275" t="s">
        <v>117</v>
      </c>
      <c r="V4275" t="str">
        <f>"141508441"</f>
        <v>141508441</v>
      </c>
      <c r="AC4275" t="s">
        <v>119</v>
      </c>
      <c r="AD4275" t="s">
        <v>113</v>
      </c>
      <c r="AE4275" t="s">
        <v>306</v>
      </c>
      <c r="AG4275" t="s">
        <v>121</v>
      </c>
    </row>
    <row r="4276" spans="1:33" x14ac:dyDescent="0.25">
      <c r="A4276" t="str">
        <f>"1851345649"</f>
        <v>1851345649</v>
      </c>
      <c r="B4276" t="str">
        <f>"02273316"</f>
        <v>02273316</v>
      </c>
      <c r="C4276" t="s">
        <v>22388</v>
      </c>
      <c r="D4276" t="s">
        <v>22389</v>
      </c>
      <c r="E4276" t="s">
        <v>22390</v>
      </c>
      <c r="G4276" t="s">
        <v>20732</v>
      </c>
      <c r="H4276" t="s">
        <v>443</v>
      </c>
      <c r="J4276" t="s">
        <v>20733</v>
      </c>
      <c r="L4276" t="s">
        <v>1033</v>
      </c>
      <c r="M4276" t="s">
        <v>113</v>
      </c>
      <c r="R4276" t="s">
        <v>22391</v>
      </c>
      <c r="W4276" t="s">
        <v>22390</v>
      </c>
      <c r="X4276" t="s">
        <v>22390</v>
      </c>
      <c r="Y4276" t="s">
        <v>663</v>
      </c>
      <c r="Z4276" t="s">
        <v>117</v>
      </c>
      <c r="AA4276" t="str">
        <f>"14094-2942"</f>
        <v>14094-2942</v>
      </c>
      <c r="AB4276" t="s">
        <v>2359</v>
      </c>
      <c r="AC4276" t="s">
        <v>119</v>
      </c>
      <c r="AD4276" t="s">
        <v>113</v>
      </c>
      <c r="AE4276" t="s">
        <v>120</v>
      </c>
      <c r="AG4276" t="s">
        <v>121</v>
      </c>
    </row>
    <row r="4277" spans="1:33" x14ac:dyDescent="0.25">
      <c r="A4277" t="str">
        <f>"1851739494"</f>
        <v>1851739494</v>
      </c>
      <c r="C4277" t="s">
        <v>22392</v>
      </c>
      <c r="G4277" t="s">
        <v>20732</v>
      </c>
      <c r="H4277" t="s">
        <v>443</v>
      </c>
      <c r="J4277" t="s">
        <v>20733</v>
      </c>
      <c r="K4277" t="s">
        <v>303</v>
      </c>
      <c r="L4277" t="s">
        <v>229</v>
      </c>
      <c r="M4277" t="s">
        <v>113</v>
      </c>
      <c r="R4277" t="s">
        <v>22393</v>
      </c>
      <c r="S4277" t="s">
        <v>354</v>
      </c>
      <c r="T4277" t="s">
        <v>116</v>
      </c>
      <c r="U4277" t="s">
        <v>117</v>
      </c>
      <c r="V4277" t="str">
        <f>"142152814"</f>
        <v>142152814</v>
      </c>
      <c r="AC4277" t="s">
        <v>119</v>
      </c>
      <c r="AD4277" t="s">
        <v>113</v>
      </c>
      <c r="AE4277" t="s">
        <v>306</v>
      </c>
      <c r="AG4277" t="s">
        <v>121</v>
      </c>
    </row>
    <row r="4278" spans="1:33" x14ac:dyDescent="0.25">
      <c r="A4278" t="str">
        <f>"1659666998"</f>
        <v>1659666998</v>
      </c>
      <c r="B4278" t="str">
        <f>"03353968"</f>
        <v>03353968</v>
      </c>
      <c r="C4278" t="s">
        <v>22394</v>
      </c>
      <c r="D4278" t="s">
        <v>22395</v>
      </c>
      <c r="E4278" t="s">
        <v>22396</v>
      </c>
      <c r="G4278" t="s">
        <v>20732</v>
      </c>
      <c r="H4278" t="s">
        <v>443</v>
      </c>
      <c r="J4278" t="s">
        <v>20733</v>
      </c>
      <c r="L4278" t="s">
        <v>112</v>
      </c>
      <c r="M4278" t="s">
        <v>199</v>
      </c>
      <c r="R4278" t="s">
        <v>22397</v>
      </c>
      <c r="W4278" t="s">
        <v>22398</v>
      </c>
      <c r="X4278" t="s">
        <v>22399</v>
      </c>
      <c r="Y4278" t="s">
        <v>318</v>
      </c>
      <c r="Z4278" t="s">
        <v>117</v>
      </c>
      <c r="AA4278" t="str">
        <f>"14225-5237"</f>
        <v>14225-5237</v>
      </c>
      <c r="AB4278" t="s">
        <v>118</v>
      </c>
      <c r="AC4278" t="s">
        <v>119</v>
      </c>
      <c r="AD4278" t="s">
        <v>113</v>
      </c>
      <c r="AE4278" t="s">
        <v>120</v>
      </c>
      <c r="AG4278" t="s">
        <v>121</v>
      </c>
    </row>
    <row r="4279" spans="1:33" x14ac:dyDescent="0.25">
      <c r="A4279" t="str">
        <f>"1871938662"</f>
        <v>1871938662</v>
      </c>
      <c r="C4279" t="s">
        <v>22400</v>
      </c>
      <c r="G4279" t="s">
        <v>20732</v>
      </c>
      <c r="H4279" t="s">
        <v>443</v>
      </c>
      <c r="J4279" t="s">
        <v>20733</v>
      </c>
      <c r="K4279" t="s">
        <v>303</v>
      </c>
      <c r="L4279" t="s">
        <v>229</v>
      </c>
      <c r="M4279" t="s">
        <v>113</v>
      </c>
      <c r="R4279" t="s">
        <v>22401</v>
      </c>
      <c r="S4279" t="s">
        <v>354</v>
      </c>
      <c r="T4279" t="s">
        <v>116</v>
      </c>
      <c r="U4279" t="s">
        <v>117</v>
      </c>
      <c r="V4279" t="str">
        <f>"142152814"</f>
        <v>142152814</v>
      </c>
      <c r="AC4279" t="s">
        <v>119</v>
      </c>
      <c r="AD4279" t="s">
        <v>113</v>
      </c>
      <c r="AE4279" t="s">
        <v>306</v>
      </c>
      <c r="AG4279" t="s">
        <v>121</v>
      </c>
    </row>
    <row r="4280" spans="1:33" x14ac:dyDescent="0.25">
      <c r="A4280" t="str">
        <f>"1972733632"</f>
        <v>1972733632</v>
      </c>
      <c r="B4280" t="str">
        <f>"03653927"</f>
        <v>03653927</v>
      </c>
      <c r="C4280" t="s">
        <v>22402</v>
      </c>
      <c r="D4280" t="s">
        <v>22403</v>
      </c>
      <c r="E4280" t="s">
        <v>22404</v>
      </c>
      <c r="G4280" t="s">
        <v>22405</v>
      </c>
      <c r="H4280" t="s">
        <v>22406</v>
      </c>
      <c r="J4280" t="s">
        <v>22407</v>
      </c>
      <c r="L4280" t="s">
        <v>112</v>
      </c>
      <c r="M4280" t="s">
        <v>113</v>
      </c>
      <c r="R4280" t="s">
        <v>22408</v>
      </c>
      <c r="W4280" t="s">
        <v>22404</v>
      </c>
      <c r="X4280" t="s">
        <v>2006</v>
      </c>
      <c r="Y4280" t="s">
        <v>2007</v>
      </c>
      <c r="Z4280" t="s">
        <v>117</v>
      </c>
      <c r="AA4280" t="str">
        <f>"14727-1317"</f>
        <v>14727-1317</v>
      </c>
      <c r="AB4280" t="s">
        <v>118</v>
      </c>
      <c r="AC4280" t="s">
        <v>119</v>
      </c>
      <c r="AD4280" t="s">
        <v>113</v>
      </c>
      <c r="AE4280" t="s">
        <v>120</v>
      </c>
      <c r="AG4280" t="s">
        <v>121</v>
      </c>
    </row>
    <row r="4281" spans="1:33" x14ac:dyDescent="0.25">
      <c r="A4281" t="str">
        <f>"1407006901"</f>
        <v>1407006901</v>
      </c>
      <c r="B4281" t="str">
        <f>"03157559"</f>
        <v>03157559</v>
      </c>
      <c r="C4281" t="s">
        <v>22409</v>
      </c>
      <c r="D4281" t="s">
        <v>22410</v>
      </c>
      <c r="E4281" t="s">
        <v>22411</v>
      </c>
      <c r="G4281" t="s">
        <v>22405</v>
      </c>
      <c r="H4281" t="s">
        <v>22406</v>
      </c>
      <c r="J4281" t="s">
        <v>22407</v>
      </c>
      <c r="L4281" t="s">
        <v>112</v>
      </c>
      <c r="M4281" t="s">
        <v>113</v>
      </c>
      <c r="R4281" t="s">
        <v>22412</v>
      </c>
      <c r="W4281" t="s">
        <v>22413</v>
      </c>
      <c r="X4281" t="s">
        <v>1304</v>
      </c>
      <c r="Y4281" t="s">
        <v>116</v>
      </c>
      <c r="Z4281" t="s">
        <v>117</v>
      </c>
      <c r="AA4281" t="str">
        <f>"14220-2039"</f>
        <v>14220-2039</v>
      </c>
      <c r="AB4281" t="s">
        <v>118</v>
      </c>
      <c r="AC4281" t="s">
        <v>119</v>
      </c>
      <c r="AD4281" t="s">
        <v>113</v>
      </c>
      <c r="AE4281" t="s">
        <v>120</v>
      </c>
      <c r="AG4281" t="s">
        <v>121</v>
      </c>
    </row>
    <row r="4282" spans="1:33" x14ac:dyDescent="0.25">
      <c r="A4282" t="str">
        <f>"1962550202"</f>
        <v>1962550202</v>
      </c>
      <c r="B4282" t="str">
        <f>"03699112"</f>
        <v>03699112</v>
      </c>
      <c r="C4282" t="s">
        <v>22414</v>
      </c>
      <c r="D4282" t="s">
        <v>22415</v>
      </c>
      <c r="E4282" t="s">
        <v>22416</v>
      </c>
      <c r="G4282" t="s">
        <v>22405</v>
      </c>
      <c r="H4282" t="s">
        <v>22406</v>
      </c>
      <c r="J4282" t="s">
        <v>22407</v>
      </c>
      <c r="L4282" t="s">
        <v>112</v>
      </c>
      <c r="M4282" t="s">
        <v>199</v>
      </c>
      <c r="R4282" t="s">
        <v>22417</v>
      </c>
      <c r="W4282" t="s">
        <v>22416</v>
      </c>
      <c r="X4282" t="s">
        <v>22418</v>
      </c>
      <c r="Y4282" t="s">
        <v>22419</v>
      </c>
      <c r="Z4282" t="s">
        <v>117</v>
      </c>
      <c r="AA4282" t="str">
        <f>"13116-1205"</f>
        <v>13116-1205</v>
      </c>
      <c r="AB4282" t="s">
        <v>118</v>
      </c>
      <c r="AC4282" t="s">
        <v>119</v>
      </c>
      <c r="AD4282" t="s">
        <v>113</v>
      </c>
      <c r="AE4282" t="s">
        <v>120</v>
      </c>
      <c r="AG4282" t="s">
        <v>121</v>
      </c>
    </row>
    <row r="4283" spans="1:33" x14ac:dyDescent="0.25">
      <c r="A4283" t="str">
        <f>"1891838033"</f>
        <v>1891838033</v>
      </c>
      <c r="B4283" t="str">
        <f>"03942803"</f>
        <v>03942803</v>
      </c>
      <c r="C4283" t="s">
        <v>22420</v>
      </c>
      <c r="D4283" t="s">
        <v>22421</v>
      </c>
      <c r="E4283" t="s">
        <v>22422</v>
      </c>
      <c r="G4283" t="s">
        <v>22405</v>
      </c>
      <c r="H4283" t="s">
        <v>22406</v>
      </c>
      <c r="J4283" t="s">
        <v>22407</v>
      </c>
      <c r="L4283" t="s">
        <v>112</v>
      </c>
      <c r="M4283" t="s">
        <v>113</v>
      </c>
      <c r="R4283" t="s">
        <v>22423</v>
      </c>
      <c r="W4283" t="s">
        <v>22422</v>
      </c>
      <c r="X4283" t="s">
        <v>22424</v>
      </c>
      <c r="Y4283" t="s">
        <v>22425</v>
      </c>
      <c r="Z4283" t="s">
        <v>117</v>
      </c>
      <c r="AA4283" t="str">
        <f>"14845-8532"</f>
        <v>14845-8532</v>
      </c>
      <c r="AB4283" t="s">
        <v>118</v>
      </c>
      <c r="AC4283" t="s">
        <v>119</v>
      </c>
      <c r="AD4283" t="s">
        <v>113</v>
      </c>
      <c r="AE4283" t="s">
        <v>120</v>
      </c>
      <c r="AG4283" t="s">
        <v>121</v>
      </c>
    </row>
    <row r="4284" spans="1:33" x14ac:dyDescent="0.25">
      <c r="A4284" t="str">
        <f>"1891998563"</f>
        <v>1891998563</v>
      </c>
      <c r="B4284" t="str">
        <f>"03273989"</f>
        <v>03273989</v>
      </c>
      <c r="C4284" t="s">
        <v>22426</v>
      </c>
      <c r="D4284" t="s">
        <v>22427</v>
      </c>
      <c r="E4284" t="s">
        <v>22428</v>
      </c>
      <c r="G4284" t="s">
        <v>22405</v>
      </c>
      <c r="H4284" t="s">
        <v>22406</v>
      </c>
      <c r="J4284" t="s">
        <v>22407</v>
      </c>
      <c r="L4284" t="s">
        <v>112</v>
      </c>
      <c r="M4284" t="s">
        <v>199</v>
      </c>
      <c r="R4284" t="s">
        <v>22429</v>
      </c>
      <c r="W4284" t="s">
        <v>22428</v>
      </c>
      <c r="X4284" t="s">
        <v>1353</v>
      </c>
      <c r="Y4284" t="s">
        <v>663</v>
      </c>
      <c r="Z4284" t="s">
        <v>117</v>
      </c>
      <c r="AA4284" t="str">
        <f>"14094-3201"</f>
        <v>14094-3201</v>
      </c>
      <c r="AB4284" t="s">
        <v>118</v>
      </c>
      <c r="AC4284" t="s">
        <v>119</v>
      </c>
      <c r="AD4284" t="s">
        <v>113</v>
      </c>
      <c r="AE4284" t="s">
        <v>120</v>
      </c>
      <c r="AG4284" t="s">
        <v>121</v>
      </c>
    </row>
    <row r="4285" spans="1:33" x14ac:dyDescent="0.25">
      <c r="A4285" t="str">
        <f>"1003105610"</f>
        <v>1003105610</v>
      </c>
      <c r="B4285" t="str">
        <f>"03552090"</f>
        <v>03552090</v>
      </c>
      <c r="C4285" t="s">
        <v>22430</v>
      </c>
      <c r="D4285" t="s">
        <v>22431</v>
      </c>
      <c r="E4285" t="s">
        <v>22432</v>
      </c>
      <c r="G4285" t="s">
        <v>22405</v>
      </c>
      <c r="H4285" t="s">
        <v>22406</v>
      </c>
      <c r="J4285" t="s">
        <v>22407</v>
      </c>
      <c r="L4285" t="s">
        <v>112</v>
      </c>
      <c r="M4285" t="s">
        <v>199</v>
      </c>
      <c r="R4285" t="s">
        <v>22433</v>
      </c>
      <c r="W4285" t="s">
        <v>22432</v>
      </c>
      <c r="X4285" t="s">
        <v>1648</v>
      </c>
      <c r="Y4285" t="s">
        <v>116</v>
      </c>
      <c r="Z4285" t="s">
        <v>117</v>
      </c>
      <c r="AA4285" t="str">
        <f>"14214-2648"</f>
        <v>14214-2648</v>
      </c>
      <c r="AB4285" t="s">
        <v>118</v>
      </c>
      <c r="AC4285" t="s">
        <v>119</v>
      </c>
      <c r="AD4285" t="s">
        <v>113</v>
      </c>
      <c r="AE4285" t="s">
        <v>120</v>
      </c>
      <c r="AG4285" t="s">
        <v>121</v>
      </c>
    </row>
    <row r="4286" spans="1:33" x14ac:dyDescent="0.25">
      <c r="A4286" t="str">
        <f>"1063400521"</f>
        <v>1063400521</v>
      </c>
      <c r="B4286" t="str">
        <f>"01761820"</f>
        <v>01761820</v>
      </c>
      <c r="C4286" t="s">
        <v>22434</v>
      </c>
      <c r="D4286" t="s">
        <v>22435</v>
      </c>
      <c r="E4286" t="s">
        <v>22436</v>
      </c>
      <c r="G4286" t="s">
        <v>22405</v>
      </c>
      <c r="H4286" t="s">
        <v>22406</v>
      </c>
      <c r="J4286" t="s">
        <v>22407</v>
      </c>
      <c r="L4286" t="s">
        <v>112</v>
      </c>
      <c r="M4286" t="s">
        <v>199</v>
      </c>
      <c r="R4286" t="s">
        <v>22437</v>
      </c>
      <c r="W4286" t="s">
        <v>22436</v>
      </c>
      <c r="X4286" t="s">
        <v>22438</v>
      </c>
      <c r="Y4286" t="s">
        <v>816</v>
      </c>
      <c r="Z4286" t="s">
        <v>117</v>
      </c>
      <c r="AA4286" t="str">
        <f>"14120-1598"</f>
        <v>14120-1598</v>
      </c>
      <c r="AB4286" t="s">
        <v>118</v>
      </c>
      <c r="AC4286" t="s">
        <v>119</v>
      </c>
      <c r="AD4286" t="s">
        <v>113</v>
      </c>
      <c r="AE4286" t="s">
        <v>120</v>
      </c>
      <c r="AG4286" t="s">
        <v>121</v>
      </c>
    </row>
    <row r="4287" spans="1:33" x14ac:dyDescent="0.25">
      <c r="A4287" t="str">
        <f>"1649245812"</f>
        <v>1649245812</v>
      </c>
      <c r="B4287" t="str">
        <f>"02155333"</f>
        <v>02155333</v>
      </c>
      <c r="C4287" t="s">
        <v>22439</v>
      </c>
      <c r="D4287" t="s">
        <v>22440</v>
      </c>
      <c r="E4287" t="s">
        <v>22441</v>
      </c>
      <c r="G4287" t="s">
        <v>22405</v>
      </c>
      <c r="H4287" t="s">
        <v>22406</v>
      </c>
      <c r="J4287" t="s">
        <v>22407</v>
      </c>
      <c r="L4287" t="s">
        <v>112</v>
      </c>
      <c r="M4287" t="s">
        <v>199</v>
      </c>
      <c r="R4287" t="s">
        <v>22442</v>
      </c>
      <c r="W4287" t="s">
        <v>22441</v>
      </c>
      <c r="X4287" t="s">
        <v>22443</v>
      </c>
      <c r="Y4287" t="s">
        <v>153</v>
      </c>
      <c r="Z4287" t="s">
        <v>117</v>
      </c>
      <c r="AA4287" t="str">
        <f>"10601"</f>
        <v>10601</v>
      </c>
      <c r="AB4287" t="s">
        <v>118</v>
      </c>
      <c r="AC4287" t="s">
        <v>119</v>
      </c>
      <c r="AD4287" t="s">
        <v>113</v>
      </c>
      <c r="AE4287" t="s">
        <v>120</v>
      </c>
      <c r="AG4287" t="s">
        <v>121</v>
      </c>
    </row>
    <row r="4288" spans="1:33" x14ac:dyDescent="0.25">
      <c r="A4288" t="str">
        <f>"1467792168"</f>
        <v>1467792168</v>
      </c>
      <c r="B4288" t="str">
        <f>"03735040"</f>
        <v>03735040</v>
      </c>
      <c r="C4288" t="s">
        <v>22444</v>
      </c>
      <c r="D4288" t="s">
        <v>22445</v>
      </c>
      <c r="E4288" t="s">
        <v>22446</v>
      </c>
      <c r="G4288" t="s">
        <v>22405</v>
      </c>
      <c r="H4288" t="s">
        <v>22406</v>
      </c>
      <c r="J4288" t="s">
        <v>22407</v>
      </c>
      <c r="L4288" t="s">
        <v>150</v>
      </c>
      <c r="M4288" t="s">
        <v>113</v>
      </c>
      <c r="R4288" t="s">
        <v>22447</v>
      </c>
      <c r="W4288" t="s">
        <v>22446</v>
      </c>
      <c r="X4288" t="s">
        <v>6289</v>
      </c>
      <c r="Y4288" t="s">
        <v>240</v>
      </c>
      <c r="Z4288" t="s">
        <v>117</v>
      </c>
      <c r="AA4288" t="str">
        <f>"14221-8216"</f>
        <v>14221-8216</v>
      </c>
      <c r="AB4288" t="s">
        <v>118</v>
      </c>
      <c r="AC4288" t="s">
        <v>119</v>
      </c>
      <c r="AD4288" t="s">
        <v>113</v>
      </c>
      <c r="AE4288" t="s">
        <v>120</v>
      </c>
      <c r="AG4288" t="s">
        <v>121</v>
      </c>
    </row>
    <row r="4289" spans="1:33" x14ac:dyDescent="0.25">
      <c r="A4289" t="str">
        <f>"1720053416"</f>
        <v>1720053416</v>
      </c>
      <c r="B4289" t="str">
        <f>"02346207"</f>
        <v>02346207</v>
      </c>
      <c r="C4289" t="s">
        <v>22448</v>
      </c>
      <c r="D4289" t="s">
        <v>22449</v>
      </c>
      <c r="E4289" t="s">
        <v>22450</v>
      </c>
      <c r="G4289" t="s">
        <v>22405</v>
      </c>
      <c r="H4289" t="s">
        <v>22406</v>
      </c>
      <c r="J4289" t="s">
        <v>22407</v>
      </c>
      <c r="L4289" t="s">
        <v>112</v>
      </c>
      <c r="M4289" t="s">
        <v>199</v>
      </c>
      <c r="R4289" t="s">
        <v>22451</v>
      </c>
      <c r="W4289" t="s">
        <v>22450</v>
      </c>
      <c r="X4289" t="s">
        <v>7082</v>
      </c>
      <c r="Y4289" t="s">
        <v>326</v>
      </c>
      <c r="Z4289" t="s">
        <v>117</v>
      </c>
      <c r="AA4289" t="str">
        <f>"14127-3126"</f>
        <v>14127-3126</v>
      </c>
      <c r="AB4289" t="s">
        <v>118</v>
      </c>
      <c r="AC4289" t="s">
        <v>119</v>
      </c>
      <c r="AD4289" t="s">
        <v>113</v>
      </c>
      <c r="AE4289" t="s">
        <v>120</v>
      </c>
      <c r="AG4289" t="s">
        <v>121</v>
      </c>
    </row>
    <row r="4290" spans="1:33" x14ac:dyDescent="0.25">
      <c r="A4290" t="str">
        <f>"1760596787"</f>
        <v>1760596787</v>
      </c>
      <c r="B4290" t="str">
        <f>"02792345"</f>
        <v>02792345</v>
      </c>
      <c r="C4290" t="s">
        <v>22452</v>
      </c>
      <c r="D4290" t="s">
        <v>22453</v>
      </c>
      <c r="E4290" t="s">
        <v>22454</v>
      </c>
      <c r="G4290" t="s">
        <v>22405</v>
      </c>
      <c r="H4290" t="s">
        <v>22406</v>
      </c>
      <c r="J4290" t="s">
        <v>22407</v>
      </c>
      <c r="L4290" t="s">
        <v>112</v>
      </c>
      <c r="M4290" t="s">
        <v>199</v>
      </c>
      <c r="R4290" t="s">
        <v>22455</v>
      </c>
      <c r="W4290" t="s">
        <v>22454</v>
      </c>
      <c r="X4290" t="s">
        <v>1167</v>
      </c>
      <c r="Y4290" t="s">
        <v>1168</v>
      </c>
      <c r="Z4290" t="s">
        <v>117</v>
      </c>
      <c r="AA4290" t="str">
        <f>"14004-9715"</f>
        <v>14004-9715</v>
      </c>
      <c r="AB4290" t="s">
        <v>118</v>
      </c>
      <c r="AC4290" t="s">
        <v>119</v>
      </c>
      <c r="AD4290" t="s">
        <v>113</v>
      </c>
      <c r="AE4290" t="s">
        <v>120</v>
      </c>
      <c r="AG4290" t="s">
        <v>121</v>
      </c>
    </row>
    <row r="4291" spans="1:33" x14ac:dyDescent="0.25">
      <c r="A4291" t="str">
        <f>"1710138284"</f>
        <v>1710138284</v>
      </c>
      <c r="B4291" t="str">
        <f>"03047578"</f>
        <v>03047578</v>
      </c>
      <c r="C4291" t="s">
        <v>22456</v>
      </c>
      <c r="D4291" t="s">
        <v>22457</v>
      </c>
      <c r="E4291" t="s">
        <v>22458</v>
      </c>
      <c r="G4291" t="s">
        <v>22405</v>
      </c>
      <c r="H4291" t="s">
        <v>22406</v>
      </c>
      <c r="J4291" t="s">
        <v>22407</v>
      </c>
      <c r="L4291" t="s">
        <v>112</v>
      </c>
      <c r="M4291" t="s">
        <v>113</v>
      </c>
      <c r="W4291" t="s">
        <v>22458</v>
      </c>
      <c r="X4291" t="s">
        <v>7113</v>
      </c>
      <c r="Y4291" t="s">
        <v>240</v>
      </c>
      <c r="Z4291" t="s">
        <v>117</v>
      </c>
      <c r="AA4291" t="str">
        <f>"14221-6800"</f>
        <v>14221-6800</v>
      </c>
      <c r="AB4291" t="s">
        <v>118</v>
      </c>
      <c r="AC4291" t="s">
        <v>119</v>
      </c>
      <c r="AD4291" t="s">
        <v>113</v>
      </c>
      <c r="AE4291" t="s">
        <v>120</v>
      </c>
      <c r="AG4291" t="s">
        <v>121</v>
      </c>
    </row>
    <row r="4292" spans="1:33" x14ac:dyDescent="0.25">
      <c r="A4292" t="str">
        <f>"1710286141"</f>
        <v>1710286141</v>
      </c>
      <c r="B4292" t="str">
        <f>"03418504"</f>
        <v>03418504</v>
      </c>
      <c r="C4292" t="s">
        <v>22459</v>
      </c>
      <c r="D4292" t="s">
        <v>22460</v>
      </c>
      <c r="E4292" t="s">
        <v>22461</v>
      </c>
      <c r="G4292" t="s">
        <v>22405</v>
      </c>
      <c r="H4292" t="s">
        <v>22406</v>
      </c>
      <c r="J4292" t="s">
        <v>22407</v>
      </c>
      <c r="L4292" t="s">
        <v>112</v>
      </c>
      <c r="M4292" t="s">
        <v>199</v>
      </c>
      <c r="R4292" t="s">
        <v>22462</v>
      </c>
      <c r="W4292" t="s">
        <v>22461</v>
      </c>
      <c r="X4292" t="s">
        <v>14297</v>
      </c>
      <c r="Y4292" t="s">
        <v>116</v>
      </c>
      <c r="Z4292" t="s">
        <v>117</v>
      </c>
      <c r="AA4292" t="str">
        <f>"14201-2161"</f>
        <v>14201-2161</v>
      </c>
      <c r="AB4292" t="s">
        <v>118</v>
      </c>
      <c r="AC4292" t="s">
        <v>119</v>
      </c>
      <c r="AD4292" t="s">
        <v>113</v>
      </c>
      <c r="AE4292" t="s">
        <v>120</v>
      </c>
      <c r="AG4292" t="s">
        <v>121</v>
      </c>
    </row>
    <row r="4293" spans="1:33" x14ac:dyDescent="0.25">
      <c r="C4293" t="s">
        <v>22463</v>
      </c>
      <c r="G4293" t="s">
        <v>22464</v>
      </c>
      <c r="H4293" t="s">
        <v>22465</v>
      </c>
      <c r="J4293" t="s">
        <v>22466</v>
      </c>
      <c r="K4293" t="s">
        <v>303</v>
      </c>
      <c r="L4293" t="s">
        <v>3095</v>
      </c>
      <c r="M4293" t="s">
        <v>113</v>
      </c>
      <c r="N4293" t="s">
        <v>22467</v>
      </c>
      <c r="O4293" t="s">
        <v>5751</v>
      </c>
      <c r="P4293" t="s">
        <v>117</v>
      </c>
      <c r="Q4293" t="str">
        <f>"14701"</f>
        <v>14701</v>
      </c>
      <c r="AC4293" t="s">
        <v>119</v>
      </c>
      <c r="AD4293" t="s">
        <v>113</v>
      </c>
      <c r="AE4293" t="s">
        <v>3098</v>
      </c>
      <c r="AG4293" t="s">
        <v>121</v>
      </c>
    </row>
    <row r="4294" spans="1:33" x14ac:dyDescent="0.25">
      <c r="A4294" t="str">
        <f>"1255749453"</f>
        <v>1255749453</v>
      </c>
      <c r="B4294" t="str">
        <f>"04253852"</f>
        <v>04253852</v>
      </c>
      <c r="C4294" t="s">
        <v>22468</v>
      </c>
      <c r="D4294" t="s">
        <v>22469</v>
      </c>
      <c r="E4294" t="s">
        <v>22470</v>
      </c>
      <c r="G4294" t="s">
        <v>22464</v>
      </c>
      <c r="H4294" t="s">
        <v>22465</v>
      </c>
      <c r="J4294" t="s">
        <v>22466</v>
      </c>
      <c r="L4294" t="s">
        <v>112</v>
      </c>
      <c r="M4294" t="s">
        <v>113</v>
      </c>
      <c r="R4294" t="s">
        <v>22470</v>
      </c>
      <c r="W4294" t="s">
        <v>22470</v>
      </c>
      <c r="X4294" t="s">
        <v>22471</v>
      </c>
      <c r="Y4294" t="s">
        <v>986</v>
      </c>
      <c r="Z4294" t="s">
        <v>117</v>
      </c>
      <c r="AA4294" t="str">
        <f>"14701-1935"</f>
        <v>14701-1935</v>
      </c>
      <c r="AB4294" t="s">
        <v>118</v>
      </c>
      <c r="AC4294" t="s">
        <v>119</v>
      </c>
      <c r="AD4294" t="s">
        <v>113</v>
      </c>
      <c r="AE4294" t="s">
        <v>120</v>
      </c>
      <c r="AG4294" t="s">
        <v>121</v>
      </c>
    </row>
    <row r="4295" spans="1:33" x14ac:dyDescent="0.25">
      <c r="C4295" t="s">
        <v>20079</v>
      </c>
      <c r="G4295" t="s">
        <v>20082</v>
      </c>
      <c r="H4295" t="s">
        <v>1600</v>
      </c>
      <c r="J4295" t="s">
        <v>20083</v>
      </c>
      <c r="K4295" t="s">
        <v>303</v>
      </c>
      <c r="L4295" t="s">
        <v>3095</v>
      </c>
      <c r="M4295" t="s">
        <v>113</v>
      </c>
      <c r="N4295" t="s">
        <v>22472</v>
      </c>
      <c r="O4295" t="s">
        <v>18812</v>
      </c>
      <c r="P4295" t="s">
        <v>117</v>
      </c>
      <c r="Q4295" t="str">
        <f>"14221"</f>
        <v>14221</v>
      </c>
      <c r="AC4295" t="s">
        <v>119</v>
      </c>
      <c r="AD4295" t="s">
        <v>113</v>
      </c>
      <c r="AE4295" t="s">
        <v>3098</v>
      </c>
      <c r="AG4295" t="s">
        <v>121</v>
      </c>
    </row>
    <row r="4296" spans="1:33" x14ac:dyDescent="0.25">
      <c r="A4296" t="str">
        <f>"1811917685"</f>
        <v>1811917685</v>
      </c>
      <c r="B4296" t="str">
        <f>"01440353"</f>
        <v>01440353</v>
      </c>
      <c r="C4296" t="s">
        <v>22473</v>
      </c>
      <c r="D4296" t="s">
        <v>22474</v>
      </c>
      <c r="E4296" t="s">
        <v>22475</v>
      </c>
      <c r="G4296" t="s">
        <v>22199</v>
      </c>
      <c r="H4296" t="s">
        <v>22476</v>
      </c>
      <c r="L4296" t="s">
        <v>112</v>
      </c>
      <c r="M4296" t="s">
        <v>113</v>
      </c>
      <c r="R4296" t="s">
        <v>22477</v>
      </c>
      <c r="W4296" t="s">
        <v>22475</v>
      </c>
      <c r="X4296" t="s">
        <v>18524</v>
      </c>
      <c r="Y4296" t="s">
        <v>318</v>
      </c>
      <c r="Z4296" t="s">
        <v>117</v>
      </c>
      <c r="AA4296" t="str">
        <f>"14225-2523"</f>
        <v>14225-2523</v>
      </c>
      <c r="AB4296" t="s">
        <v>1755</v>
      </c>
      <c r="AC4296" t="s">
        <v>119</v>
      </c>
      <c r="AD4296" t="s">
        <v>113</v>
      </c>
      <c r="AE4296" t="s">
        <v>120</v>
      </c>
      <c r="AG4296" t="s">
        <v>121</v>
      </c>
    </row>
    <row r="4297" spans="1:33" x14ac:dyDescent="0.25">
      <c r="A4297" t="str">
        <f>"1497778799"</f>
        <v>1497778799</v>
      </c>
      <c r="B4297" t="str">
        <f>"01758534"</f>
        <v>01758534</v>
      </c>
      <c r="C4297" t="s">
        <v>22478</v>
      </c>
      <c r="D4297" t="s">
        <v>22479</v>
      </c>
      <c r="E4297" t="s">
        <v>22480</v>
      </c>
      <c r="G4297" t="s">
        <v>22199</v>
      </c>
      <c r="H4297" t="s">
        <v>22481</v>
      </c>
      <c r="L4297" t="s">
        <v>1033</v>
      </c>
      <c r="M4297" t="s">
        <v>199</v>
      </c>
      <c r="R4297" t="s">
        <v>22482</v>
      </c>
      <c r="W4297" t="s">
        <v>22480</v>
      </c>
      <c r="X4297" t="s">
        <v>18524</v>
      </c>
      <c r="Y4297" t="s">
        <v>116</v>
      </c>
      <c r="Z4297" t="s">
        <v>117</v>
      </c>
      <c r="AA4297" t="str">
        <f>"14225-2523"</f>
        <v>14225-2523</v>
      </c>
      <c r="AB4297" t="s">
        <v>118</v>
      </c>
      <c r="AC4297" t="s">
        <v>119</v>
      </c>
      <c r="AD4297" t="s">
        <v>113</v>
      </c>
      <c r="AE4297" t="s">
        <v>120</v>
      </c>
      <c r="AG4297" t="s">
        <v>121</v>
      </c>
    </row>
    <row r="4298" spans="1:33" x14ac:dyDescent="0.25">
      <c r="A4298" t="str">
        <f>"1194782425"</f>
        <v>1194782425</v>
      </c>
      <c r="B4298" t="str">
        <f>"02794365"</f>
        <v>02794365</v>
      </c>
      <c r="C4298" t="s">
        <v>22483</v>
      </c>
      <c r="D4298" t="s">
        <v>22484</v>
      </c>
      <c r="E4298" t="s">
        <v>22485</v>
      </c>
      <c r="G4298" t="s">
        <v>22199</v>
      </c>
      <c r="H4298" t="s">
        <v>22486</v>
      </c>
      <c r="L4298" t="s">
        <v>142</v>
      </c>
      <c r="M4298" t="s">
        <v>113</v>
      </c>
      <c r="R4298" t="s">
        <v>22485</v>
      </c>
      <c r="W4298" t="s">
        <v>22485</v>
      </c>
      <c r="X4298" t="s">
        <v>7272</v>
      </c>
      <c r="Y4298" t="s">
        <v>326</v>
      </c>
      <c r="Z4298" t="s">
        <v>117</v>
      </c>
      <c r="AA4298" t="str">
        <f>"14127-1732"</f>
        <v>14127-1732</v>
      </c>
      <c r="AB4298" t="s">
        <v>118</v>
      </c>
      <c r="AC4298" t="s">
        <v>119</v>
      </c>
      <c r="AD4298" t="s">
        <v>113</v>
      </c>
      <c r="AE4298" t="s">
        <v>120</v>
      </c>
      <c r="AG4298" t="s">
        <v>121</v>
      </c>
    </row>
    <row r="4299" spans="1:33" x14ac:dyDescent="0.25">
      <c r="A4299" t="str">
        <f>"1124090329"</f>
        <v>1124090329</v>
      </c>
      <c r="B4299" t="str">
        <f>"00651592"</f>
        <v>00651592</v>
      </c>
      <c r="C4299" t="s">
        <v>22487</v>
      </c>
      <c r="D4299" t="s">
        <v>22488</v>
      </c>
      <c r="E4299" t="s">
        <v>22489</v>
      </c>
      <c r="G4299" t="s">
        <v>22199</v>
      </c>
      <c r="H4299" t="s">
        <v>22490</v>
      </c>
      <c r="L4299" t="s">
        <v>142</v>
      </c>
      <c r="M4299" t="s">
        <v>199</v>
      </c>
      <c r="R4299" t="s">
        <v>22491</v>
      </c>
      <c r="W4299" t="s">
        <v>22489</v>
      </c>
      <c r="X4299" t="s">
        <v>5526</v>
      </c>
      <c r="Y4299" t="s">
        <v>116</v>
      </c>
      <c r="Z4299" t="s">
        <v>117</v>
      </c>
      <c r="AA4299" t="str">
        <f>"14215-3021"</f>
        <v>14215-3021</v>
      </c>
      <c r="AB4299" t="s">
        <v>118</v>
      </c>
      <c r="AC4299" t="s">
        <v>119</v>
      </c>
      <c r="AD4299" t="s">
        <v>113</v>
      </c>
      <c r="AE4299" t="s">
        <v>120</v>
      </c>
      <c r="AG4299" t="s">
        <v>121</v>
      </c>
    </row>
    <row r="4300" spans="1:33" x14ac:dyDescent="0.25">
      <c r="C4300" t="s">
        <v>22492</v>
      </c>
      <c r="H4300" t="s">
        <v>1456</v>
      </c>
      <c r="J4300" t="s">
        <v>22493</v>
      </c>
      <c r="K4300" t="s">
        <v>303</v>
      </c>
      <c r="L4300" t="s">
        <v>3095</v>
      </c>
      <c r="M4300" t="s">
        <v>113</v>
      </c>
      <c r="N4300" t="s">
        <v>22494</v>
      </c>
      <c r="O4300" t="s">
        <v>3097</v>
      </c>
      <c r="P4300" t="s">
        <v>117</v>
      </c>
      <c r="Q4300" t="str">
        <f>"14128"</f>
        <v>14128</v>
      </c>
      <c r="AC4300" t="s">
        <v>119</v>
      </c>
      <c r="AD4300" t="s">
        <v>113</v>
      </c>
      <c r="AE4300" t="s">
        <v>3098</v>
      </c>
      <c r="AG4300" t="s">
        <v>121</v>
      </c>
    </row>
    <row r="4301" spans="1:33" x14ac:dyDescent="0.25">
      <c r="C4301" t="s">
        <v>22495</v>
      </c>
      <c r="H4301">
        <v>585343261</v>
      </c>
      <c r="K4301" t="s">
        <v>303</v>
      </c>
      <c r="L4301" t="s">
        <v>3095</v>
      </c>
      <c r="M4301" t="s">
        <v>113</v>
      </c>
      <c r="N4301" t="s">
        <v>22496</v>
      </c>
      <c r="O4301" t="s">
        <v>22497</v>
      </c>
      <c r="P4301" t="s">
        <v>117</v>
      </c>
      <c r="Q4301" t="str">
        <f>"14020"</f>
        <v>14020</v>
      </c>
      <c r="AC4301" t="s">
        <v>119</v>
      </c>
      <c r="AD4301" t="s">
        <v>113</v>
      </c>
      <c r="AE4301" t="s">
        <v>3098</v>
      </c>
      <c r="AG4301" t="s">
        <v>121</v>
      </c>
    </row>
    <row r="4302" spans="1:33" x14ac:dyDescent="0.25">
      <c r="C4302" t="s">
        <v>22498</v>
      </c>
      <c r="H4302" t="s">
        <v>4573</v>
      </c>
      <c r="J4302" t="s">
        <v>22499</v>
      </c>
      <c r="K4302" t="s">
        <v>303</v>
      </c>
      <c r="L4302" t="s">
        <v>3095</v>
      </c>
      <c r="M4302" t="s">
        <v>113</v>
      </c>
      <c r="N4302" t="s">
        <v>22500</v>
      </c>
      <c r="O4302" t="s">
        <v>21534</v>
      </c>
      <c r="P4302" t="s">
        <v>117</v>
      </c>
      <c r="Q4302" t="str">
        <f>"14094"</f>
        <v>14094</v>
      </c>
      <c r="AC4302" t="s">
        <v>119</v>
      </c>
      <c r="AD4302" t="s">
        <v>113</v>
      </c>
      <c r="AE4302" t="s">
        <v>3098</v>
      </c>
      <c r="AG4302" t="s">
        <v>121</v>
      </c>
    </row>
    <row r="4303" spans="1:33" x14ac:dyDescent="0.25">
      <c r="C4303" t="s">
        <v>22501</v>
      </c>
      <c r="G4303" t="s">
        <v>22502</v>
      </c>
      <c r="H4303" t="s">
        <v>12516</v>
      </c>
      <c r="J4303" t="s">
        <v>22503</v>
      </c>
      <c r="K4303" t="s">
        <v>303</v>
      </c>
      <c r="L4303" t="s">
        <v>3095</v>
      </c>
      <c r="M4303" t="s">
        <v>113</v>
      </c>
      <c r="N4303" t="s">
        <v>22504</v>
      </c>
      <c r="O4303" t="s">
        <v>19880</v>
      </c>
      <c r="P4303" t="s">
        <v>117</v>
      </c>
      <c r="Q4303" t="str">
        <f>"14226"</f>
        <v>14226</v>
      </c>
      <c r="AC4303" t="s">
        <v>119</v>
      </c>
      <c r="AD4303" t="s">
        <v>113</v>
      </c>
      <c r="AE4303" t="s">
        <v>3098</v>
      </c>
      <c r="AG4303" t="s">
        <v>121</v>
      </c>
    </row>
    <row r="4304" spans="1:33" x14ac:dyDescent="0.25">
      <c r="C4304" t="s">
        <v>22505</v>
      </c>
      <c r="H4304" t="s">
        <v>22506</v>
      </c>
      <c r="J4304" t="s">
        <v>22507</v>
      </c>
      <c r="K4304" t="s">
        <v>303</v>
      </c>
      <c r="L4304" t="s">
        <v>3095</v>
      </c>
      <c r="M4304" t="s">
        <v>113</v>
      </c>
      <c r="N4304" t="s">
        <v>22508</v>
      </c>
      <c r="O4304" t="s">
        <v>22509</v>
      </c>
      <c r="P4304" t="s">
        <v>117</v>
      </c>
      <c r="Q4304" t="str">
        <f>"14043"</f>
        <v>14043</v>
      </c>
      <c r="AC4304" t="s">
        <v>119</v>
      </c>
      <c r="AD4304" t="s">
        <v>113</v>
      </c>
      <c r="AE4304" t="s">
        <v>3098</v>
      </c>
      <c r="AG4304" t="s">
        <v>121</v>
      </c>
    </row>
    <row r="4305" spans="1:33" x14ac:dyDescent="0.25">
      <c r="A4305" t="str">
        <f>"1568430700"</f>
        <v>1568430700</v>
      </c>
      <c r="B4305" t="str">
        <f>"01985973"</f>
        <v>01985973</v>
      </c>
      <c r="C4305" t="s">
        <v>22510</v>
      </c>
      <c r="D4305" t="s">
        <v>22511</v>
      </c>
      <c r="E4305" t="s">
        <v>22512</v>
      </c>
      <c r="H4305" t="s">
        <v>17998</v>
      </c>
      <c r="J4305" t="s">
        <v>22513</v>
      </c>
      <c r="L4305" t="s">
        <v>69</v>
      </c>
      <c r="M4305" t="s">
        <v>113</v>
      </c>
      <c r="R4305" t="s">
        <v>22514</v>
      </c>
      <c r="W4305" t="s">
        <v>22512</v>
      </c>
      <c r="X4305" t="s">
        <v>17999</v>
      </c>
      <c r="Y4305" t="s">
        <v>318</v>
      </c>
      <c r="Z4305" t="s">
        <v>117</v>
      </c>
      <c r="AA4305" t="str">
        <f>"14225-5051"</f>
        <v>14225-5051</v>
      </c>
      <c r="AB4305" t="s">
        <v>528</v>
      </c>
      <c r="AC4305" t="s">
        <v>119</v>
      </c>
      <c r="AD4305" t="s">
        <v>113</v>
      </c>
      <c r="AE4305" t="s">
        <v>120</v>
      </c>
      <c r="AG4305" t="s">
        <v>121</v>
      </c>
    </row>
    <row r="4306" spans="1:33" x14ac:dyDescent="0.25">
      <c r="C4306" t="s">
        <v>22515</v>
      </c>
      <c r="G4306" t="s">
        <v>22516</v>
      </c>
      <c r="H4306" t="s">
        <v>713</v>
      </c>
      <c r="J4306" t="s">
        <v>22517</v>
      </c>
      <c r="K4306" t="s">
        <v>22518</v>
      </c>
      <c r="L4306" t="s">
        <v>3095</v>
      </c>
      <c r="M4306" t="s">
        <v>113</v>
      </c>
      <c r="N4306" t="s">
        <v>22519</v>
      </c>
      <c r="O4306" t="s">
        <v>19943</v>
      </c>
      <c r="P4306" t="s">
        <v>117</v>
      </c>
      <c r="Q4306" t="str">
        <f>"14760"</f>
        <v>14760</v>
      </c>
      <c r="AC4306" t="s">
        <v>119</v>
      </c>
      <c r="AD4306" t="s">
        <v>113</v>
      </c>
      <c r="AE4306" t="s">
        <v>3098</v>
      </c>
      <c r="AG4306" t="s">
        <v>121</v>
      </c>
    </row>
    <row r="4307" spans="1:33" x14ac:dyDescent="0.25">
      <c r="A4307" t="str">
        <f>"1568712917"</f>
        <v>1568712917</v>
      </c>
      <c r="C4307" t="s">
        <v>22520</v>
      </c>
      <c r="G4307" t="s">
        <v>22521</v>
      </c>
      <c r="H4307" t="s">
        <v>10051</v>
      </c>
      <c r="I4307">
        <v>3294</v>
      </c>
      <c r="J4307" t="s">
        <v>22522</v>
      </c>
      <c r="K4307" t="s">
        <v>303</v>
      </c>
      <c r="L4307" t="s">
        <v>112</v>
      </c>
      <c r="M4307" t="s">
        <v>113</v>
      </c>
      <c r="R4307" t="s">
        <v>22523</v>
      </c>
      <c r="S4307" t="s">
        <v>22524</v>
      </c>
      <c r="T4307" t="s">
        <v>305</v>
      </c>
      <c r="U4307" t="s">
        <v>117</v>
      </c>
      <c r="V4307" t="str">
        <f>"147601100"</f>
        <v>147601100</v>
      </c>
      <c r="AC4307" t="s">
        <v>119</v>
      </c>
      <c r="AD4307" t="s">
        <v>113</v>
      </c>
      <c r="AE4307" t="s">
        <v>306</v>
      </c>
      <c r="AG4307" t="s">
        <v>121</v>
      </c>
    </row>
    <row r="4308" spans="1:33" x14ac:dyDescent="0.25">
      <c r="A4308" t="str">
        <f>"1851739031"</f>
        <v>1851739031</v>
      </c>
      <c r="C4308" t="s">
        <v>22525</v>
      </c>
      <c r="G4308" t="s">
        <v>22521</v>
      </c>
      <c r="H4308" t="s">
        <v>22526</v>
      </c>
      <c r="I4308">
        <v>3295</v>
      </c>
      <c r="J4308" t="s">
        <v>22522</v>
      </c>
      <c r="K4308" t="s">
        <v>303</v>
      </c>
      <c r="L4308" t="s">
        <v>112</v>
      </c>
      <c r="M4308" t="s">
        <v>113</v>
      </c>
      <c r="R4308" t="s">
        <v>22527</v>
      </c>
      <c r="S4308" t="s">
        <v>12666</v>
      </c>
      <c r="T4308" t="s">
        <v>305</v>
      </c>
      <c r="U4308" t="s">
        <v>117</v>
      </c>
      <c r="V4308" t="str">
        <f>"147601156"</f>
        <v>147601156</v>
      </c>
      <c r="AC4308" t="s">
        <v>119</v>
      </c>
      <c r="AD4308" t="s">
        <v>113</v>
      </c>
      <c r="AE4308" t="s">
        <v>306</v>
      </c>
      <c r="AG4308" t="s">
        <v>121</v>
      </c>
    </row>
    <row r="4309" spans="1:33" x14ac:dyDescent="0.25">
      <c r="A4309" t="str">
        <f>"1679757363"</f>
        <v>1679757363</v>
      </c>
      <c r="C4309" t="s">
        <v>22528</v>
      </c>
      <c r="G4309" t="s">
        <v>22521</v>
      </c>
      <c r="H4309" t="s">
        <v>22529</v>
      </c>
      <c r="I4309">
        <v>3296</v>
      </c>
      <c r="J4309" t="s">
        <v>22522</v>
      </c>
      <c r="K4309" t="s">
        <v>303</v>
      </c>
      <c r="L4309" t="s">
        <v>112</v>
      </c>
      <c r="M4309" t="s">
        <v>113</v>
      </c>
      <c r="R4309" t="s">
        <v>22530</v>
      </c>
      <c r="S4309" t="s">
        <v>22524</v>
      </c>
      <c r="T4309" t="s">
        <v>305</v>
      </c>
      <c r="U4309" t="s">
        <v>117</v>
      </c>
      <c r="V4309" t="str">
        <f>"147601100"</f>
        <v>147601100</v>
      </c>
      <c r="AC4309" t="s">
        <v>119</v>
      </c>
      <c r="AD4309" t="s">
        <v>113</v>
      </c>
      <c r="AE4309" t="s">
        <v>306</v>
      </c>
      <c r="AG4309" t="s">
        <v>121</v>
      </c>
    </row>
    <row r="4310" spans="1:33" x14ac:dyDescent="0.25">
      <c r="A4310" t="str">
        <f>"1588867402"</f>
        <v>1588867402</v>
      </c>
      <c r="C4310" t="s">
        <v>22531</v>
      </c>
      <c r="G4310" t="s">
        <v>22521</v>
      </c>
      <c r="H4310" t="s">
        <v>22532</v>
      </c>
      <c r="I4310">
        <v>3297</v>
      </c>
      <c r="J4310" t="s">
        <v>22522</v>
      </c>
      <c r="K4310" t="s">
        <v>303</v>
      </c>
      <c r="L4310" t="s">
        <v>229</v>
      </c>
      <c r="M4310" t="s">
        <v>113</v>
      </c>
      <c r="R4310" t="s">
        <v>22533</v>
      </c>
      <c r="S4310" t="s">
        <v>22208</v>
      </c>
      <c r="T4310" t="s">
        <v>305</v>
      </c>
      <c r="U4310" t="s">
        <v>117</v>
      </c>
      <c r="V4310" t="str">
        <f>"147602511"</f>
        <v>147602511</v>
      </c>
      <c r="AC4310" t="s">
        <v>119</v>
      </c>
      <c r="AD4310" t="s">
        <v>113</v>
      </c>
      <c r="AE4310" t="s">
        <v>306</v>
      </c>
      <c r="AG4310" t="s">
        <v>121</v>
      </c>
    </row>
    <row r="4311" spans="1:33" x14ac:dyDescent="0.25">
      <c r="A4311" t="str">
        <f>"1487099024"</f>
        <v>1487099024</v>
      </c>
      <c r="B4311" t="str">
        <f>"03575582"</f>
        <v>03575582</v>
      </c>
      <c r="C4311" t="s">
        <v>22534</v>
      </c>
      <c r="D4311" t="s">
        <v>22535</v>
      </c>
      <c r="E4311" t="s">
        <v>22536</v>
      </c>
      <c r="G4311" t="s">
        <v>22521</v>
      </c>
      <c r="H4311" t="s">
        <v>22537</v>
      </c>
      <c r="I4311">
        <v>3298</v>
      </c>
      <c r="J4311" t="s">
        <v>22522</v>
      </c>
      <c r="L4311" t="s">
        <v>229</v>
      </c>
      <c r="M4311" t="s">
        <v>113</v>
      </c>
      <c r="R4311" t="s">
        <v>22538</v>
      </c>
      <c r="W4311" t="s">
        <v>22536</v>
      </c>
      <c r="X4311" t="s">
        <v>22539</v>
      </c>
      <c r="Y4311" t="s">
        <v>305</v>
      </c>
      <c r="Z4311" t="s">
        <v>117</v>
      </c>
      <c r="AA4311" t="str">
        <f>"14760-1100"</f>
        <v>14760-1100</v>
      </c>
      <c r="AB4311" t="s">
        <v>528</v>
      </c>
      <c r="AC4311" t="s">
        <v>119</v>
      </c>
      <c r="AD4311" t="s">
        <v>113</v>
      </c>
      <c r="AE4311" t="s">
        <v>120</v>
      </c>
      <c r="AG4311" t="s">
        <v>121</v>
      </c>
    </row>
    <row r="4312" spans="1:33" x14ac:dyDescent="0.25">
      <c r="A4312" t="str">
        <f>"1023431541"</f>
        <v>1023431541</v>
      </c>
      <c r="C4312" t="s">
        <v>22540</v>
      </c>
      <c r="G4312" t="s">
        <v>22521</v>
      </c>
      <c r="H4312" t="s">
        <v>22541</v>
      </c>
      <c r="I4312">
        <v>3299</v>
      </c>
      <c r="J4312" t="s">
        <v>22522</v>
      </c>
      <c r="K4312" t="s">
        <v>303</v>
      </c>
      <c r="L4312" t="s">
        <v>229</v>
      </c>
      <c r="M4312" t="s">
        <v>113</v>
      </c>
      <c r="R4312" t="s">
        <v>22542</v>
      </c>
      <c r="S4312" t="s">
        <v>12666</v>
      </c>
      <c r="T4312" t="s">
        <v>305</v>
      </c>
      <c r="U4312" t="s">
        <v>117</v>
      </c>
      <c r="V4312" t="str">
        <f>"147601100"</f>
        <v>147601100</v>
      </c>
      <c r="AC4312" t="s">
        <v>119</v>
      </c>
      <c r="AD4312" t="s">
        <v>113</v>
      </c>
      <c r="AE4312" t="s">
        <v>306</v>
      </c>
      <c r="AG4312" t="s">
        <v>121</v>
      </c>
    </row>
    <row r="4313" spans="1:33" x14ac:dyDescent="0.25">
      <c r="A4313" t="str">
        <f>"1801937826"</f>
        <v>1801937826</v>
      </c>
      <c r="C4313" t="s">
        <v>22543</v>
      </c>
      <c r="G4313" t="s">
        <v>22521</v>
      </c>
      <c r="H4313" t="s">
        <v>22544</v>
      </c>
      <c r="I4313">
        <v>3300</v>
      </c>
      <c r="J4313" t="s">
        <v>22522</v>
      </c>
      <c r="K4313" t="s">
        <v>303</v>
      </c>
      <c r="L4313" t="s">
        <v>229</v>
      </c>
      <c r="M4313" t="s">
        <v>113</v>
      </c>
      <c r="R4313" t="s">
        <v>22545</v>
      </c>
      <c r="S4313" t="s">
        <v>22546</v>
      </c>
      <c r="T4313" t="s">
        <v>4866</v>
      </c>
      <c r="U4313" t="s">
        <v>117</v>
      </c>
      <c r="V4313" t="str">
        <f>"147061305"</f>
        <v>147061305</v>
      </c>
      <c r="AC4313" t="s">
        <v>119</v>
      </c>
      <c r="AD4313" t="s">
        <v>113</v>
      </c>
      <c r="AE4313" t="s">
        <v>306</v>
      </c>
      <c r="AG4313" t="s">
        <v>121</v>
      </c>
    </row>
    <row r="4314" spans="1:33" x14ac:dyDescent="0.25">
      <c r="A4314" t="str">
        <f>"1437352580"</f>
        <v>1437352580</v>
      </c>
      <c r="C4314" t="s">
        <v>22547</v>
      </c>
      <c r="G4314" t="s">
        <v>22521</v>
      </c>
      <c r="H4314" t="s">
        <v>22548</v>
      </c>
      <c r="I4314">
        <v>3301</v>
      </c>
      <c r="J4314" t="s">
        <v>22522</v>
      </c>
      <c r="K4314" t="s">
        <v>303</v>
      </c>
      <c r="L4314" t="s">
        <v>229</v>
      </c>
      <c r="M4314" t="s">
        <v>113</v>
      </c>
      <c r="R4314" t="s">
        <v>22549</v>
      </c>
      <c r="S4314" t="s">
        <v>22208</v>
      </c>
      <c r="T4314" t="s">
        <v>305</v>
      </c>
      <c r="U4314" t="s">
        <v>117</v>
      </c>
      <c r="V4314" t="str">
        <f>"147602511"</f>
        <v>147602511</v>
      </c>
      <c r="AC4314" t="s">
        <v>119</v>
      </c>
      <c r="AD4314" t="s">
        <v>113</v>
      </c>
      <c r="AE4314" t="s">
        <v>306</v>
      </c>
      <c r="AG4314" t="s">
        <v>121</v>
      </c>
    </row>
    <row r="4315" spans="1:33" x14ac:dyDescent="0.25">
      <c r="A4315" t="str">
        <f>"1639357924"</f>
        <v>1639357924</v>
      </c>
      <c r="C4315" t="s">
        <v>22550</v>
      </c>
      <c r="G4315" t="s">
        <v>22521</v>
      </c>
      <c r="H4315" t="s">
        <v>22551</v>
      </c>
      <c r="I4315">
        <v>3302</v>
      </c>
      <c r="J4315" t="s">
        <v>22522</v>
      </c>
      <c r="K4315" t="s">
        <v>303</v>
      </c>
      <c r="L4315" t="s">
        <v>229</v>
      </c>
      <c r="M4315" t="s">
        <v>113</v>
      </c>
      <c r="R4315" t="s">
        <v>22552</v>
      </c>
      <c r="S4315" t="s">
        <v>22208</v>
      </c>
      <c r="T4315" t="s">
        <v>305</v>
      </c>
      <c r="U4315" t="s">
        <v>117</v>
      </c>
      <c r="V4315" t="str">
        <f>"147602511"</f>
        <v>147602511</v>
      </c>
      <c r="AC4315" t="s">
        <v>119</v>
      </c>
      <c r="AD4315" t="s">
        <v>113</v>
      </c>
      <c r="AE4315" t="s">
        <v>306</v>
      </c>
      <c r="AG4315" t="s">
        <v>121</v>
      </c>
    </row>
    <row r="4316" spans="1:33" x14ac:dyDescent="0.25">
      <c r="A4316" t="str">
        <f>"1184810285"</f>
        <v>1184810285</v>
      </c>
      <c r="C4316" t="s">
        <v>22553</v>
      </c>
      <c r="G4316" t="s">
        <v>22521</v>
      </c>
      <c r="H4316" t="s">
        <v>22554</v>
      </c>
      <c r="I4316">
        <v>3303</v>
      </c>
      <c r="J4316" t="s">
        <v>22522</v>
      </c>
      <c r="K4316" t="s">
        <v>303</v>
      </c>
      <c r="L4316" t="s">
        <v>229</v>
      </c>
      <c r="M4316" t="s">
        <v>113</v>
      </c>
      <c r="R4316" t="s">
        <v>22555</v>
      </c>
      <c r="S4316" t="s">
        <v>22524</v>
      </c>
      <c r="T4316" t="s">
        <v>305</v>
      </c>
      <c r="U4316" t="s">
        <v>117</v>
      </c>
      <c r="V4316" t="str">
        <f>"147601100"</f>
        <v>147601100</v>
      </c>
      <c r="AC4316" t="s">
        <v>119</v>
      </c>
      <c r="AD4316" t="s">
        <v>113</v>
      </c>
      <c r="AE4316" t="s">
        <v>306</v>
      </c>
      <c r="AG4316" t="s">
        <v>121</v>
      </c>
    </row>
    <row r="4317" spans="1:33" x14ac:dyDescent="0.25">
      <c r="A4317" t="str">
        <f>"1619902889"</f>
        <v>1619902889</v>
      </c>
      <c r="B4317" t="str">
        <f>"02503762"</f>
        <v>02503762</v>
      </c>
      <c r="C4317" t="s">
        <v>22556</v>
      </c>
      <c r="D4317" t="s">
        <v>22557</v>
      </c>
      <c r="E4317" t="s">
        <v>22558</v>
      </c>
      <c r="G4317" t="s">
        <v>22521</v>
      </c>
      <c r="H4317" t="s">
        <v>9759</v>
      </c>
      <c r="I4317">
        <v>3304</v>
      </c>
      <c r="J4317" t="s">
        <v>22522</v>
      </c>
      <c r="L4317" t="s">
        <v>112</v>
      </c>
      <c r="M4317" t="s">
        <v>113</v>
      </c>
      <c r="R4317" t="s">
        <v>22559</v>
      </c>
      <c r="W4317" t="s">
        <v>22558</v>
      </c>
      <c r="X4317" t="s">
        <v>22208</v>
      </c>
      <c r="Y4317" t="s">
        <v>305</v>
      </c>
      <c r="Z4317" t="s">
        <v>117</v>
      </c>
      <c r="AA4317" t="str">
        <f>"14760-2511"</f>
        <v>14760-2511</v>
      </c>
      <c r="AB4317" t="s">
        <v>118</v>
      </c>
      <c r="AC4317" t="s">
        <v>119</v>
      </c>
      <c r="AD4317" t="s">
        <v>113</v>
      </c>
      <c r="AE4317" t="s">
        <v>120</v>
      </c>
      <c r="AG4317" t="s">
        <v>121</v>
      </c>
    </row>
    <row r="4318" spans="1:33" x14ac:dyDescent="0.25">
      <c r="A4318" t="str">
        <f>"1255768792"</f>
        <v>1255768792</v>
      </c>
      <c r="C4318" t="s">
        <v>22560</v>
      </c>
      <c r="G4318" t="s">
        <v>22521</v>
      </c>
      <c r="H4318" t="s">
        <v>22561</v>
      </c>
      <c r="I4318">
        <v>3305</v>
      </c>
      <c r="J4318" t="s">
        <v>22522</v>
      </c>
      <c r="K4318" t="s">
        <v>303</v>
      </c>
      <c r="L4318" t="s">
        <v>229</v>
      </c>
      <c r="M4318" t="s">
        <v>113</v>
      </c>
      <c r="R4318" t="s">
        <v>22562</v>
      </c>
      <c r="S4318" t="s">
        <v>22563</v>
      </c>
      <c r="T4318" t="s">
        <v>1767</v>
      </c>
      <c r="U4318" t="s">
        <v>117</v>
      </c>
      <c r="V4318" t="str">
        <f>"147791529"</f>
        <v>147791529</v>
      </c>
      <c r="AC4318" t="s">
        <v>119</v>
      </c>
      <c r="AD4318" t="s">
        <v>113</v>
      </c>
      <c r="AE4318" t="s">
        <v>306</v>
      </c>
      <c r="AG4318" t="s">
        <v>121</v>
      </c>
    </row>
    <row r="4319" spans="1:33" x14ac:dyDescent="0.25">
      <c r="A4319" t="str">
        <f>"1336343862"</f>
        <v>1336343862</v>
      </c>
      <c r="C4319" t="s">
        <v>22564</v>
      </c>
      <c r="G4319" t="s">
        <v>22521</v>
      </c>
      <c r="H4319" t="s">
        <v>11683</v>
      </c>
      <c r="I4319">
        <v>3306</v>
      </c>
      <c r="J4319" t="s">
        <v>22522</v>
      </c>
      <c r="K4319" t="s">
        <v>303</v>
      </c>
      <c r="L4319" t="s">
        <v>112</v>
      </c>
      <c r="M4319" t="s">
        <v>113</v>
      </c>
      <c r="S4319" t="s">
        <v>22563</v>
      </c>
      <c r="T4319" t="s">
        <v>1767</v>
      </c>
      <c r="U4319" t="s">
        <v>117</v>
      </c>
      <c r="V4319" t="str">
        <f>"147791529"</f>
        <v>147791529</v>
      </c>
      <c r="AC4319" t="s">
        <v>119</v>
      </c>
      <c r="AD4319" t="s">
        <v>113</v>
      </c>
      <c r="AE4319" t="s">
        <v>306</v>
      </c>
      <c r="AG4319" t="s">
        <v>121</v>
      </c>
    </row>
    <row r="4320" spans="1:33" x14ac:dyDescent="0.25">
      <c r="A4320" t="str">
        <f>"1023211182"</f>
        <v>1023211182</v>
      </c>
      <c r="C4320" t="s">
        <v>22565</v>
      </c>
      <c r="G4320" t="s">
        <v>22521</v>
      </c>
      <c r="H4320" t="s">
        <v>22566</v>
      </c>
      <c r="I4320">
        <v>3307</v>
      </c>
      <c r="J4320" t="s">
        <v>22522</v>
      </c>
      <c r="K4320" t="s">
        <v>303</v>
      </c>
      <c r="L4320" t="s">
        <v>229</v>
      </c>
      <c r="M4320" t="s">
        <v>113</v>
      </c>
      <c r="R4320" t="s">
        <v>22567</v>
      </c>
      <c r="S4320" t="s">
        <v>22208</v>
      </c>
      <c r="T4320" t="s">
        <v>305</v>
      </c>
      <c r="U4320" t="s">
        <v>117</v>
      </c>
      <c r="V4320" t="str">
        <f>"147602511"</f>
        <v>147602511</v>
      </c>
      <c r="AC4320" t="s">
        <v>119</v>
      </c>
      <c r="AD4320" t="s">
        <v>113</v>
      </c>
      <c r="AE4320" t="s">
        <v>306</v>
      </c>
      <c r="AG4320" t="s">
        <v>121</v>
      </c>
    </row>
    <row r="4321" spans="1:33" x14ac:dyDescent="0.25">
      <c r="A4321" t="str">
        <f>"1982807376"</f>
        <v>1982807376</v>
      </c>
      <c r="C4321" t="s">
        <v>22568</v>
      </c>
      <c r="G4321" t="s">
        <v>22521</v>
      </c>
      <c r="H4321" t="s">
        <v>22569</v>
      </c>
      <c r="I4321">
        <v>3308</v>
      </c>
      <c r="J4321" t="s">
        <v>22522</v>
      </c>
      <c r="K4321" t="s">
        <v>303</v>
      </c>
      <c r="L4321" t="s">
        <v>229</v>
      </c>
      <c r="M4321" t="s">
        <v>113</v>
      </c>
      <c r="R4321" t="s">
        <v>22570</v>
      </c>
      <c r="S4321" t="s">
        <v>22208</v>
      </c>
      <c r="T4321" t="s">
        <v>305</v>
      </c>
      <c r="U4321" t="s">
        <v>117</v>
      </c>
      <c r="V4321" t="str">
        <f>"147602511"</f>
        <v>147602511</v>
      </c>
      <c r="AC4321" t="s">
        <v>119</v>
      </c>
      <c r="AD4321" t="s">
        <v>113</v>
      </c>
      <c r="AE4321" t="s">
        <v>306</v>
      </c>
      <c r="AG4321" t="s">
        <v>121</v>
      </c>
    </row>
    <row r="4322" spans="1:33" x14ac:dyDescent="0.25">
      <c r="A4322" t="str">
        <f>"1154668887"</f>
        <v>1154668887</v>
      </c>
      <c r="C4322" t="s">
        <v>22571</v>
      </c>
      <c r="G4322" t="s">
        <v>22521</v>
      </c>
      <c r="H4322" t="s">
        <v>22572</v>
      </c>
      <c r="I4322">
        <v>3309</v>
      </c>
      <c r="J4322" t="s">
        <v>22522</v>
      </c>
      <c r="K4322" t="s">
        <v>303</v>
      </c>
      <c r="L4322" t="s">
        <v>229</v>
      </c>
      <c r="M4322" t="s">
        <v>113</v>
      </c>
      <c r="R4322" t="s">
        <v>22573</v>
      </c>
      <c r="S4322" t="s">
        <v>12666</v>
      </c>
      <c r="T4322" t="s">
        <v>305</v>
      </c>
      <c r="U4322" t="s">
        <v>117</v>
      </c>
      <c r="V4322" t="str">
        <f>"147601100"</f>
        <v>147601100</v>
      </c>
      <c r="AC4322" t="s">
        <v>119</v>
      </c>
      <c r="AD4322" t="s">
        <v>113</v>
      </c>
      <c r="AE4322" t="s">
        <v>306</v>
      </c>
      <c r="AG4322" t="s">
        <v>121</v>
      </c>
    </row>
    <row r="4323" spans="1:33" x14ac:dyDescent="0.25">
      <c r="A4323" t="str">
        <f>"1487735155"</f>
        <v>1487735155</v>
      </c>
      <c r="B4323" t="str">
        <f>"00732825"</f>
        <v>00732825</v>
      </c>
      <c r="C4323" t="s">
        <v>22574</v>
      </c>
      <c r="D4323" t="s">
        <v>22575</v>
      </c>
      <c r="E4323" t="s">
        <v>22576</v>
      </c>
      <c r="G4323" t="s">
        <v>22521</v>
      </c>
      <c r="H4323" t="s">
        <v>22577</v>
      </c>
      <c r="I4323">
        <v>3310</v>
      </c>
      <c r="J4323" t="s">
        <v>22522</v>
      </c>
      <c r="L4323" t="s">
        <v>150</v>
      </c>
      <c r="M4323" t="s">
        <v>113</v>
      </c>
      <c r="R4323" t="s">
        <v>22578</v>
      </c>
      <c r="W4323" t="s">
        <v>22576</v>
      </c>
      <c r="X4323" t="s">
        <v>22579</v>
      </c>
      <c r="Y4323" t="s">
        <v>2007</v>
      </c>
      <c r="Z4323" t="s">
        <v>117</v>
      </c>
      <c r="AA4323" t="str">
        <f>"14727-1403"</f>
        <v>14727-1403</v>
      </c>
      <c r="AB4323" t="s">
        <v>118</v>
      </c>
      <c r="AC4323" t="s">
        <v>119</v>
      </c>
      <c r="AD4323" t="s">
        <v>113</v>
      </c>
      <c r="AE4323" t="s">
        <v>120</v>
      </c>
      <c r="AG4323" t="s">
        <v>121</v>
      </c>
    </row>
    <row r="4324" spans="1:33" x14ac:dyDescent="0.25">
      <c r="A4324" t="str">
        <f>"1982934394"</f>
        <v>1982934394</v>
      </c>
      <c r="C4324" t="s">
        <v>22580</v>
      </c>
      <c r="G4324" t="s">
        <v>22521</v>
      </c>
      <c r="H4324" t="s">
        <v>22581</v>
      </c>
      <c r="I4324">
        <v>3311</v>
      </c>
      <c r="J4324" t="s">
        <v>22522</v>
      </c>
      <c r="K4324" t="s">
        <v>303</v>
      </c>
      <c r="L4324" t="s">
        <v>112</v>
      </c>
      <c r="M4324" t="s">
        <v>113</v>
      </c>
      <c r="R4324" t="s">
        <v>22582</v>
      </c>
      <c r="S4324" t="s">
        <v>22524</v>
      </c>
      <c r="T4324" t="s">
        <v>305</v>
      </c>
      <c r="U4324" t="s">
        <v>117</v>
      </c>
      <c r="V4324" t="str">
        <f>"147601100"</f>
        <v>147601100</v>
      </c>
      <c r="AC4324" t="s">
        <v>119</v>
      </c>
      <c r="AD4324" t="s">
        <v>113</v>
      </c>
      <c r="AE4324" t="s">
        <v>306</v>
      </c>
      <c r="AG4324" t="s">
        <v>121</v>
      </c>
    </row>
    <row r="4325" spans="1:33" x14ac:dyDescent="0.25">
      <c r="A4325" t="str">
        <f>"1134559628"</f>
        <v>1134559628</v>
      </c>
      <c r="C4325" t="s">
        <v>22583</v>
      </c>
      <c r="G4325" t="s">
        <v>22521</v>
      </c>
      <c r="H4325" t="s">
        <v>22584</v>
      </c>
      <c r="I4325">
        <v>3312</v>
      </c>
      <c r="J4325" t="s">
        <v>22522</v>
      </c>
      <c r="K4325" t="s">
        <v>303</v>
      </c>
      <c r="L4325" t="s">
        <v>112</v>
      </c>
      <c r="M4325" t="s">
        <v>113</v>
      </c>
      <c r="R4325" t="s">
        <v>22585</v>
      </c>
      <c r="S4325" t="s">
        <v>12666</v>
      </c>
      <c r="T4325" t="s">
        <v>305</v>
      </c>
      <c r="U4325" t="s">
        <v>117</v>
      </c>
      <c r="V4325" t="str">
        <f>"147601100"</f>
        <v>147601100</v>
      </c>
      <c r="AC4325" t="s">
        <v>119</v>
      </c>
      <c r="AD4325" t="s">
        <v>113</v>
      </c>
      <c r="AE4325" t="s">
        <v>306</v>
      </c>
      <c r="AG4325" t="s">
        <v>121</v>
      </c>
    </row>
    <row r="4326" spans="1:33" x14ac:dyDescent="0.25">
      <c r="A4326" t="str">
        <f>"1841638665"</f>
        <v>1841638665</v>
      </c>
      <c r="C4326" t="s">
        <v>22586</v>
      </c>
      <c r="G4326" t="s">
        <v>22521</v>
      </c>
      <c r="H4326" t="s">
        <v>22587</v>
      </c>
      <c r="I4326">
        <v>3313</v>
      </c>
      <c r="J4326" t="s">
        <v>22522</v>
      </c>
      <c r="K4326" t="s">
        <v>303</v>
      </c>
      <c r="L4326" t="s">
        <v>229</v>
      </c>
      <c r="M4326" t="s">
        <v>113</v>
      </c>
      <c r="R4326" t="s">
        <v>22588</v>
      </c>
      <c r="S4326" t="s">
        <v>22524</v>
      </c>
      <c r="T4326" t="s">
        <v>305</v>
      </c>
      <c r="U4326" t="s">
        <v>117</v>
      </c>
      <c r="V4326" t="str">
        <f>"147601156"</f>
        <v>147601156</v>
      </c>
      <c r="AC4326" t="s">
        <v>119</v>
      </c>
      <c r="AD4326" t="s">
        <v>113</v>
      </c>
      <c r="AE4326" t="s">
        <v>306</v>
      </c>
      <c r="AG4326" t="s">
        <v>121</v>
      </c>
    </row>
    <row r="4327" spans="1:33" x14ac:dyDescent="0.25">
      <c r="A4327" t="str">
        <f>"1023292794"</f>
        <v>1023292794</v>
      </c>
      <c r="C4327" t="s">
        <v>22589</v>
      </c>
      <c r="G4327" t="s">
        <v>22521</v>
      </c>
      <c r="H4327" t="s">
        <v>22590</v>
      </c>
      <c r="I4327">
        <v>3314</v>
      </c>
      <c r="J4327" t="s">
        <v>22522</v>
      </c>
      <c r="K4327" t="s">
        <v>303</v>
      </c>
      <c r="L4327" t="s">
        <v>229</v>
      </c>
      <c r="M4327" t="s">
        <v>113</v>
      </c>
      <c r="R4327" t="s">
        <v>22591</v>
      </c>
      <c r="S4327" t="s">
        <v>22208</v>
      </c>
      <c r="T4327" t="s">
        <v>305</v>
      </c>
      <c r="U4327" t="s">
        <v>117</v>
      </c>
      <c r="V4327" t="str">
        <f>"147602511"</f>
        <v>147602511</v>
      </c>
      <c r="AC4327" t="s">
        <v>119</v>
      </c>
      <c r="AD4327" t="s">
        <v>113</v>
      </c>
      <c r="AE4327" t="s">
        <v>306</v>
      </c>
      <c r="AG4327" t="s">
        <v>121</v>
      </c>
    </row>
    <row r="4328" spans="1:33" x14ac:dyDescent="0.25">
      <c r="A4328" t="str">
        <f>"1619170073"</f>
        <v>1619170073</v>
      </c>
      <c r="C4328" t="s">
        <v>22592</v>
      </c>
      <c r="G4328" t="s">
        <v>22521</v>
      </c>
      <c r="H4328" t="s">
        <v>22593</v>
      </c>
      <c r="I4328">
        <v>3315</v>
      </c>
      <c r="J4328" t="s">
        <v>22522</v>
      </c>
      <c r="K4328" t="s">
        <v>303</v>
      </c>
      <c r="L4328" t="s">
        <v>112</v>
      </c>
      <c r="M4328" t="s">
        <v>113</v>
      </c>
      <c r="R4328" t="s">
        <v>22594</v>
      </c>
      <c r="S4328" t="s">
        <v>22524</v>
      </c>
      <c r="T4328" t="s">
        <v>305</v>
      </c>
      <c r="U4328" t="s">
        <v>117</v>
      </c>
      <c r="V4328" t="str">
        <f>"147601100"</f>
        <v>147601100</v>
      </c>
      <c r="AC4328" t="s">
        <v>119</v>
      </c>
      <c r="AD4328" t="s">
        <v>113</v>
      </c>
      <c r="AE4328" t="s">
        <v>306</v>
      </c>
      <c r="AG4328" t="s">
        <v>121</v>
      </c>
    </row>
    <row r="4329" spans="1:33" x14ac:dyDescent="0.25">
      <c r="A4329" t="str">
        <f>"1710210364"</f>
        <v>1710210364</v>
      </c>
      <c r="C4329" t="s">
        <v>22595</v>
      </c>
      <c r="G4329" t="s">
        <v>22521</v>
      </c>
      <c r="H4329" t="s">
        <v>22596</v>
      </c>
      <c r="I4329">
        <v>3316</v>
      </c>
      <c r="J4329" t="s">
        <v>22522</v>
      </c>
      <c r="K4329" t="s">
        <v>303</v>
      </c>
      <c r="L4329" t="s">
        <v>112</v>
      </c>
      <c r="M4329" t="s">
        <v>113</v>
      </c>
      <c r="R4329" t="s">
        <v>22597</v>
      </c>
      <c r="S4329" t="s">
        <v>22598</v>
      </c>
      <c r="T4329" t="s">
        <v>922</v>
      </c>
      <c r="U4329" t="s">
        <v>117</v>
      </c>
      <c r="V4329" t="str">
        <f>"148959332"</f>
        <v>148959332</v>
      </c>
      <c r="AC4329" t="s">
        <v>119</v>
      </c>
      <c r="AD4329" t="s">
        <v>113</v>
      </c>
      <c r="AE4329" t="s">
        <v>306</v>
      </c>
      <c r="AG4329" t="s">
        <v>121</v>
      </c>
    </row>
    <row r="4330" spans="1:33" x14ac:dyDescent="0.25">
      <c r="A4330" t="str">
        <f>"1386681211"</f>
        <v>1386681211</v>
      </c>
      <c r="B4330" t="str">
        <f>"02869189"</f>
        <v>02869189</v>
      </c>
      <c r="C4330" t="s">
        <v>22599</v>
      </c>
      <c r="D4330" t="s">
        <v>22600</v>
      </c>
      <c r="E4330" t="s">
        <v>22601</v>
      </c>
      <c r="G4330" t="s">
        <v>21825</v>
      </c>
      <c r="H4330" t="s">
        <v>21826</v>
      </c>
      <c r="J4330" t="s">
        <v>21827</v>
      </c>
      <c r="L4330" t="s">
        <v>112</v>
      </c>
      <c r="M4330" t="s">
        <v>199</v>
      </c>
      <c r="R4330" t="s">
        <v>22602</v>
      </c>
      <c r="W4330" t="s">
        <v>22603</v>
      </c>
      <c r="X4330" t="s">
        <v>3440</v>
      </c>
      <c r="Y4330" t="s">
        <v>116</v>
      </c>
      <c r="Z4330" t="s">
        <v>117</v>
      </c>
      <c r="AA4330" t="str">
        <f>"14215-1436"</f>
        <v>14215-1436</v>
      </c>
      <c r="AB4330" t="s">
        <v>118</v>
      </c>
      <c r="AC4330" t="s">
        <v>119</v>
      </c>
      <c r="AD4330" t="s">
        <v>113</v>
      </c>
      <c r="AE4330" t="s">
        <v>120</v>
      </c>
      <c r="AG4330" t="s">
        <v>121</v>
      </c>
    </row>
    <row r="4331" spans="1:33" x14ac:dyDescent="0.25">
      <c r="A4331" t="str">
        <f>"1285628149"</f>
        <v>1285628149</v>
      </c>
      <c r="B4331" t="str">
        <f>"02346165"</f>
        <v>02346165</v>
      </c>
      <c r="C4331" t="s">
        <v>22604</v>
      </c>
      <c r="D4331" t="s">
        <v>22605</v>
      </c>
      <c r="E4331" t="s">
        <v>22606</v>
      </c>
      <c r="G4331" t="s">
        <v>21825</v>
      </c>
      <c r="H4331" t="s">
        <v>21826</v>
      </c>
      <c r="J4331" t="s">
        <v>21827</v>
      </c>
      <c r="L4331" t="s">
        <v>150</v>
      </c>
      <c r="M4331" t="s">
        <v>199</v>
      </c>
      <c r="R4331" t="s">
        <v>22607</v>
      </c>
      <c r="W4331" t="s">
        <v>22608</v>
      </c>
      <c r="X4331" t="s">
        <v>11786</v>
      </c>
      <c r="Y4331" t="s">
        <v>116</v>
      </c>
      <c r="Z4331" t="s">
        <v>117</v>
      </c>
      <c r="AA4331" t="str">
        <f>"14201-2135"</f>
        <v>14201-2135</v>
      </c>
      <c r="AB4331" t="s">
        <v>118</v>
      </c>
      <c r="AC4331" t="s">
        <v>119</v>
      </c>
      <c r="AD4331" t="s">
        <v>113</v>
      </c>
      <c r="AE4331" t="s">
        <v>120</v>
      </c>
      <c r="AG4331" t="s">
        <v>121</v>
      </c>
    </row>
    <row r="4332" spans="1:33" x14ac:dyDescent="0.25">
      <c r="A4332" t="str">
        <f>"1801080676"</f>
        <v>1801080676</v>
      </c>
      <c r="C4332" t="s">
        <v>22609</v>
      </c>
      <c r="G4332" t="s">
        <v>22610</v>
      </c>
      <c r="H4332" t="s">
        <v>437</v>
      </c>
      <c r="J4332" t="s">
        <v>438</v>
      </c>
      <c r="K4332" t="s">
        <v>303</v>
      </c>
      <c r="L4332" t="s">
        <v>229</v>
      </c>
      <c r="M4332" t="s">
        <v>113</v>
      </c>
      <c r="R4332" t="s">
        <v>22611</v>
      </c>
      <c r="S4332" t="s">
        <v>1117</v>
      </c>
      <c r="T4332" t="s">
        <v>318</v>
      </c>
      <c r="U4332" t="s">
        <v>117</v>
      </c>
      <c r="V4332" t="str">
        <f>"142254965"</f>
        <v>142254965</v>
      </c>
      <c r="AC4332" t="s">
        <v>119</v>
      </c>
      <c r="AD4332" t="s">
        <v>113</v>
      </c>
      <c r="AE4332" t="s">
        <v>306</v>
      </c>
      <c r="AG4332" t="s">
        <v>121</v>
      </c>
    </row>
    <row r="4333" spans="1:33" x14ac:dyDescent="0.25">
      <c r="A4333" t="str">
        <f>"1649345349"</f>
        <v>1649345349</v>
      </c>
      <c r="B4333" t="str">
        <f>"01429390"</f>
        <v>01429390</v>
      </c>
      <c r="C4333" t="s">
        <v>22612</v>
      </c>
      <c r="D4333" t="s">
        <v>22613</v>
      </c>
      <c r="E4333" t="s">
        <v>22614</v>
      </c>
      <c r="G4333" t="s">
        <v>21591</v>
      </c>
      <c r="H4333" t="s">
        <v>22615</v>
      </c>
      <c r="J4333" t="s">
        <v>21592</v>
      </c>
      <c r="L4333" t="s">
        <v>112</v>
      </c>
      <c r="M4333" t="s">
        <v>113</v>
      </c>
      <c r="R4333" t="s">
        <v>22616</v>
      </c>
      <c r="W4333" t="s">
        <v>22614</v>
      </c>
      <c r="X4333" t="s">
        <v>22617</v>
      </c>
      <c r="Y4333" t="s">
        <v>4071</v>
      </c>
      <c r="Z4333" t="s">
        <v>117</v>
      </c>
      <c r="AA4333" t="str">
        <f>"14070-1111"</f>
        <v>14070-1111</v>
      </c>
      <c r="AB4333" t="s">
        <v>118</v>
      </c>
      <c r="AC4333" t="s">
        <v>119</v>
      </c>
      <c r="AD4333" t="s">
        <v>113</v>
      </c>
      <c r="AE4333" t="s">
        <v>120</v>
      </c>
      <c r="AG4333" t="s">
        <v>121</v>
      </c>
    </row>
    <row r="4334" spans="1:33" x14ac:dyDescent="0.25">
      <c r="A4334" t="str">
        <f>"1306115704"</f>
        <v>1306115704</v>
      </c>
      <c r="C4334" t="s">
        <v>22618</v>
      </c>
      <c r="G4334" t="s">
        <v>21591</v>
      </c>
      <c r="H4334" t="s">
        <v>22619</v>
      </c>
      <c r="J4334" t="s">
        <v>21592</v>
      </c>
      <c r="K4334" t="s">
        <v>303</v>
      </c>
      <c r="L4334" t="s">
        <v>112</v>
      </c>
      <c r="M4334" t="s">
        <v>113</v>
      </c>
      <c r="R4334" t="s">
        <v>22620</v>
      </c>
      <c r="S4334" t="s">
        <v>22621</v>
      </c>
      <c r="T4334" t="s">
        <v>541</v>
      </c>
      <c r="U4334" t="s">
        <v>117</v>
      </c>
      <c r="V4334" t="str">
        <f>"140483507"</f>
        <v>140483507</v>
      </c>
      <c r="AC4334" t="s">
        <v>119</v>
      </c>
      <c r="AD4334" t="s">
        <v>113</v>
      </c>
      <c r="AE4334" t="s">
        <v>306</v>
      </c>
      <c r="AG4334" t="s">
        <v>121</v>
      </c>
    </row>
    <row r="4335" spans="1:33" x14ac:dyDescent="0.25">
      <c r="C4335" t="s">
        <v>22622</v>
      </c>
      <c r="G4335" t="s">
        <v>21591</v>
      </c>
      <c r="H4335" t="s">
        <v>22623</v>
      </c>
      <c r="J4335" t="s">
        <v>21592</v>
      </c>
      <c r="K4335" t="s">
        <v>303</v>
      </c>
      <c r="L4335" t="s">
        <v>3095</v>
      </c>
      <c r="M4335" t="s">
        <v>113</v>
      </c>
      <c r="N4335" t="s">
        <v>21656</v>
      </c>
      <c r="O4335" t="s">
        <v>21657</v>
      </c>
      <c r="P4335" t="s">
        <v>117</v>
      </c>
      <c r="Q4335" t="str">
        <f>"14786"</f>
        <v>14786</v>
      </c>
      <c r="AC4335" t="s">
        <v>119</v>
      </c>
      <c r="AD4335" t="s">
        <v>113</v>
      </c>
      <c r="AE4335" t="s">
        <v>3098</v>
      </c>
      <c r="AG4335" t="s">
        <v>121</v>
      </c>
    </row>
    <row r="4336" spans="1:33" x14ac:dyDescent="0.25">
      <c r="A4336" t="str">
        <f>"1235571027"</f>
        <v>1235571027</v>
      </c>
      <c r="C4336" t="s">
        <v>22624</v>
      </c>
      <c r="G4336" t="s">
        <v>21591</v>
      </c>
      <c r="H4336" t="s">
        <v>22625</v>
      </c>
      <c r="J4336" t="s">
        <v>21592</v>
      </c>
      <c r="K4336" t="s">
        <v>303</v>
      </c>
      <c r="L4336" t="s">
        <v>112</v>
      </c>
      <c r="M4336" t="s">
        <v>113</v>
      </c>
      <c r="R4336" t="s">
        <v>22626</v>
      </c>
      <c r="S4336" t="s">
        <v>6330</v>
      </c>
      <c r="T4336" t="s">
        <v>1557</v>
      </c>
      <c r="U4336" t="s">
        <v>117</v>
      </c>
      <c r="V4336" t="str">
        <f>"147571095"</f>
        <v>147571095</v>
      </c>
      <c r="AC4336" t="s">
        <v>119</v>
      </c>
      <c r="AD4336" t="s">
        <v>113</v>
      </c>
      <c r="AE4336" t="s">
        <v>306</v>
      </c>
      <c r="AG4336" t="s">
        <v>121</v>
      </c>
    </row>
    <row r="4337" spans="1:33" x14ac:dyDescent="0.25">
      <c r="A4337" t="str">
        <f>"1932521960"</f>
        <v>1932521960</v>
      </c>
      <c r="C4337" t="s">
        <v>22627</v>
      </c>
      <c r="G4337" t="s">
        <v>21591</v>
      </c>
      <c r="H4337" t="s">
        <v>22628</v>
      </c>
      <c r="J4337" t="s">
        <v>21592</v>
      </c>
      <c r="K4337" t="s">
        <v>303</v>
      </c>
      <c r="L4337" t="s">
        <v>112</v>
      </c>
      <c r="M4337" t="s">
        <v>113</v>
      </c>
      <c r="R4337" t="s">
        <v>22629</v>
      </c>
      <c r="S4337" t="s">
        <v>22630</v>
      </c>
      <c r="T4337" t="s">
        <v>4839</v>
      </c>
      <c r="U4337" t="s">
        <v>117</v>
      </c>
      <c r="V4337" t="str">
        <f>"141119701"</f>
        <v>141119701</v>
      </c>
      <c r="AC4337" t="s">
        <v>119</v>
      </c>
      <c r="AD4337" t="s">
        <v>113</v>
      </c>
      <c r="AE4337" t="s">
        <v>306</v>
      </c>
      <c r="AG4337" t="s">
        <v>121</v>
      </c>
    </row>
    <row r="4338" spans="1:33" x14ac:dyDescent="0.25">
      <c r="A4338" t="str">
        <f>"1023155686"</f>
        <v>1023155686</v>
      </c>
      <c r="B4338" t="str">
        <f>"03771973"</f>
        <v>03771973</v>
      </c>
      <c r="C4338" t="s">
        <v>22631</v>
      </c>
      <c r="D4338" t="s">
        <v>22632</v>
      </c>
      <c r="E4338" t="s">
        <v>22633</v>
      </c>
      <c r="G4338" t="s">
        <v>21591</v>
      </c>
      <c r="H4338" t="s">
        <v>22634</v>
      </c>
      <c r="J4338" t="s">
        <v>21592</v>
      </c>
      <c r="L4338" t="s">
        <v>1033</v>
      </c>
      <c r="M4338" t="s">
        <v>113</v>
      </c>
      <c r="R4338" t="s">
        <v>22635</v>
      </c>
      <c r="W4338" t="s">
        <v>22633</v>
      </c>
      <c r="X4338" t="s">
        <v>21597</v>
      </c>
      <c r="Y4338" t="s">
        <v>541</v>
      </c>
      <c r="Z4338" t="s">
        <v>117</v>
      </c>
      <c r="AA4338" t="str">
        <f>"14048-2137"</f>
        <v>14048-2137</v>
      </c>
      <c r="AB4338" t="s">
        <v>621</v>
      </c>
      <c r="AC4338" t="s">
        <v>119</v>
      </c>
      <c r="AD4338" t="s">
        <v>113</v>
      </c>
      <c r="AE4338" t="s">
        <v>120</v>
      </c>
      <c r="AG4338" t="s">
        <v>121</v>
      </c>
    </row>
    <row r="4339" spans="1:33" x14ac:dyDescent="0.25">
      <c r="A4339" t="str">
        <f>"1326296922"</f>
        <v>1326296922</v>
      </c>
      <c r="C4339" t="s">
        <v>22636</v>
      </c>
      <c r="G4339" t="s">
        <v>21591</v>
      </c>
      <c r="H4339" t="s">
        <v>22637</v>
      </c>
      <c r="J4339" t="s">
        <v>21592</v>
      </c>
      <c r="K4339" t="s">
        <v>303</v>
      </c>
      <c r="L4339" t="s">
        <v>112</v>
      </c>
      <c r="M4339" t="s">
        <v>113</v>
      </c>
      <c r="R4339" t="s">
        <v>22638</v>
      </c>
      <c r="S4339" t="s">
        <v>22639</v>
      </c>
      <c r="T4339" t="s">
        <v>986</v>
      </c>
      <c r="U4339" t="s">
        <v>117</v>
      </c>
      <c r="V4339" t="str">
        <f>"147015433"</f>
        <v>147015433</v>
      </c>
      <c r="AC4339" t="s">
        <v>119</v>
      </c>
      <c r="AD4339" t="s">
        <v>113</v>
      </c>
      <c r="AE4339" t="s">
        <v>306</v>
      </c>
      <c r="AG4339" t="s">
        <v>121</v>
      </c>
    </row>
    <row r="4340" spans="1:33" x14ac:dyDescent="0.25">
      <c r="A4340" t="str">
        <f>"1619267127"</f>
        <v>1619267127</v>
      </c>
      <c r="C4340" t="s">
        <v>22640</v>
      </c>
      <c r="G4340" t="s">
        <v>21591</v>
      </c>
      <c r="H4340" t="s">
        <v>22641</v>
      </c>
      <c r="J4340" t="s">
        <v>21592</v>
      </c>
      <c r="K4340" t="s">
        <v>303</v>
      </c>
      <c r="L4340" t="s">
        <v>112</v>
      </c>
      <c r="M4340" t="s">
        <v>113</v>
      </c>
      <c r="R4340" t="s">
        <v>22642</v>
      </c>
      <c r="S4340" t="s">
        <v>22643</v>
      </c>
      <c r="T4340" t="s">
        <v>22644</v>
      </c>
      <c r="U4340" t="s">
        <v>1535</v>
      </c>
      <c r="V4340" t="str">
        <f>"163654875"</f>
        <v>163654875</v>
      </c>
      <c r="AC4340" t="s">
        <v>119</v>
      </c>
      <c r="AD4340" t="s">
        <v>113</v>
      </c>
      <c r="AE4340" t="s">
        <v>306</v>
      </c>
      <c r="AG4340" t="s">
        <v>121</v>
      </c>
    </row>
    <row r="4341" spans="1:33" x14ac:dyDescent="0.25">
      <c r="A4341" t="str">
        <f>"1467646976"</f>
        <v>1467646976</v>
      </c>
      <c r="B4341" t="str">
        <f>"03759560"</f>
        <v>03759560</v>
      </c>
      <c r="C4341" t="s">
        <v>22645</v>
      </c>
      <c r="D4341" t="s">
        <v>22646</v>
      </c>
      <c r="E4341" t="s">
        <v>22647</v>
      </c>
      <c r="G4341" t="s">
        <v>21591</v>
      </c>
      <c r="H4341" t="s">
        <v>22648</v>
      </c>
      <c r="J4341" t="s">
        <v>21592</v>
      </c>
      <c r="L4341" t="s">
        <v>1033</v>
      </c>
      <c r="M4341" t="s">
        <v>113</v>
      </c>
      <c r="R4341" t="s">
        <v>22649</v>
      </c>
      <c r="W4341" t="s">
        <v>22647</v>
      </c>
      <c r="X4341" t="s">
        <v>21597</v>
      </c>
      <c r="Y4341" t="s">
        <v>541</v>
      </c>
      <c r="Z4341" t="s">
        <v>117</v>
      </c>
      <c r="AA4341" t="str">
        <f>"14048-2137"</f>
        <v>14048-2137</v>
      </c>
      <c r="AB4341" t="s">
        <v>621</v>
      </c>
      <c r="AC4341" t="s">
        <v>119</v>
      </c>
      <c r="AD4341" t="s">
        <v>113</v>
      </c>
      <c r="AE4341" t="s">
        <v>120</v>
      </c>
      <c r="AG4341" t="s">
        <v>121</v>
      </c>
    </row>
    <row r="4342" spans="1:33" x14ac:dyDescent="0.25">
      <c r="A4342" t="str">
        <f>"1538310255"</f>
        <v>1538310255</v>
      </c>
      <c r="B4342" t="str">
        <f>"01795335"</f>
        <v>01795335</v>
      </c>
      <c r="C4342" t="s">
        <v>22650</v>
      </c>
      <c r="D4342" t="s">
        <v>22651</v>
      </c>
      <c r="E4342" t="s">
        <v>22652</v>
      </c>
      <c r="G4342" t="s">
        <v>21591</v>
      </c>
      <c r="H4342" t="s">
        <v>22653</v>
      </c>
      <c r="J4342" t="s">
        <v>21592</v>
      </c>
      <c r="L4342" t="s">
        <v>1033</v>
      </c>
      <c r="M4342" t="s">
        <v>113</v>
      </c>
      <c r="R4342" t="s">
        <v>22654</v>
      </c>
      <c r="W4342" t="s">
        <v>22652</v>
      </c>
      <c r="X4342" t="s">
        <v>22655</v>
      </c>
      <c r="Y4342" t="s">
        <v>22656</v>
      </c>
      <c r="Z4342" t="s">
        <v>8864</v>
      </c>
      <c r="AA4342" t="str">
        <f>"07601-1914"</f>
        <v>07601-1914</v>
      </c>
      <c r="AB4342" t="s">
        <v>118</v>
      </c>
      <c r="AC4342" t="s">
        <v>119</v>
      </c>
      <c r="AD4342" t="s">
        <v>113</v>
      </c>
      <c r="AE4342" t="s">
        <v>120</v>
      </c>
      <c r="AG4342" t="s">
        <v>121</v>
      </c>
    </row>
    <row r="4343" spans="1:33" x14ac:dyDescent="0.25">
      <c r="A4343" t="str">
        <f>"1639481229"</f>
        <v>1639481229</v>
      </c>
      <c r="C4343" t="s">
        <v>22657</v>
      </c>
      <c r="G4343" t="s">
        <v>21591</v>
      </c>
      <c r="H4343" t="s">
        <v>22658</v>
      </c>
      <c r="J4343" t="s">
        <v>21592</v>
      </c>
      <c r="K4343" t="s">
        <v>303</v>
      </c>
      <c r="L4343" t="s">
        <v>229</v>
      </c>
      <c r="M4343" t="s">
        <v>113</v>
      </c>
      <c r="R4343" t="s">
        <v>22659</v>
      </c>
      <c r="S4343" t="s">
        <v>6330</v>
      </c>
      <c r="T4343" t="s">
        <v>1557</v>
      </c>
      <c r="U4343" t="s">
        <v>117</v>
      </c>
      <c r="V4343" t="str">
        <f>"147571090"</f>
        <v>147571090</v>
      </c>
      <c r="AC4343" t="s">
        <v>119</v>
      </c>
      <c r="AD4343" t="s">
        <v>113</v>
      </c>
      <c r="AE4343" t="s">
        <v>306</v>
      </c>
      <c r="AG4343" t="s">
        <v>121</v>
      </c>
    </row>
    <row r="4344" spans="1:33" x14ac:dyDescent="0.25">
      <c r="A4344" t="str">
        <f>"1326187741"</f>
        <v>1326187741</v>
      </c>
      <c r="B4344" t="str">
        <f>"03754881"</f>
        <v>03754881</v>
      </c>
      <c r="C4344" t="s">
        <v>22660</v>
      </c>
      <c r="D4344" t="s">
        <v>22661</v>
      </c>
      <c r="E4344" t="s">
        <v>22662</v>
      </c>
      <c r="G4344" t="s">
        <v>21591</v>
      </c>
      <c r="H4344" t="s">
        <v>22663</v>
      </c>
      <c r="J4344" t="s">
        <v>21592</v>
      </c>
      <c r="L4344" t="s">
        <v>1033</v>
      </c>
      <c r="M4344" t="s">
        <v>113</v>
      </c>
      <c r="R4344" t="s">
        <v>22664</v>
      </c>
      <c r="W4344" t="s">
        <v>22662</v>
      </c>
      <c r="X4344" t="s">
        <v>21601</v>
      </c>
      <c r="Y4344" t="s">
        <v>986</v>
      </c>
      <c r="Z4344" t="s">
        <v>117</v>
      </c>
      <c r="AA4344" t="str">
        <f>"14701-5433"</f>
        <v>14701-5433</v>
      </c>
      <c r="AB4344" t="s">
        <v>621</v>
      </c>
      <c r="AC4344" t="s">
        <v>119</v>
      </c>
      <c r="AD4344" t="s">
        <v>113</v>
      </c>
      <c r="AE4344" t="s">
        <v>120</v>
      </c>
      <c r="AG4344" t="s">
        <v>121</v>
      </c>
    </row>
    <row r="4345" spans="1:33" x14ac:dyDescent="0.25">
      <c r="A4345" t="str">
        <f>"1154502086"</f>
        <v>1154502086</v>
      </c>
      <c r="C4345" t="s">
        <v>22665</v>
      </c>
      <c r="G4345" t="s">
        <v>21591</v>
      </c>
      <c r="H4345" t="s">
        <v>22666</v>
      </c>
      <c r="J4345" t="s">
        <v>21592</v>
      </c>
      <c r="K4345" t="s">
        <v>303</v>
      </c>
      <c r="L4345" t="s">
        <v>229</v>
      </c>
      <c r="M4345" t="s">
        <v>113</v>
      </c>
      <c r="R4345" t="s">
        <v>22667</v>
      </c>
      <c r="S4345" t="s">
        <v>21601</v>
      </c>
      <c r="T4345" t="s">
        <v>986</v>
      </c>
      <c r="U4345" t="s">
        <v>117</v>
      </c>
      <c r="V4345" t="str">
        <f>"147015433"</f>
        <v>147015433</v>
      </c>
      <c r="AC4345" t="s">
        <v>119</v>
      </c>
      <c r="AD4345" t="s">
        <v>113</v>
      </c>
      <c r="AE4345" t="s">
        <v>306</v>
      </c>
      <c r="AG4345" t="s">
        <v>121</v>
      </c>
    </row>
    <row r="4346" spans="1:33" x14ac:dyDescent="0.25">
      <c r="A4346" t="str">
        <f>"1538415773"</f>
        <v>1538415773</v>
      </c>
      <c r="C4346" t="s">
        <v>22668</v>
      </c>
      <c r="G4346" t="s">
        <v>21591</v>
      </c>
      <c r="H4346" t="s">
        <v>22669</v>
      </c>
      <c r="J4346" t="s">
        <v>21592</v>
      </c>
      <c r="K4346" t="s">
        <v>303</v>
      </c>
      <c r="L4346" t="s">
        <v>229</v>
      </c>
      <c r="M4346" t="s">
        <v>113</v>
      </c>
      <c r="R4346" t="s">
        <v>22670</v>
      </c>
      <c r="S4346" t="s">
        <v>21601</v>
      </c>
      <c r="T4346" t="s">
        <v>986</v>
      </c>
      <c r="U4346" t="s">
        <v>117</v>
      </c>
      <c r="V4346" t="str">
        <f>"147015433"</f>
        <v>147015433</v>
      </c>
      <c r="AC4346" t="s">
        <v>119</v>
      </c>
      <c r="AD4346" t="s">
        <v>113</v>
      </c>
      <c r="AE4346" t="s">
        <v>306</v>
      </c>
      <c r="AG4346" t="s">
        <v>121</v>
      </c>
    </row>
    <row r="4347" spans="1:33" x14ac:dyDescent="0.25">
      <c r="A4347" t="str">
        <f>"1588086656"</f>
        <v>1588086656</v>
      </c>
      <c r="C4347" t="s">
        <v>22671</v>
      </c>
      <c r="G4347" t="s">
        <v>21591</v>
      </c>
      <c r="H4347" t="s">
        <v>22672</v>
      </c>
      <c r="J4347" t="s">
        <v>21592</v>
      </c>
      <c r="K4347" t="s">
        <v>303</v>
      </c>
      <c r="L4347" t="s">
        <v>112</v>
      </c>
      <c r="M4347" t="s">
        <v>113</v>
      </c>
      <c r="R4347" t="s">
        <v>22673</v>
      </c>
      <c r="S4347" t="s">
        <v>5799</v>
      </c>
      <c r="T4347" t="s">
        <v>541</v>
      </c>
      <c r="U4347" t="s">
        <v>117</v>
      </c>
      <c r="V4347" t="str">
        <f>"140482201"</f>
        <v>140482201</v>
      </c>
      <c r="AC4347" t="s">
        <v>119</v>
      </c>
      <c r="AD4347" t="s">
        <v>113</v>
      </c>
      <c r="AE4347" t="s">
        <v>306</v>
      </c>
      <c r="AG4347" t="s">
        <v>121</v>
      </c>
    </row>
    <row r="4348" spans="1:33" x14ac:dyDescent="0.25">
      <c r="A4348" t="str">
        <f>"1104248145"</f>
        <v>1104248145</v>
      </c>
      <c r="C4348" t="s">
        <v>22674</v>
      </c>
      <c r="G4348" t="s">
        <v>21591</v>
      </c>
      <c r="H4348" t="s">
        <v>22675</v>
      </c>
      <c r="J4348" t="s">
        <v>21592</v>
      </c>
      <c r="K4348" t="s">
        <v>303</v>
      </c>
      <c r="L4348" t="s">
        <v>112</v>
      </c>
      <c r="M4348" t="s">
        <v>113</v>
      </c>
      <c r="R4348" t="s">
        <v>22676</v>
      </c>
      <c r="S4348" t="s">
        <v>22677</v>
      </c>
      <c r="T4348" t="s">
        <v>986</v>
      </c>
      <c r="U4348" t="s">
        <v>117</v>
      </c>
      <c r="V4348" t="str">
        <f>"147015433"</f>
        <v>147015433</v>
      </c>
      <c r="AC4348" t="s">
        <v>119</v>
      </c>
      <c r="AD4348" t="s">
        <v>113</v>
      </c>
      <c r="AE4348" t="s">
        <v>306</v>
      </c>
      <c r="AG4348" t="s">
        <v>121</v>
      </c>
    </row>
    <row r="4349" spans="1:33" x14ac:dyDescent="0.25">
      <c r="A4349" t="str">
        <f>"1407082589"</f>
        <v>1407082589</v>
      </c>
      <c r="C4349" t="s">
        <v>22678</v>
      </c>
      <c r="G4349" t="s">
        <v>21591</v>
      </c>
      <c r="H4349" t="s">
        <v>22679</v>
      </c>
      <c r="J4349" t="s">
        <v>21592</v>
      </c>
      <c r="K4349" t="s">
        <v>303</v>
      </c>
      <c r="L4349" t="s">
        <v>229</v>
      </c>
      <c r="M4349" t="s">
        <v>113</v>
      </c>
      <c r="R4349" t="s">
        <v>22680</v>
      </c>
      <c r="S4349" t="s">
        <v>21618</v>
      </c>
      <c r="T4349" t="s">
        <v>1557</v>
      </c>
      <c r="U4349" t="s">
        <v>117</v>
      </c>
      <c r="V4349" t="str">
        <f>"147571120"</f>
        <v>147571120</v>
      </c>
      <c r="AC4349" t="s">
        <v>119</v>
      </c>
      <c r="AD4349" t="s">
        <v>113</v>
      </c>
      <c r="AE4349" t="s">
        <v>306</v>
      </c>
      <c r="AG4349" t="s">
        <v>121</v>
      </c>
    </row>
    <row r="4350" spans="1:33" x14ac:dyDescent="0.25">
      <c r="A4350" t="str">
        <f>"1689711384"</f>
        <v>1689711384</v>
      </c>
      <c r="C4350" t="s">
        <v>22681</v>
      </c>
      <c r="G4350" t="s">
        <v>21591</v>
      </c>
      <c r="H4350" t="s">
        <v>22682</v>
      </c>
      <c r="J4350" t="s">
        <v>21592</v>
      </c>
      <c r="K4350" t="s">
        <v>303</v>
      </c>
      <c r="L4350" t="s">
        <v>112</v>
      </c>
      <c r="M4350" t="s">
        <v>113</v>
      </c>
      <c r="R4350" t="s">
        <v>22683</v>
      </c>
      <c r="S4350" t="s">
        <v>21597</v>
      </c>
      <c r="T4350" t="s">
        <v>541</v>
      </c>
      <c r="U4350" t="s">
        <v>117</v>
      </c>
      <c r="V4350" t="str">
        <f>"140482137"</f>
        <v>140482137</v>
      </c>
      <c r="AC4350" t="s">
        <v>119</v>
      </c>
      <c r="AD4350" t="s">
        <v>113</v>
      </c>
      <c r="AE4350" t="s">
        <v>306</v>
      </c>
      <c r="AG4350" t="s">
        <v>121</v>
      </c>
    </row>
    <row r="4351" spans="1:33" x14ac:dyDescent="0.25">
      <c r="A4351" t="str">
        <f>"1396873584"</f>
        <v>1396873584</v>
      </c>
      <c r="C4351" t="s">
        <v>22684</v>
      </c>
      <c r="G4351" t="s">
        <v>21591</v>
      </c>
      <c r="H4351" t="s">
        <v>22685</v>
      </c>
      <c r="J4351" t="s">
        <v>21592</v>
      </c>
      <c r="K4351" t="s">
        <v>303</v>
      </c>
      <c r="L4351" t="s">
        <v>112</v>
      </c>
      <c r="M4351" t="s">
        <v>113</v>
      </c>
      <c r="R4351" t="s">
        <v>22686</v>
      </c>
      <c r="S4351" t="s">
        <v>21601</v>
      </c>
      <c r="T4351" t="s">
        <v>986</v>
      </c>
      <c r="U4351" t="s">
        <v>117</v>
      </c>
      <c r="V4351" t="str">
        <f t="shared" ref="V4351:V4356" si="5">"147015433"</f>
        <v>147015433</v>
      </c>
      <c r="AC4351" t="s">
        <v>119</v>
      </c>
      <c r="AD4351" t="s">
        <v>113</v>
      </c>
      <c r="AE4351" t="s">
        <v>306</v>
      </c>
      <c r="AG4351" t="s">
        <v>121</v>
      </c>
    </row>
    <row r="4352" spans="1:33" x14ac:dyDescent="0.25">
      <c r="A4352" t="str">
        <f>"1902154677"</f>
        <v>1902154677</v>
      </c>
      <c r="C4352" t="s">
        <v>22687</v>
      </c>
      <c r="G4352" t="s">
        <v>21591</v>
      </c>
      <c r="H4352" t="s">
        <v>22688</v>
      </c>
      <c r="J4352" t="s">
        <v>21592</v>
      </c>
      <c r="K4352" t="s">
        <v>303</v>
      </c>
      <c r="L4352" t="s">
        <v>229</v>
      </c>
      <c r="M4352" t="s">
        <v>113</v>
      </c>
      <c r="R4352" t="s">
        <v>22689</v>
      </c>
      <c r="S4352" t="s">
        <v>21601</v>
      </c>
      <c r="T4352" t="s">
        <v>986</v>
      </c>
      <c r="U4352" t="s">
        <v>117</v>
      </c>
      <c r="V4352" t="str">
        <f t="shared" si="5"/>
        <v>147015433</v>
      </c>
      <c r="AC4352" t="s">
        <v>119</v>
      </c>
      <c r="AD4352" t="s">
        <v>113</v>
      </c>
      <c r="AE4352" t="s">
        <v>306</v>
      </c>
      <c r="AG4352" t="s">
        <v>121</v>
      </c>
    </row>
    <row r="4353" spans="1:33" x14ac:dyDescent="0.25">
      <c r="A4353" t="str">
        <f>"1912045337"</f>
        <v>1912045337</v>
      </c>
      <c r="C4353" t="s">
        <v>22690</v>
      </c>
      <c r="G4353" t="s">
        <v>21591</v>
      </c>
      <c r="H4353" t="s">
        <v>22691</v>
      </c>
      <c r="J4353" t="s">
        <v>21592</v>
      </c>
      <c r="K4353" t="s">
        <v>303</v>
      </c>
      <c r="L4353" t="s">
        <v>112</v>
      </c>
      <c r="M4353" t="s">
        <v>113</v>
      </c>
      <c r="R4353" t="s">
        <v>22692</v>
      </c>
      <c r="S4353" t="s">
        <v>21601</v>
      </c>
      <c r="T4353" t="s">
        <v>986</v>
      </c>
      <c r="U4353" t="s">
        <v>117</v>
      </c>
      <c r="V4353" t="str">
        <f t="shared" si="5"/>
        <v>147015433</v>
      </c>
      <c r="AC4353" t="s">
        <v>119</v>
      </c>
      <c r="AD4353" t="s">
        <v>113</v>
      </c>
      <c r="AE4353" t="s">
        <v>306</v>
      </c>
      <c r="AG4353" t="s">
        <v>121</v>
      </c>
    </row>
    <row r="4354" spans="1:33" x14ac:dyDescent="0.25">
      <c r="A4354" t="str">
        <f>"1609915016"</f>
        <v>1609915016</v>
      </c>
      <c r="C4354" t="s">
        <v>22693</v>
      </c>
      <c r="G4354" t="s">
        <v>21591</v>
      </c>
      <c r="H4354" t="s">
        <v>22694</v>
      </c>
      <c r="J4354" t="s">
        <v>21592</v>
      </c>
      <c r="K4354" t="s">
        <v>303</v>
      </c>
      <c r="L4354" t="s">
        <v>112</v>
      </c>
      <c r="M4354" t="s">
        <v>113</v>
      </c>
      <c r="R4354" t="s">
        <v>22695</v>
      </c>
      <c r="S4354" t="s">
        <v>21601</v>
      </c>
      <c r="T4354" t="s">
        <v>986</v>
      </c>
      <c r="U4354" t="s">
        <v>117</v>
      </c>
      <c r="V4354" t="str">
        <f t="shared" si="5"/>
        <v>147015433</v>
      </c>
      <c r="AC4354" t="s">
        <v>119</v>
      </c>
      <c r="AD4354" t="s">
        <v>113</v>
      </c>
      <c r="AE4354" t="s">
        <v>306</v>
      </c>
      <c r="AG4354" t="s">
        <v>121</v>
      </c>
    </row>
    <row r="4355" spans="1:33" x14ac:dyDescent="0.25">
      <c r="A4355" t="str">
        <f>"1790984748"</f>
        <v>1790984748</v>
      </c>
      <c r="C4355" t="s">
        <v>22696</v>
      </c>
      <c r="G4355" t="s">
        <v>21591</v>
      </c>
      <c r="H4355" t="s">
        <v>22697</v>
      </c>
      <c r="J4355" t="s">
        <v>21592</v>
      </c>
      <c r="K4355" t="s">
        <v>303</v>
      </c>
      <c r="L4355" t="s">
        <v>112</v>
      </c>
      <c r="M4355" t="s">
        <v>113</v>
      </c>
      <c r="R4355" t="s">
        <v>22698</v>
      </c>
      <c r="S4355" t="s">
        <v>21601</v>
      </c>
      <c r="T4355" t="s">
        <v>986</v>
      </c>
      <c r="U4355" t="s">
        <v>117</v>
      </c>
      <c r="V4355" t="str">
        <f t="shared" si="5"/>
        <v>147015433</v>
      </c>
      <c r="AC4355" t="s">
        <v>119</v>
      </c>
      <c r="AD4355" t="s">
        <v>113</v>
      </c>
      <c r="AE4355" t="s">
        <v>306</v>
      </c>
      <c r="AG4355" t="s">
        <v>121</v>
      </c>
    </row>
    <row r="4356" spans="1:33" x14ac:dyDescent="0.25">
      <c r="A4356" t="str">
        <f>"1780847582"</f>
        <v>1780847582</v>
      </c>
      <c r="C4356" t="s">
        <v>22699</v>
      </c>
      <c r="G4356" t="s">
        <v>21591</v>
      </c>
      <c r="H4356" t="s">
        <v>22700</v>
      </c>
      <c r="J4356" t="s">
        <v>21592</v>
      </c>
      <c r="K4356" t="s">
        <v>303</v>
      </c>
      <c r="L4356" t="s">
        <v>229</v>
      </c>
      <c r="M4356" t="s">
        <v>113</v>
      </c>
      <c r="R4356" t="s">
        <v>22701</v>
      </c>
      <c r="S4356" t="s">
        <v>21601</v>
      </c>
      <c r="T4356" t="s">
        <v>986</v>
      </c>
      <c r="U4356" t="s">
        <v>117</v>
      </c>
      <c r="V4356" t="str">
        <f t="shared" si="5"/>
        <v>147015433</v>
      </c>
      <c r="AC4356" t="s">
        <v>119</v>
      </c>
      <c r="AD4356" t="s">
        <v>113</v>
      </c>
      <c r="AE4356" t="s">
        <v>306</v>
      </c>
      <c r="AG4356" t="s">
        <v>121</v>
      </c>
    </row>
    <row r="4357" spans="1:33" x14ac:dyDescent="0.25">
      <c r="A4357" t="str">
        <f>"1700923463"</f>
        <v>1700923463</v>
      </c>
      <c r="C4357" t="s">
        <v>22702</v>
      </c>
      <c r="G4357" t="s">
        <v>21591</v>
      </c>
      <c r="H4357" t="s">
        <v>22703</v>
      </c>
      <c r="J4357" t="s">
        <v>21592</v>
      </c>
      <c r="K4357" t="s">
        <v>303</v>
      </c>
      <c r="L4357" t="s">
        <v>229</v>
      </c>
      <c r="M4357" t="s">
        <v>113</v>
      </c>
      <c r="R4357" t="s">
        <v>22704</v>
      </c>
      <c r="S4357" t="s">
        <v>21597</v>
      </c>
      <c r="T4357" t="s">
        <v>541</v>
      </c>
      <c r="U4357" t="s">
        <v>117</v>
      </c>
      <c r="V4357" t="str">
        <f>"140482137"</f>
        <v>140482137</v>
      </c>
      <c r="AC4357" t="s">
        <v>119</v>
      </c>
      <c r="AD4357" t="s">
        <v>113</v>
      </c>
      <c r="AE4357" t="s">
        <v>306</v>
      </c>
      <c r="AG4357" t="s">
        <v>121</v>
      </c>
    </row>
    <row r="4358" spans="1:33" x14ac:dyDescent="0.25">
      <c r="A4358" t="str">
        <f>"1508297581"</f>
        <v>1508297581</v>
      </c>
      <c r="C4358" t="s">
        <v>22705</v>
      </c>
      <c r="G4358" t="s">
        <v>21591</v>
      </c>
      <c r="H4358" t="s">
        <v>22706</v>
      </c>
      <c r="J4358" t="s">
        <v>21592</v>
      </c>
      <c r="K4358" t="s">
        <v>303</v>
      </c>
      <c r="L4358" t="s">
        <v>112</v>
      </c>
      <c r="M4358" t="s">
        <v>113</v>
      </c>
      <c r="R4358" t="s">
        <v>22707</v>
      </c>
      <c r="S4358" t="s">
        <v>21601</v>
      </c>
      <c r="T4358" t="s">
        <v>986</v>
      </c>
      <c r="U4358" t="s">
        <v>117</v>
      </c>
      <c r="V4358" t="str">
        <f>"147015433"</f>
        <v>147015433</v>
      </c>
      <c r="AC4358" t="s">
        <v>119</v>
      </c>
      <c r="AD4358" t="s">
        <v>113</v>
      </c>
      <c r="AE4358" t="s">
        <v>306</v>
      </c>
      <c r="AG4358" t="s">
        <v>121</v>
      </c>
    </row>
    <row r="4359" spans="1:33" x14ac:dyDescent="0.25">
      <c r="A4359" t="str">
        <f>"1538580667"</f>
        <v>1538580667</v>
      </c>
      <c r="C4359" t="s">
        <v>22708</v>
      </c>
      <c r="G4359" t="s">
        <v>21591</v>
      </c>
      <c r="H4359" t="s">
        <v>22709</v>
      </c>
      <c r="J4359" t="s">
        <v>21592</v>
      </c>
      <c r="K4359" t="s">
        <v>303</v>
      </c>
      <c r="L4359" t="s">
        <v>112</v>
      </c>
      <c r="M4359" t="s">
        <v>113</v>
      </c>
      <c r="R4359" t="s">
        <v>22710</v>
      </c>
      <c r="S4359" t="s">
        <v>21604</v>
      </c>
      <c r="T4359" t="s">
        <v>986</v>
      </c>
      <c r="U4359" t="s">
        <v>117</v>
      </c>
      <c r="V4359" t="str">
        <f>"147015433"</f>
        <v>147015433</v>
      </c>
      <c r="AC4359" t="s">
        <v>119</v>
      </c>
      <c r="AD4359" t="s">
        <v>113</v>
      </c>
      <c r="AE4359" t="s">
        <v>306</v>
      </c>
      <c r="AG4359" t="s">
        <v>121</v>
      </c>
    </row>
    <row r="4360" spans="1:33" x14ac:dyDescent="0.25">
      <c r="A4360" t="str">
        <f>"1497020069"</f>
        <v>1497020069</v>
      </c>
      <c r="C4360" t="s">
        <v>22711</v>
      </c>
      <c r="G4360" t="s">
        <v>21591</v>
      </c>
      <c r="H4360" t="s">
        <v>22712</v>
      </c>
      <c r="J4360" t="s">
        <v>21592</v>
      </c>
      <c r="K4360" t="s">
        <v>303</v>
      </c>
      <c r="L4360" t="s">
        <v>112</v>
      </c>
      <c r="M4360" t="s">
        <v>113</v>
      </c>
      <c r="R4360" t="s">
        <v>22713</v>
      </c>
      <c r="S4360" t="s">
        <v>22714</v>
      </c>
      <c r="T4360" t="s">
        <v>986</v>
      </c>
      <c r="U4360" t="s">
        <v>117</v>
      </c>
      <c r="V4360" t="str">
        <f>"147015433"</f>
        <v>147015433</v>
      </c>
      <c r="AC4360" t="s">
        <v>119</v>
      </c>
      <c r="AD4360" t="s">
        <v>113</v>
      </c>
      <c r="AE4360" t="s">
        <v>306</v>
      </c>
      <c r="AG4360" t="s">
        <v>121</v>
      </c>
    </row>
    <row r="4361" spans="1:33" x14ac:dyDescent="0.25">
      <c r="A4361" t="str">
        <f>"1891134409"</f>
        <v>1891134409</v>
      </c>
      <c r="B4361" t="str">
        <f>"04271656"</f>
        <v>04271656</v>
      </c>
      <c r="C4361" t="s">
        <v>22715</v>
      </c>
      <c r="D4361" t="s">
        <v>22716</v>
      </c>
      <c r="E4361" t="s">
        <v>22717</v>
      </c>
      <c r="G4361" t="s">
        <v>21591</v>
      </c>
      <c r="H4361" t="s">
        <v>22718</v>
      </c>
      <c r="J4361" t="s">
        <v>21592</v>
      </c>
      <c r="L4361" t="s">
        <v>112</v>
      </c>
      <c r="M4361" t="s">
        <v>113</v>
      </c>
      <c r="R4361" t="s">
        <v>22717</v>
      </c>
      <c r="W4361" t="s">
        <v>22717</v>
      </c>
      <c r="X4361" t="s">
        <v>21597</v>
      </c>
      <c r="Y4361" t="s">
        <v>541</v>
      </c>
      <c r="Z4361" t="s">
        <v>117</v>
      </c>
      <c r="AA4361" t="str">
        <f>"14048-2137"</f>
        <v>14048-2137</v>
      </c>
      <c r="AB4361" t="s">
        <v>621</v>
      </c>
      <c r="AC4361" t="s">
        <v>119</v>
      </c>
      <c r="AD4361" t="s">
        <v>113</v>
      </c>
      <c r="AE4361" t="s">
        <v>120</v>
      </c>
      <c r="AG4361" t="s">
        <v>121</v>
      </c>
    </row>
    <row r="4362" spans="1:33" x14ac:dyDescent="0.25">
      <c r="A4362" t="str">
        <f>"1295874717"</f>
        <v>1295874717</v>
      </c>
      <c r="C4362" t="s">
        <v>22719</v>
      </c>
      <c r="G4362" t="s">
        <v>21591</v>
      </c>
      <c r="H4362" t="s">
        <v>22720</v>
      </c>
      <c r="J4362" t="s">
        <v>21592</v>
      </c>
      <c r="K4362" t="s">
        <v>303</v>
      </c>
      <c r="L4362" t="s">
        <v>112</v>
      </c>
      <c r="M4362" t="s">
        <v>113</v>
      </c>
      <c r="R4362" t="s">
        <v>22721</v>
      </c>
      <c r="S4362" t="s">
        <v>21601</v>
      </c>
      <c r="T4362" t="s">
        <v>986</v>
      </c>
      <c r="U4362" t="s">
        <v>117</v>
      </c>
      <c r="V4362" t="str">
        <f>"147015433"</f>
        <v>147015433</v>
      </c>
      <c r="AC4362" t="s">
        <v>119</v>
      </c>
      <c r="AD4362" t="s">
        <v>113</v>
      </c>
      <c r="AE4362" t="s">
        <v>306</v>
      </c>
      <c r="AG4362" t="s">
        <v>121</v>
      </c>
    </row>
    <row r="4363" spans="1:33" x14ac:dyDescent="0.25">
      <c r="A4363" t="str">
        <f>"1619014016"</f>
        <v>1619014016</v>
      </c>
      <c r="C4363" t="s">
        <v>22722</v>
      </c>
      <c r="G4363" t="s">
        <v>21591</v>
      </c>
      <c r="H4363" t="s">
        <v>22723</v>
      </c>
      <c r="J4363" t="s">
        <v>21592</v>
      </c>
      <c r="K4363" t="s">
        <v>303</v>
      </c>
      <c r="L4363" t="s">
        <v>112</v>
      </c>
      <c r="M4363" t="s">
        <v>113</v>
      </c>
      <c r="R4363" t="s">
        <v>22724</v>
      </c>
      <c r="S4363" t="s">
        <v>21597</v>
      </c>
      <c r="T4363" t="s">
        <v>541</v>
      </c>
      <c r="U4363" t="s">
        <v>117</v>
      </c>
      <c r="V4363" t="str">
        <f>"140482137"</f>
        <v>140482137</v>
      </c>
      <c r="AC4363" t="s">
        <v>119</v>
      </c>
      <c r="AD4363" t="s">
        <v>113</v>
      </c>
      <c r="AE4363" t="s">
        <v>306</v>
      </c>
      <c r="AG4363" t="s">
        <v>121</v>
      </c>
    </row>
    <row r="4364" spans="1:33" x14ac:dyDescent="0.25">
      <c r="A4364" t="str">
        <f>"1659553014"</f>
        <v>1659553014</v>
      </c>
      <c r="B4364" t="str">
        <f>"00625609"</f>
        <v>00625609</v>
      </c>
      <c r="C4364" t="s">
        <v>21692</v>
      </c>
      <c r="D4364" t="s">
        <v>22725</v>
      </c>
      <c r="E4364" t="s">
        <v>22726</v>
      </c>
      <c r="F4364">
        <v>160975538</v>
      </c>
      <c r="G4364" t="s">
        <v>20082</v>
      </c>
      <c r="H4364" t="s">
        <v>1600</v>
      </c>
      <c r="J4364" t="s">
        <v>20083</v>
      </c>
      <c r="L4364" t="s">
        <v>69</v>
      </c>
      <c r="M4364" t="s">
        <v>199</v>
      </c>
      <c r="R4364" t="s">
        <v>1578</v>
      </c>
      <c r="W4364" t="s">
        <v>22726</v>
      </c>
      <c r="X4364" t="s">
        <v>22727</v>
      </c>
      <c r="Y4364" t="s">
        <v>240</v>
      </c>
      <c r="Z4364" t="s">
        <v>117</v>
      </c>
      <c r="AA4364" t="str">
        <f>"14221-3610"</f>
        <v>14221-3610</v>
      </c>
      <c r="AB4364" t="s">
        <v>282</v>
      </c>
      <c r="AC4364" t="s">
        <v>119</v>
      </c>
      <c r="AD4364" t="s">
        <v>113</v>
      </c>
      <c r="AE4364" t="s">
        <v>120</v>
      </c>
      <c r="AG4364" t="s">
        <v>121</v>
      </c>
    </row>
    <row r="4365" spans="1:33" x14ac:dyDescent="0.25">
      <c r="C4365" t="s">
        <v>22728</v>
      </c>
      <c r="G4365" t="s">
        <v>20082</v>
      </c>
      <c r="H4365" t="s">
        <v>1600</v>
      </c>
      <c r="J4365" t="s">
        <v>20083</v>
      </c>
      <c r="K4365" t="s">
        <v>303</v>
      </c>
      <c r="L4365" t="s">
        <v>3095</v>
      </c>
      <c r="M4365" t="s">
        <v>113</v>
      </c>
      <c r="N4365" t="s">
        <v>22729</v>
      </c>
      <c r="O4365" t="s">
        <v>22730</v>
      </c>
      <c r="P4365" t="s">
        <v>117</v>
      </c>
      <c r="Q4365" t="str">
        <f>"14623"</f>
        <v>14623</v>
      </c>
      <c r="AC4365" t="s">
        <v>119</v>
      </c>
      <c r="AD4365" t="s">
        <v>113</v>
      </c>
      <c r="AE4365" t="s">
        <v>3098</v>
      </c>
      <c r="AG4365" t="s">
        <v>121</v>
      </c>
    </row>
    <row r="4366" spans="1:33" x14ac:dyDescent="0.25">
      <c r="C4366" t="s">
        <v>22731</v>
      </c>
      <c r="G4366" t="s">
        <v>20082</v>
      </c>
      <c r="H4366" t="s">
        <v>1600</v>
      </c>
      <c r="J4366" t="s">
        <v>20083</v>
      </c>
      <c r="K4366" t="s">
        <v>303</v>
      </c>
      <c r="L4366" t="s">
        <v>3095</v>
      </c>
      <c r="M4366" t="s">
        <v>113</v>
      </c>
      <c r="N4366" t="s">
        <v>22732</v>
      </c>
      <c r="O4366" t="s">
        <v>22733</v>
      </c>
      <c r="P4366" t="s">
        <v>117</v>
      </c>
      <c r="Q4366" t="str">
        <f>"14094"</f>
        <v>14094</v>
      </c>
      <c r="AC4366" t="s">
        <v>119</v>
      </c>
      <c r="AD4366" t="s">
        <v>113</v>
      </c>
      <c r="AE4366" t="s">
        <v>3098</v>
      </c>
      <c r="AG4366" t="s">
        <v>121</v>
      </c>
    </row>
    <row r="4367" spans="1:33" x14ac:dyDescent="0.25">
      <c r="A4367" t="str">
        <f>"1871682260"</f>
        <v>1871682260</v>
      </c>
      <c r="B4367" t="str">
        <f>"00624828"</f>
        <v>00624828</v>
      </c>
      <c r="C4367" t="s">
        <v>22734</v>
      </c>
      <c r="D4367" t="s">
        <v>22735</v>
      </c>
      <c r="E4367" t="s">
        <v>22736</v>
      </c>
      <c r="G4367" t="s">
        <v>22737</v>
      </c>
      <c r="H4367" t="s">
        <v>22738</v>
      </c>
      <c r="J4367" t="s">
        <v>22739</v>
      </c>
      <c r="L4367" t="s">
        <v>142</v>
      </c>
      <c r="M4367" t="s">
        <v>113</v>
      </c>
      <c r="R4367" t="s">
        <v>22740</v>
      </c>
      <c r="W4367" t="s">
        <v>22736</v>
      </c>
      <c r="X4367" t="s">
        <v>2326</v>
      </c>
      <c r="Y4367" t="s">
        <v>153</v>
      </c>
      <c r="Z4367" t="s">
        <v>117</v>
      </c>
      <c r="AA4367" t="str">
        <f>"14301-1530"</f>
        <v>14301-1530</v>
      </c>
      <c r="AB4367" t="s">
        <v>118</v>
      </c>
      <c r="AC4367" t="s">
        <v>119</v>
      </c>
      <c r="AD4367" t="s">
        <v>113</v>
      </c>
      <c r="AE4367" t="s">
        <v>120</v>
      </c>
      <c r="AG4367" t="s">
        <v>121</v>
      </c>
    </row>
    <row r="4368" spans="1:33" x14ac:dyDescent="0.25">
      <c r="A4368" t="str">
        <f>"1871721217"</f>
        <v>1871721217</v>
      </c>
      <c r="B4368" t="str">
        <f>"03923737"</f>
        <v>03923737</v>
      </c>
      <c r="C4368" t="s">
        <v>22741</v>
      </c>
      <c r="D4368" t="s">
        <v>22742</v>
      </c>
      <c r="E4368" t="s">
        <v>22743</v>
      </c>
      <c r="G4368" t="s">
        <v>22741</v>
      </c>
      <c r="H4368" t="s">
        <v>22744</v>
      </c>
      <c r="J4368" t="s">
        <v>22745</v>
      </c>
      <c r="L4368" t="s">
        <v>142</v>
      </c>
      <c r="M4368" t="s">
        <v>113</v>
      </c>
      <c r="R4368" t="s">
        <v>22746</v>
      </c>
      <c r="W4368" t="s">
        <v>22743</v>
      </c>
      <c r="X4368" t="s">
        <v>176</v>
      </c>
      <c r="Y4368" t="s">
        <v>116</v>
      </c>
      <c r="Z4368" t="s">
        <v>117</v>
      </c>
      <c r="AA4368" t="str">
        <f>"14203-1126"</f>
        <v>14203-1126</v>
      </c>
      <c r="AB4368" t="s">
        <v>118</v>
      </c>
      <c r="AC4368" t="s">
        <v>119</v>
      </c>
      <c r="AD4368" t="s">
        <v>113</v>
      </c>
      <c r="AE4368" t="s">
        <v>120</v>
      </c>
      <c r="AG4368" t="s">
        <v>121</v>
      </c>
    </row>
    <row r="4369" spans="1:33" x14ac:dyDescent="0.25">
      <c r="A4369" t="str">
        <f>"1871757914"</f>
        <v>1871757914</v>
      </c>
      <c r="B4369" t="str">
        <f>"03400171"</f>
        <v>03400171</v>
      </c>
      <c r="C4369" t="s">
        <v>22747</v>
      </c>
      <c r="D4369" t="s">
        <v>22748</v>
      </c>
      <c r="E4369" t="s">
        <v>22749</v>
      </c>
      <c r="G4369" t="s">
        <v>22747</v>
      </c>
      <c r="H4369" t="s">
        <v>17242</v>
      </c>
      <c r="J4369" t="s">
        <v>22750</v>
      </c>
      <c r="L4369" t="s">
        <v>112</v>
      </c>
      <c r="M4369" t="s">
        <v>113</v>
      </c>
      <c r="R4369" t="s">
        <v>22751</v>
      </c>
      <c r="W4369" t="s">
        <v>22749</v>
      </c>
      <c r="X4369" t="s">
        <v>22752</v>
      </c>
      <c r="Y4369" t="s">
        <v>153</v>
      </c>
      <c r="Z4369" t="s">
        <v>117</v>
      </c>
      <c r="AA4369" t="str">
        <f>"14304-3096"</f>
        <v>14304-3096</v>
      </c>
      <c r="AB4369" t="s">
        <v>118</v>
      </c>
      <c r="AC4369" t="s">
        <v>119</v>
      </c>
      <c r="AD4369" t="s">
        <v>113</v>
      </c>
      <c r="AE4369" t="s">
        <v>120</v>
      </c>
      <c r="AG4369" t="s">
        <v>121</v>
      </c>
    </row>
    <row r="4370" spans="1:33" x14ac:dyDescent="0.25">
      <c r="A4370" t="str">
        <f>"1871848630"</f>
        <v>1871848630</v>
      </c>
      <c r="B4370" t="str">
        <f>"03497463"</f>
        <v>03497463</v>
      </c>
      <c r="C4370" t="s">
        <v>22753</v>
      </c>
      <c r="D4370" t="s">
        <v>22754</v>
      </c>
      <c r="E4370" t="s">
        <v>22755</v>
      </c>
      <c r="G4370" t="s">
        <v>22753</v>
      </c>
      <c r="H4370" t="s">
        <v>205</v>
      </c>
      <c r="J4370" t="s">
        <v>22756</v>
      </c>
      <c r="L4370" t="s">
        <v>112</v>
      </c>
      <c r="M4370" t="s">
        <v>113</v>
      </c>
      <c r="R4370" t="s">
        <v>22757</v>
      </c>
      <c r="W4370" t="s">
        <v>22755</v>
      </c>
      <c r="X4370" t="s">
        <v>1648</v>
      </c>
      <c r="Y4370" t="s">
        <v>116</v>
      </c>
      <c r="Z4370" t="s">
        <v>117</v>
      </c>
      <c r="AA4370" t="str">
        <f>"14214-2648"</f>
        <v>14214-2648</v>
      </c>
      <c r="AB4370" t="s">
        <v>118</v>
      </c>
      <c r="AC4370" t="s">
        <v>119</v>
      </c>
      <c r="AD4370" t="s">
        <v>113</v>
      </c>
      <c r="AE4370" t="s">
        <v>120</v>
      </c>
      <c r="AG4370" t="s">
        <v>121</v>
      </c>
    </row>
    <row r="4371" spans="1:33" x14ac:dyDescent="0.25">
      <c r="A4371" t="str">
        <f>"1013338052"</f>
        <v>1013338052</v>
      </c>
      <c r="B4371" t="str">
        <f>"03776721"</f>
        <v>03776721</v>
      </c>
      <c r="C4371" t="s">
        <v>22758</v>
      </c>
      <c r="D4371" t="s">
        <v>22759</v>
      </c>
      <c r="E4371" t="s">
        <v>22760</v>
      </c>
      <c r="G4371" t="s">
        <v>21825</v>
      </c>
      <c r="H4371" t="s">
        <v>21826</v>
      </c>
      <c r="J4371" t="s">
        <v>21827</v>
      </c>
      <c r="L4371" t="s">
        <v>142</v>
      </c>
      <c r="M4371" t="s">
        <v>199</v>
      </c>
      <c r="R4371" t="s">
        <v>22760</v>
      </c>
      <c r="W4371" t="s">
        <v>22760</v>
      </c>
      <c r="X4371" t="s">
        <v>22761</v>
      </c>
      <c r="Y4371" t="s">
        <v>958</v>
      </c>
      <c r="Z4371" t="s">
        <v>117</v>
      </c>
      <c r="AA4371" t="str">
        <f>"14228-2783"</f>
        <v>14228-2783</v>
      </c>
      <c r="AB4371" t="s">
        <v>118</v>
      </c>
      <c r="AC4371" t="s">
        <v>119</v>
      </c>
      <c r="AD4371" t="s">
        <v>113</v>
      </c>
      <c r="AE4371" t="s">
        <v>120</v>
      </c>
      <c r="AG4371" t="s">
        <v>121</v>
      </c>
    </row>
    <row r="4372" spans="1:33" x14ac:dyDescent="0.25">
      <c r="A4372" t="str">
        <f>"1245342849"</f>
        <v>1245342849</v>
      </c>
      <c r="B4372" t="str">
        <f>"03573851"</f>
        <v>03573851</v>
      </c>
      <c r="C4372" t="s">
        <v>22762</v>
      </c>
      <c r="D4372" t="s">
        <v>22763</v>
      </c>
      <c r="E4372" t="s">
        <v>22764</v>
      </c>
      <c r="G4372" t="s">
        <v>21825</v>
      </c>
      <c r="H4372" t="s">
        <v>21826</v>
      </c>
      <c r="J4372" t="s">
        <v>21827</v>
      </c>
      <c r="L4372" t="s">
        <v>112</v>
      </c>
      <c r="M4372" t="s">
        <v>199</v>
      </c>
      <c r="R4372" t="s">
        <v>22765</v>
      </c>
      <c r="W4372" t="s">
        <v>22764</v>
      </c>
      <c r="X4372" t="s">
        <v>22766</v>
      </c>
      <c r="Y4372" t="s">
        <v>22767</v>
      </c>
      <c r="Z4372" t="s">
        <v>117</v>
      </c>
      <c r="AA4372" t="str">
        <f>"13676-1786"</f>
        <v>13676-1786</v>
      </c>
      <c r="AB4372" t="s">
        <v>118</v>
      </c>
      <c r="AC4372" t="s">
        <v>119</v>
      </c>
      <c r="AD4372" t="s">
        <v>113</v>
      </c>
      <c r="AE4372" t="s">
        <v>120</v>
      </c>
      <c r="AG4372" t="s">
        <v>121</v>
      </c>
    </row>
    <row r="4373" spans="1:33" x14ac:dyDescent="0.25">
      <c r="A4373" t="str">
        <f>"1033349923"</f>
        <v>1033349923</v>
      </c>
      <c r="B4373" t="str">
        <f>"03247683"</f>
        <v>03247683</v>
      </c>
      <c r="C4373" t="s">
        <v>22768</v>
      </c>
      <c r="D4373" t="s">
        <v>22769</v>
      </c>
      <c r="E4373" t="s">
        <v>22770</v>
      </c>
      <c r="G4373" t="s">
        <v>21825</v>
      </c>
      <c r="H4373" t="s">
        <v>21826</v>
      </c>
      <c r="J4373" t="s">
        <v>21827</v>
      </c>
      <c r="L4373" t="s">
        <v>150</v>
      </c>
      <c r="M4373" t="s">
        <v>199</v>
      </c>
      <c r="R4373" t="s">
        <v>22771</v>
      </c>
      <c r="W4373" t="s">
        <v>22770</v>
      </c>
      <c r="X4373" t="s">
        <v>17971</v>
      </c>
      <c r="Y4373" t="s">
        <v>268</v>
      </c>
      <c r="Z4373" t="s">
        <v>117</v>
      </c>
      <c r="AA4373" t="str">
        <f>"14150-9407"</f>
        <v>14150-9407</v>
      </c>
      <c r="AB4373" t="s">
        <v>118</v>
      </c>
      <c r="AC4373" t="s">
        <v>119</v>
      </c>
      <c r="AD4373" t="s">
        <v>113</v>
      </c>
      <c r="AE4373" t="s">
        <v>120</v>
      </c>
      <c r="AG4373" t="s">
        <v>121</v>
      </c>
    </row>
    <row r="4374" spans="1:33" x14ac:dyDescent="0.25">
      <c r="A4374" t="str">
        <f>"1922094549"</f>
        <v>1922094549</v>
      </c>
      <c r="B4374" t="str">
        <f>"02505306"</f>
        <v>02505306</v>
      </c>
      <c r="C4374" t="s">
        <v>22772</v>
      </c>
      <c r="D4374" t="s">
        <v>22773</v>
      </c>
      <c r="E4374" t="s">
        <v>22774</v>
      </c>
      <c r="G4374" t="s">
        <v>21825</v>
      </c>
      <c r="H4374" t="s">
        <v>21826</v>
      </c>
      <c r="J4374" t="s">
        <v>21827</v>
      </c>
      <c r="L4374" t="s">
        <v>142</v>
      </c>
      <c r="M4374" t="s">
        <v>199</v>
      </c>
      <c r="R4374" t="s">
        <v>22775</v>
      </c>
      <c r="W4374" t="s">
        <v>22776</v>
      </c>
      <c r="X4374" t="s">
        <v>22761</v>
      </c>
      <c r="Y4374" t="s">
        <v>958</v>
      </c>
      <c r="Z4374" t="s">
        <v>117</v>
      </c>
      <c r="AA4374" t="str">
        <f>"14228-2783"</f>
        <v>14228-2783</v>
      </c>
      <c r="AB4374" t="s">
        <v>118</v>
      </c>
      <c r="AC4374" t="s">
        <v>119</v>
      </c>
      <c r="AD4374" t="s">
        <v>113</v>
      </c>
      <c r="AE4374" t="s">
        <v>120</v>
      </c>
      <c r="AG4374" t="s">
        <v>121</v>
      </c>
    </row>
    <row r="4375" spans="1:33" x14ac:dyDescent="0.25">
      <c r="A4375" t="str">
        <f>"1366697617"</f>
        <v>1366697617</v>
      </c>
      <c r="B4375" t="str">
        <f>"03126029"</f>
        <v>03126029</v>
      </c>
      <c r="C4375" t="s">
        <v>22777</v>
      </c>
      <c r="D4375" t="s">
        <v>22778</v>
      </c>
      <c r="E4375" t="s">
        <v>22779</v>
      </c>
      <c r="G4375" t="s">
        <v>21825</v>
      </c>
      <c r="H4375" t="s">
        <v>21826</v>
      </c>
      <c r="J4375" t="s">
        <v>21827</v>
      </c>
      <c r="L4375" t="s">
        <v>150</v>
      </c>
      <c r="M4375" t="s">
        <v>199</v>
      </c>
      <c r="R4375" t="s">
        <v>22780</v>
      </c>
      <c r="W4375" t="s">
        <v>22779</v>
      </c>
      <c r="X4375" t="s">
        <v>2983</v>
      </c>
      <c r="Y4375" t="s">
        <v>318</v>
      </c>
      <c r="Z4375" t="s">
        <v>117</v>
      </c>
      <c r="AA4375" t="str">
        <f>"14225-4018"</f>
        <v>14225-4018</v>
      </c>
      <c r="AB4375" t="s">
        <v>118</v>
      </c>
      <c r="AC4375" t="s">
        <v>119</v>
      </c>
      <c r="AD4375" t="s">
        <v>113</v>
      </c>
      <c r="AE4375" t="s">
        <v>120</v>
      </c>
      <c r="AG4375" t="s">
        <v>121</v>
      </c>
    </row>
    <row r="4376" spans="1:33" x14ac:dyDescent="0.25">
      <c r="A4376" t="str">
        <f>"1225393689"</f>
        <v>1225393689</v>
      </c>
      <c r="B4376" t="str">
        <f>"03474673"</f>
        <v>03474673</v>
      </c>
      <c r="C4376" t="s">
        <v>22781</v>
      </c>
      <c r="D4376" t="s">
        <v>22782</v>
      </c>
      <c r="E4376" t="s">
        <v>22783</v>
      </c>
      <c r="G4376" t="s">
        <v>21825</v>
      </c>
      <c r="H4376" t="s">
        <v>21826</v>
      </c>
      <c r="J4376" t="s">
        <v>21827</v>
      </c>
      <c r="L4376" t="s">
        <v>142</v>
      </c>
      <c r="M4376" t="s">
        <v>199</v>
      </c>
      <c r="R4376" t="s">
        <v>22784</v>
      </c>
      <c r="W4376" t="s">
        <v>22785</v>
      </c>
      <c r="X4376" t="s">
        <v>17010</v>
      </c>
      <c r="Y4376" t="s">
        <v>116</v>
      </c>
      <c r="Z4376" t="s">
        <v>117</v>
      </c>
      <c r="AA4376" t="str">
        <f>"14214-1761"</f>
        <v>14214-1761</v>
      </c>
      <c r="AB4376" t="s">
        <v>118</v>
      </c>
      <c r="AC4376" t="s">
        <v>119</v>
      </c>
      <c r="AD4376" t="s">
        <v>113</v>
      </c>
      <c r="AE4376" t="s">
        <v>120</v>
      </c>
      <c r="AG4376" t="s">
        <v>121</v>
      </c>
    </row>
    <row r="4377" spans="1:33" x14ac:dyDescent="0.25">
      <c r="A4377" t="str">
        <f>"1093003204"</f>
        <v>1093003204</v>
      </c>
      <c r="B4377" t="str">
        <f>"03982441"</f>
        <v>03982441</v>
      </c>
      <c r="C4377" t="s">
        <v>22786</v>
      </c>
      <c r="D4377" t="s">
        <v>22787</v>
      </c>
      <c r="E4377" t="s">
        <v>22788</v>
      </c>
      <c r="G4377" t="s">
        <v>22789</v>
      </c>
      <c r="H4377" t="s">
        <v>22790</v>
      </c>
      <c r="L4377" t="s">
        <v>112</v>
      </c>
      <c r="M4377" t="s">
        <v>113</v>
      </c>
      <c r="R4377" t="s">
        <v>22788</v>
      </c>
      <c r="W4377" t="s">
        <v>22788</v>
      </c>
      <c r="X4377" t="s">
        <v>253</v>
      </c>
      <c r="Y4377" t="s">
        <v>116</v>
      </c>
      <c r="Z4377" t="s">
        <v>117</v>
      </c>
      <c r="AA4377" t="str">
        <f>"14215-3021"</f>
        <v>14215-3021</v>
      </c>
      <c r="AB4377" t="s">
        <v>118</v>
      </c>
      <c r="AC4377" t="s">
        <v>119</v>
      </c>
      <c r="AD4377" t="s">
        <v>113</v>
      </c>
      <c r="AE4377" t="s">
        <v>120</v>
      </c>
      <c r="AG4377" t="s">
        <v>121</v>
      </c>
    </row>
    <row r="4378" spans="1:33" x14ac:dyDescent="0.25">
      <c r="A4378" t="str">
        <f>"1629215272"</f>
        <v>1629215272</v>
      </c>
      <c r="B4378" t="str">
        <f>"03455245"</f>
        <v>03455245</v>
      </c>
      <c r="C4378" t="s">
        <v>22791</v>
      </c>
      <c r="D4378" t="s">
        <v>22792</v>
      </c>
      <c r="E4378" t="s">
        <v>22793</v>
      </c>
      <c r="G4378" t="s">
        <v>22789</v>
      </c>
      <c r="H4378" t="s">
        <v>22790</v>
      </c>
      <c r="L4378" t="s">
        <v>728</v>
      </c>
      <c r="M4378" t="s">
        <v>113</v>
      </c>
      <c r="R4378" t="s">
        <v>22794</v>
      </c>
      <c r="W4378" t="s">
        <v>22793</v>
      </c>
      <c r="X4378" t="s">
        <v>253</v>
      </c>
      <c r="Y4378" t="s">
        <v>116</v>
      </c>
      <c r="Z4378" t="s">
        <v>117</v>
      </c>
      <c r="AA4378" t="str">
        <f>"14215-3021"</f>
        <v>14215-3021</v>
      </c>
      <c r="AB4378" t="s">
        <v>118</v>
      </c>
      <c r="AC4378" t="s">
        <v>119</v>
      </c>
      <c r="AD4378" t="s">
        <v>113</v>
      </c>
      <c r="AE4378" t="s">
        <v>120</v>
      </c>
      <c r="AG4378" t="s">
        <v>121</v>
      </c>
    </row>
    <row r="4379" spans="1:33" x14ac:dyDescent="0.25">
      <c r="A4379" t="str">
        <f>"1831402817"</f>
        <v>1831402817</v>
      </c>
      <c r="B4379" t="str">
        <f>"03757568"</f>
        <v>03757568</v>
      </c>
      <c r="C4379" t="s">
        <v>22795</v>
      </c>
      <c r="D4379" t="s">
        <v>22796</v>
      </c>
      <c r="E4379" t="s">
        <v>22797</v>
      </c>
      <c r="G4379" t="s">
        <v>22789</v>
      </c>
      <c r="H4379" t="s">
        <v>22790</v>
      </c>
      <c r="L4379" t="s">
        <v>728</v>
      </c>
      <c r="M4379" t="s">
        <v>113</v>
      </c>
      <c r="R4379" t="s">
        <v>22797</v>
      </c>
      <c r="W4379" t="s">
        <v>22797</v>
      </c>
      <c r="X4379" t="s">
        <v>253</v>
      </c>
      <c r="Y4379" t="s">
        <v>116</v>
      </c>
      <c r="Z4379" t="s">
        <v>117</v>
      </c>
      <c r="AA4379" t="str">
        <f>"14215-3021"</f>
        <v>14215-3021</v>
      </c>
      <c r="AB4379" t="s">
        <v>118</v>
      </c>
      <c r="AC4379" t="s">
        <v>119</v>
      </c>
      <c r="AD4379" t="s">
        <v>113</v>
      </c>
      <c r="AE4379" t="s">
        <v>120</v>
      </c>
      <c r="AG4379" t="s">
        <v>121</v>
      </c>
    </row>
    <row r="4380" spans="1:33" x14ac:dyDescent="0.25">
      <c r="C4380" t="s">
        <v>22798</v>
      </c>
      <c r="G4380" t="s">
        <v>22789</v>
      </c>
      <c r="H4380" t="s">
        <v>22790</v>
      </c>
      <c r="K4380" t="s">
        <v>303</v>
      </c>
      <c r="L4380" t="s">
        <v>3095</v>
      </c>
      <c r="M4380" t="s">
        <v>113</v>
      </c>
      <c r="N4380" t="s">
        <v>22799</v>
      </c>
      <c r="O4380" t="s">
        <v>3097</v>
      </c>
      <c r="P4380" t="s">
        <v>22800</v>
      </c>
      <c r="Q4380" t="str">
        <f>"14215"</f>
        <v>14215</v>
      </c>
      <c r="AC4380" t="s">
        <v>119</v>
      </c>
      <c r="AD4380" t="s">
        <v>113</v>
      </c>
      <c r="AE4380" t="s">
        <v>3098</v>
      </c>
      <c r="AG4380" t="s">
        <v>121</v>
      </c>
    </row>
    <row r="4381" spans="1:33" x14ac:dyDescent="0.25">
      <c r="A4381" t="str">
        <f>"1922325893"</f>
        <v>1922325893</v>
      </c>
      <c r="B4381" t="str">
        <f>"03624715"</f>
        <v>03624715</v>
      </c>
      <c r="C4381" t="s">
        <v>22801</v>
      </c>
      <c r="D4381" t="s">
        <v>22802</v>
      </c>
      <c r="E4381" t="s">
        <v>22803</v>
      </c>
      <c r="G4381" t="s">
        <v>22789</v>
      </c>
      <c r="H4381" t="s">
        <v>22790</v>
      </c>
      <c r="L4381" t="s">
        <v>728</v>
      </c>
      <c r="M4381" t="s">
        <v>113</v>
      </c>
      <c r="R4381" t="s">
        <v>22804</v>
      </c>
      <c r="W4381" t="s">
        <v>22805</v>
      </c>
      <c r="X4381" t="s">
        <v>253</v>
      </c>
      <c r="Y4381" t="s">
        <v>116</v>
      </c>
      <c r="Z4381" t="s">
        <v>117</v>
      </c>
      <c r="AA4381" t="str">
        <f>"14215-3021"</f>
        <v>14215-3021</v>
      </c>
      <c r="AB4381" t="s">
        <v>118</v>
      </c>
      <c r="AC4381" t="s">
        <v>119</v>
      </c>
      <c r="AD4381" t="s">
        <v>113</v>
      </c>
      <c r="AE4381" t="s">
        <v>120</v>
      </c>
      <c r="AG4381" t="s">
        <v>121</v>
      </c>
    </row>
    <row r="4382" spans="1:33" x14ac:dyDescent="0.25">
      <c r="A4382" t="str">
        <f>"1558590067"</f>
        <v>1558590067</v>
      </c>
      <c r="B4382" t="str">
        <f>"04013892"</f>
        <v>04013892</v>
      </c>
      <c r="C4382" t="s">
        <v>22806</v>
      </c>
      <c r="D4382" t="s">
        <v>22807</v>
      </c>
      <c r="E4382" t="s">
        <v>22808</v>
      </c>
      <c r="G4382" t="s">
        <v>22789</v>
      </c>
      <c r="H4382" t="s">
        <v>22790</v>
      </c>
      <c r="L4382" t="s">
        <v>112</v>
      </c>
      <c r="M4382" t="s">
        <v>113</v>
      </c>
      <c r="R4382" t="s">
        <v>22808</v>
      </c>
      <c r="W4382" t="s">
        <v>22809</v>
      </c>
      <c r="X4382" t="s">
        <v>253</v>
      </c>
      <c r="Y4382" t="s">
        <v>116</v>
      </c>
      <c r="Z4382" t="s">
        <v>117</v>
      </c>
      <c r="AA4382" t="str">
        <f>"14215-3021"</f>
        <v>14215-3021</v>
      </c>
      <c r="AB4382" t="s">
        <v>118</v>
      </c>
      <c r="AC4382" t="s">
        <v>119</v>
      </c>
      <c r="AD4382" t="s">
        <v>113</v>
      </c>
      <c r="AE4382" t="s">
        <v>120</v>
      </c>
      <c r="AG4382" t="s">
        <v>121</v>
      </c>
    </row>
    <row r="4383" spans="1:33" x14ac:dyDescent="0.25">
      <c r="A4383" t="str">
        <f>"1114157484"</f>
        <v>1114157484</v>
      </c>
      <c r="B4383" t="str">
        <f>"03583584"</f>
        <v>03583584</v>
      </c>
      <c r="C4383" t="s">
        <v>22810</v>
      </c>
      <c r="D4383" t="s">
        <v>22811</v>
      </c>
      <c r="E4383" t="s">
        <v>22812</v>
      </c>
      <c r="G4383" t="s">
        <v>22813</v>
      </c>
      <c r="H4383" t="s">
        <v>22814</v>
      </c>
      <c r="L4383" t="s">
        <v>112</v>
      </c>
      <c r="M4383" t="s">
        <v>113</v>
      </c>
      <c r="R4383" t="s">
        <v>22812</v>
      </c>
      <c r="W4383" t="s">
        <v>22812</v>
      </c>
      <c r="X4383" t="s">
        <v>176</v>
      </c>
      <c r="Y4383" t="s">
        <v>116</v>
      </c>
      <c r="Z4383" t="s">
        <v>117</v>
      </c>
      <c r="AA4383" t="str">
        <f>"14203-1126"</f>
        <v>14203-1126</v>
      </c>
      <c r="AB4383" t="s">
        <v>118</v>
      </c>
      <c r="AC4383" t="s">
        <v>119</v>
      </c>
      <c r="AD4383" t="s">
        <v>113</v>
      </c>
      <c r="AE4383" t="s">
        <v>120</v>
      </c>
      <c r="AG4383" t="s">
        <v>121</v>
      </c>
    </row>
    <row r="4384" spans="1:33" x14ac:dyDescent="0.25">
      <c r="A4384" t="str">
        <f>"1548218720"</f>
        <v>1548218720</v>
      </c>
      <c r="B4384" t="str">
        <f>"01878248"</f>
        <v>01878248</v>
      </c>
      <c r="C4384" t="s">
        <v>22815</v>
      </c>
      <c r="D4384" t="s">
        <v>22816</v>
      </c>
      <c r="E4384" t="s">
        <v>22817</v>
      </c>
      <c r="G4384" t="s">
        <v>22813</v>
      </c>
      <c r="H4384" t="s">
        <v>22814</v>
      </c>
      <c r="L4384" t="s">
        <v>142</v>
      </c>
      <c r="M4384" t="s">
        <v>113</v>
      </c>
      <c r="R4384" t="s">
        <v>22818</v>
      </c>
      <c r="W4384" t="s">
        <v>22817</v>
      </c>
      <c r="X4384" t="s">
        <v>3705</v>
      </c>
      <c r="Y4384" t="s">
        <v>958</v>
      </c>
      <c r="Z4384" t="s">
        <v>117</v>
      </c>
      <c r="AA4384" t="str">
        <f>"14226-1727"</f>
        <v>14226-1727</v>
      </c>
      <c r="AB4384" t="s">
        <v>118</v>
      </c>
      <c r="AC4384" t="s">
        <v>119</v>
      </c>
      <c r="AD4384" t="s">
        <v>113</v>
      </c>
      <c r="AE4384" t="s">
        <v>120</v>
      </c>
      <c r="AG4384" t="s">
        <v>121</v>
      </c>
    </row>
    <row r="4385" spans="1:33" x14ac:dyDescent="0.25">
      <c r="A4385" t="str">
        <f>"1578852786"</f>
        <v>1578852786</v>
      </c>
      <c r="B4385" t="str">
        <f>"03338869"</f>
        <v>03338869</v>
      </c>
      <c r="C4385" t="s">
        <v>22819</v>
      </c>
      <c r="D4385" t="s">
        <v>22820</v>
      </c>
      <c r="E4385" t="s">
        <v>22821</v>
      </c>
      <c r="G4385" t="s">
        <v>22813</v>
      </c>
      <c r="H4385" t="s">
        <v>22814</v>
      </c>
      <c r="L4385" t="s">
        <v>142</v>
      </c>
      <c r="M4385" t="s">
        <v>113</v>
      </c>
      <c r="R4385" t="s">
        <v>22822</v>
      </c>
      <c r="W4385" t="s">
        <v>22821</v>
      </c>
      <c r="X4385" t="s">
        <v>2519</v>
      </c>
      <c r="Y4385" t="s">
        <v>958</v>
      </c>
      <c r="Z4385" t="s">
        <v>117</v>
      </c>
      <c r="AA4385" t="str">
        <f>"14226-1727"</f>
        <v>14226-1727</v>
      </c>
      <c r="AB4385" t="s">
        <v>10399</v>
      </c>
      <c r="AC4385" t="s">
        <v>119</v>
      </c>
      <c r="AD4385" t="s">
        <v>113</v>
      </c>
      <c r="AE4385" t="s">
        <v>120</v>
      </c>
      <c r="AG4385" t="s">
        <v>121</v>
      </c>
    </row>
    <row r="4386" spans="1:33" x14ac:dyDescent="0.25">
      <c r="A4386" t="str">
        <f>"1124330048"</f>
        <v>1124330048</v>
      </c>
      <c r="B4386" t="str">
        <f>"03289214"</f>
        <v>03289214</v>
      </c>
      <c r="C4386" t="s">
        <v>22823</v>
      </c>
      <c r="D4386" t="s">
        <v>22824</v>
      </c>
      <c r="E4386" t="s">
        <v>22825</v>
      </c>
      <c r="G4386" t="s">
        <v>22813</v>
      </c>
      <c r="H4386" t="s">
        <v>22814</v>
      </c>
      <c r="L4386" t="s">
        <v>142</v>
      </c>
      <c r="M4386" t="s">
        <v>113</v>
      </c>
      <c r="R4386" t="s">
        <v>22826</v>
      </c>
      <c r="W4386" t="s">
        <v>22825</v>
      </c>
      <c r="X4386" t="s">
        <v>22827</v>
      </c>
      <c r="Y4386" t="s">
        <v>958</v>
      </c>
      <c r="Z4386" t="s">
        <v>117</v>
      </c>
      <c r="AA4386" t="str">
        <f>"14226-1727"</f>
        <v>14226-1727</v>
      </c>
      <c r="AB4386" t="s">
        <v>118</v>
      </c>
      <c r="AC4386" t="s">
        <v>119</v>
      </c>
      <c r="AD4386" t="s">
        <v>113</v>
      </c>
      <c r="AE4386" t="s">
        <v>120</v>
      </c>
      <c r="AG4386" t="s">
        <v>121</v>
      </c>
    </row>
    <row r="4387" spans="1:33" x14ac:dyDescent="0.25">
      <c r="A4387" t="str">
        <f>"1972551463"</f>
        <v>1972551463</v>
      </c>
      <c r="B4387" t="str">
        <f>"01528261"</f>
        <v>01528261</v>
      </c>
      <c r="C4387" t="s">
        <v>22828</v>
      </c>
      <c r="D4387" t="s">
        <v>22829</v>
      </c>
      <c r="E4387" t="s">
        <v>22830</v>
      </c>
      <c r="G4387" t="s">
        <v>22813</v>
      </c>
      <c r="H4387" t="s">
        <v>22814</v>
      </c>
      <c r="L4387" t="s">
        <v>142</v>
      </c>
      <c r="M4387" t="s">
        <v>113</v>
      </c>
      <c r="R4387" t="s">
        <v>22831</v>
      </c>
      <c r="W4387" t="s">
        <v>22832</v>
      </c>
      <c r="X4387" t="s">
        <v>176</v>
      </c>
      <c r="Y4387" t="s">
        <v>116</v>
      </c>
      <c r="Z4387" t="s">
        <v>117</v>
      </c>
      <c r="AA4387" t="str">
        <f>"14203-1126"</f>
        <v>14203-1126</v>
      </c>
      <c r="AB4387" t="s">
        <v>118</v>
      </c>
      <c r="AC4387" t="s">
        <v>119</v>
      </c>
      <c r="AD4387" t="s">
        <v>113</v>
      </c>
      <c r="AE4387" t="s">
        <v>120</v>
      </c>
      <c r="AG4387" t="s">
        <v>121</v>
      </c>
    </row>
    <row r="4388" spans="1:33" x14ac:dyDescent="0.25">
      <c r="A4388" t="str">
        <f>"1184852113"</f>
        <v>1184852113</v>
      </c>
      <c r="B4388" t="str">
        <f>"03993762"</f>
        <v>03993762</v>
      </c>
      <c r="C4388" t="s">
        <v>22833</v>
      </c>
      <c r="D4388" t="s">
        <v>22834</v>
      </c>
      <c r="E4388" t="s">
        <v>22835</v>
      </c>
      <c r="G4388" t="s">
        <v>22813</v>
      </c>
      <c r="H4388" t="s">
        <v>22814</v>
      </c>
      <c r="L4388" t="s">
        <v>112</v>
      </c>
      <c r="M4388" t="s">
        <v>113</v>
      </c>
      <c r="R4388" t="s">
        <v>22836</v>
      </c>
      <c r="W4388" t="s">
        <v>22835</v>
      </c>
      <c r="X4388" t="s">
        <v>253</v>
      </c>
      <c r="Y4388" t="s">
        <v>116</v>
      </c>
      <c r="Z4388" t="s">
        <v>117</v>
      </c>
      <c r="AA4388" t="str">
        <f>"14215-3021"</f>
        <v>14215-3021</v>
      </c>
      <c r="AB4388" t="s">
        <v>118</v>
      </c>
      <c r="AC4388" t="s">
        <v>119</v>
      </c>
      <c r="AD4388" t="s">
        <v>113</v>
      </c>
      <c r="AE4388" t="s">
        <v>120</v>
      </c>
      <c r="AG4388" t="s">
        <v>121</v>
      </c>
    </row>
    <row r="4389" spans="1:33" x14ac:dyDescent="0.25">
      <c r="A4389" t="str">
        <f>"1013966720"</f>
        <v>1013966720</v>
      </c>
      <c r="B4389" t="str">
        <f>"01464731"</f>
        <v>01464731</v>
      </c>
      <c r="C4389" t="s">
        <v>22837</v>
      </c>
      <c r="D4389" t="s">
        <v>22838</v>
      </c>
      <c r="E4389" t="s">
        <v>22839</v>
      </c>
      <c r="G4389" t="s">
        <v>22813</v>
      </c>
      <c r="H4389" t="s">
        <v>22814</v>
      </c>
      <c r="L4389" t="s">
        <v>150</v>
      </c>
      <c r="M4389" t="s">
        <v>113</v>
      </c>
      <c r="R4389" t="s">
        <v>22840</v>
      </c>
      <c r="W4389" t="s">
        <v>22839</v>
      </c>
      <c r="X4389" t="s">
        <v>253</v>
      </c>
      <c r="Y4389" t="s">
        <v>116</v>
      </c>
      <c r="Z4389" t="s">
        <v>117</v>
      </c>
      <c r="AA4389" t="str">
        <f>"14215-3021"</f>
        <v>14215-3021</v>
      </c>
      <c r="AB4389" t="s">
        <v>118</v>
      </c>
      <c r="AC4389" t="s">
        <v>119</v>
      </c>
      <c r="AD4389" t="s">
        <v>113</v>
      </c>
      <c r="AE4389" t="s">
        <v>120</v>
      </c>
      <c r="AG4389" t="s">
        <v>121</v>
      </c>
    </row>
    <row r="4390" spans="1:33" x14ac:dyDescent="0.25">
      <c r="A4390" t="str">
        <f>"1962667204"</f>
        <v>1962667204</v>
      </c>
      <c r="B4390" t="str">
        <f>"03600671"</f>
        <v>03600671</v>
      </c>
      <c r="C4390" t="s">
        <v>22841</v>
      </c>
      <c r="D4390" t="s">
        <v>22842</v>
      </c>
      <c r="E4390" t="s">
        <v>22843</v>
      </c>
      <c r="G4390" t="s">
        <v>22813</v>
      </c>
      <c r="H4390" t="s">
        <v>22814</v>
      </c>
      <c r="L4390" t="s">
        <v>142</v>
      </c>
      <c r="M4390" t="s">
        <v>113</v>
      </c>
      <c r="R4390" t="s">
        <v>22844</v>
      </c>
      <c r="W4390" t="s">
        <v>22843</v>
      </c>
      <c r="X4390" t="s">
        <v>253</v>
      </c>
      <c r="Y4390" t="s">
        <v>116</v>
      </c>
      <c r="Z4390" t="s">
        <v>117</v>
      </c>
      <c r="AA4390" t="str">
        <f>"14215-3021"</f>
        <v>14215-3021</v>
      </c>
      <c r="AB4390" t="s">
        <v>118</v>
      </c>
      <c r="AC4390" t="s">
        <v>119</v>
      </c>
      <c r="AD4390" t="s">
        <v>113</v>
      </c>
      <c r="AE4390" t="s">
        <v>120</v>
      </c>
      <c r="AG4390" t="s">
        <v>121</v>
      </c>
    </row>
    <row r="4391" spans="1:33" x14ac:dyDescent="0.25">
      <c r="C4391" t="s">
        <v>22845</v>
      </c>
      <c r="G4391" t="s">
        <v>22813</v>
      </c>
      <c r="H4391" t="s">
        <v>22814</v>
      </c>
      <c r="K4391" t="s">
        <v>303</v>
      </c>
      <c r="L4391" t="s">
        <v>3095</v>
      </c>
      <c r="M4391" t="s">
        <v>113</v>
      </c>
      <c r="N4391" t="s">
        <v>22846</v>
      </c>
      <c r="O4391" t="s">
        <v>19880</v>
      </c>
      <c r="P4391" t="s">
        <v>117</v>
      </c>
      <c r="Q4391" t="str">
        <f>"14226"</f>
        <v>14226</v>
      </c>
      <c r="AC4391" t="s">
        <v>119</v>
      </c>
      <c r="AD4391" t="s">
        <v>113</v>
      </c>
      <c r="AE4391" t="s">
        <v>3098</v>
      </c>
      <c r="AG4391" t="s">
        <v>121</v>
      </c>
    </row>
    <row r="4392" spans="1:33" x14ac:dyDescent="0.25">
      <c r="A4392" t="str">
        <f>"1902123888"</f>
        <v>1902123888</v>
      </c>
      <c r="B4392" t="str">
        <f>"03871363"</f>
        <v>03871363</v>
      </c>
      <c r="C4392" t="s">
        <v>22847</v>
      </c>
      <c r="D4392" t="s">
        <v>22848</v>
      </c>
      <c r="E4392" t="s">
        <v>22849</v>
      </c>
      <c r="G4392" t="s">
        <v>22813</v>
      </c>
      <c r="H4392" t="s">
        <v>22814</v>
      </c>
      <c r="L4392" t="s">
        <v>150</v>
      </c>
      <c r="M4392" t="s">
        <v>113</v>
      </c>
      <c r="R4392" t="s">
        <v>22850</v>
      </c>
      <c r="W4392" t="s">
        <v>22849</v>
      </c>
      <c r="X4392" t="s">
        <v>22851</v>
      </c>
      <c r="Y4392" t="s">
        <v>377</v>
      </c>
      <c r="Z4392" t="s">
        <v>117</v>
      </c>
      <c r="AA4392" t="str">
        <f>"14217-1332"</f>
        <v>14217-1332</v>
      </c>
      <c r="AB4392" t="s">
        <v>118</v>
      </c>
      <c r="AC4392" t="s">
        <v>119</v>
      </c>
      <c r="AD4392" t="s">
        <v>113</v>
      </c>
      <c r="AE4392" t="s">
        <v>120</v>
      </c>
      <c r="AG4392" t="s">
        <v>121</v>
      </c>
    </row>
    <row r="4393" spans="1:33" x14ac:dyDescent="0.25">
      <c r="A4393" t="str">
        <f>"1750481065"</f>
        <v>1750481065</v>
      </c>
      <c r="B4393" t="str">
        <f>"00481989"</f>
        <v>00481989</v>
      </c>
      <c r="C4393" t="s">
        <v>22852</v>
      </c>
      <c r="D4393" t="s">
        <v>22853</v>
      </c>
      <c r="E4393" t="s">
        <v>22854</v>
      </c>
      <c r="G4393" t="s">
        <v>22813</v>
      </c>
      <c r="H4393" t="s">
        <v>22814</v>
      </c>
      <c r="L4393" t="s">
        <v>112</v>
      </c>
      <c r="M4393" t="s">
        <v>113</v>
      </c>
      <c r="R4393" t="s">
        <v>22855</v>
      </c>
      <c r="W4393" t="s">
        <v>22856</v>
      </c>
      <c r="X4393" t="s">
        <v>253</v>
      </c>
      <c r="Y4393" t="s">
        <v>116</v>
      </c>
      <c r="Z4393" t="s">
        <v>117</v>
      </c>
      <c r="AA4393" t="str">
        <f>"14215-3021"</f>
        <v>14215-3021</v>
      </c>
      <c r="AB4393" t="s">
        <v>118</v>
      </c>
      <c r="AC4393" t="s">
        <v>119</v>
      </c>
      <c r="AD4393" t="s">
        <v>113</v>
      </c>
      <c r="AE4393" t="s">
        <v>120</v>
      </c>
      <c r="AG4393" t="s">
        <v>121</v>
      </c>
    </row>
    <row r="4394" spans="1:33" x14ac:dyDescent="0.25">
      <c r="A4394" t="str">
        <f>"1821293168"</f>
        <v>1821293168</v>
      </c>
      <c r="C4394" t="s">
        <v>22857</v>
      </c>
      <c r="G4394" t="s">
        <v>22813</v>
      </c>
      <c r="H4394" t="s">
        <v>22814</v>
      </c>
      <c r="K4394" t="s">
        <v>303</v>
      </c>
      <c r="L4394" t="s">
        <v>229</v>
      </c>
      <c r="M4394" t="s">
        <v>113</v>
      </c>
      <c r="R4394" t="s">
        <v>22858</v>
      </c>
      <c r="S4394" t="s">
        <v>22859</v>
      </c>
      <c r="T4394" t="s">
        <v>116</v>
      </c>
      <c r="U4394" t="s">
        <v>117</v>
      </c>
      <c r="V4394" t="str">
        <f>"142153021"</f>
        <v>142153021</v>
      </c>
      <c r="AC4394" t="s">
        <v>119</v>
      </c>
      <c r="AD4394" t="s">
        <v>113</v>
      </c>
      <c r="AE4394" t="s">
        <v>306</v>
      </c>
      <c r="AG4394" t="s">
        <v>121</v>
      </c>
    </row>
    <row r="4395" spans="1:33" x14ac:dyDescent="0.25">
      <c r="A4395" t="str">
        <f>"1295838233"</f>
        <v>1295838233</v>
      </c>
      <c r="B4395" t="str">
        <f>"01264608"</f>
        <v>01264608</v>
      </c>
      <c r="C4395" t="s">
        <v>22860</v>
      </c>
      <c r="D4395" t="s">
        <v>22861</v>
      </c>
      <c r="E4395" t="s">
        <v>22862</v>
      </c>
      <c r="G4395" t="s">
        <v>22813</v>
      </c>
      <c r="H4395" t="s">
        <v>22814</v>
      </c>
      <c r="L4395" t="s">
        <v>112</v>
      </c>
      <c r="M4395" t="s">
        <v>113</v>
      </c>
      <c r="R4395" t="s">
        <v>22863</v>
      </c>
      <c r="W4395" t="s">
        <v>22864</v>
      </c>
      <c r="X4395" t="s">
        <v>22865</v>
      </c>
      <c r="Y4395" t="s">
        <v>145</v>
      </c>
      <c r="Z4395" t="s">
        <v>117</v>
      </c>
      <c r="AA4395" t="str">
        <f>"14051-2611"</f>
        <v>14051-2611</v>
      </c>
      <c r="AB4395" t="s">
        <v>118</v>
      </c>
      <c r="AC4395" t="s">
        <v>119</v>
      </c>
      <c r="AD4395" t="s">
        <v>113</v>
      </c>
      <c r="AE4395" t="s">
        <v>120</v>
      </c>
      <c r="AG4395" t="s">
        <v>121</v>
      </c>
    </row>
    <row r="4396" spans="1:33" x14ac:dyDescent="0.25">
      <c r="A4396" t="str">
        <f>"1447436852"</f>
        <v>1447436852</v>
      </c>
      <c r="B4396" t="str">
        <f>"03338910"</f>
        <v>03338910</v>
      </c>
      <c r="C4396" t="s">
        <v>22866</v>
      </c>
      <c r="D4396" t="s">
        <v>22867</v>
      </c>
      <c r="E4396" t="s">
        <v>22868</v>
      </c>
      <c r="G4396" t="s">
        <v>22813</v>
      </c>
      <c r="H4396" t="s">
        <v>22814</v>
      </c>
      <c r="L4396" t="s">
        <v>142</v>
      </c>
      <c r="M4396" t="s">
        <v>113</v>
      </c>
      <c r="R4396" t="s">
        <v>22869</v>
      </c>
      <c r="W4396" t="s">
        <v>22868</v>
      </c>
      <c r="X4396" t="s">
        <v>3705</v>
      </c>
      <c r="Y4396" t="s">
        <v>958</v>
      </c>
      <c r="Z4396" t="s">
        <v>117</v>
      </c>
      <c r="AA4396" t="str">
        <f>"14226-1727"</f>
        <v>14226-1727</v>
      </c>
      <c r="AB4396" t="s">
        <v>10399</v>
      </c>
      <c r="AC4396" t="s">
        <v>119</v>
      </c>
      <c r="AD4396" t="s">
        <v>113</v>
      </c>
      <c r="AE4396" t="s">
        <v>120</v>
      </c>
      <c r="AG4396" t="s">
        <v>121</v>
      </c>
    </row>
    <row r="4397" spans="1:33" x14ac:dyDescent="0.25">
      <c r="A4397" t="str">
        <f>"1083912992"</f>
        <v>1083912992</v>
      </c>
      <c r="B4397" t="str">
        <f>"03343895"</f>
        <v>03343895</v>
      </c>
      <c r="C4397" t="s">
        <v>22870</v>
      </c>
      <c r="D4397" t="s">
        <v>22871</v>
      </c>
      <c r="E4397" t="s">
        <v>22872</v>
      </c>
      <c r="G4397" t="s">
        <v>22813</v>
      </c>
      <c r="H4397" t="s">
        <v>22814</v>
      </c>
      <c r="L4397" t="s">
        <v>142</v>
      </c>
      <c r="M4397" t="s">
        <v>113</v>
      </c>
      <c r="R4397" t="s">
        <v>22873</v>
      </c>
      <c r="W4397" t="s">
        <v>22872</v>
      </c>
      <c r="X4397" t="s">
        <v>161</v>
      </c>
      <c r="Y4397" t="s">
        <v>116</v>
      </c>
      <c r="Z4397" t="s">
        <v>117</v>
      </c>
      <c r="AA4397" t="str">
        <f>"14223-1107"</f>
        <v>14223-1107</v>
      </c>
      <c r="AB4397" t="s">
        <v>118</v>
      </c>
      <c r="AC4397" t="s">
        <v>119</v>
      </c>
      <c r="AD4397" t="s">
        <v>113</v>
      </c>
      <c r="AE4397" t="s">
        <v>120</v>
      </c>
      <c r="AG4397" t="s">
        <v>121</v>
      </c>
    </row>
    <row r="4398" spans="1:33" x14ac:dyDescent="0.25">
      <c r="A4398" t="str">
        <f>"1497780076"</f>
        <v>1497780076</v>
      </c>
      <c r="B4398" t="str">
        <f>"00929162"</f>
        <v>00929162</v>
      </c>
      <c r="C4398" t="s">
        <v>22874</v>
      </c>
      <c r="D4398" t="s">
        <v>22875</v>
      </c>
      <c r="E4398" t="s">
        <v>22876</v>
      </c>
      <c r="G4398" t="s">
        <v>22813</v>
      </c>
      <c r="H4398" t="s">
        <v>22814</v>
      </c>
      <c r="L4398" t="s">
        <v>112</v>
      </c>
      <c r="M4398" t="s">
        <v>113</v>
      </c>
      <c r="R4398" t="s">
        <v>22877</v>
      </c>
      <c r="W4398" t="s">
        <v>22876</v>
      </c>
      <c r="X4398" t="s">
        <v>253</v>
      </c>
      <c r="Y4398" t="s">
        <v>116</v>
      </c>
      <c r="Z4398" t="s">
        <v>117</v>
      </c>
      <c r="AA4398" t="str">
        <f>"14215-3021"</f>
        <v>14215-3021</v>
      </c>
      <c r="AB4398" t="s">
        <v>118</v>
      </c>
      <c r="AC4398" t="s">
        <v>119</v>
      </c>
      <c r="AD4398" t="s">
        <v>113</v>
      </c>
      <c r="AE4398" t="s">
        <v>120</v>
      </c>
      <c r="AG4398" t="s">
        <v>121</v>
      </c>
    </row>
    <row r="4399" spans="1:33" x14ac:dyDescent="0.25">
      <c r="A4399" t="str">
        <f>"1548413230"</f>
        <v>1548413230</v>
      </c>
      <c r="B4399" t="str">
        <f>"04003494"</f>
        <v>04003494</v>
      </c>
      <c r="C4399" t="s">
        <v>22878</v>
      </c>
      <c r="D4399" t="s">
        <v>22879</v>
      </c>
      <c r="E4399" t="s">
        <v>22880</v>
      </c>
      <c r="G4399" t="s">
        <v>22813</v>
      </c>
      <c r="H4399" t="s">
        <v>22814</v>
      </c>
      <c r="L4399" t="s">
        <v>112</v>
      </c>
      <c r="M4399" t="s">
        <v>113</v>
      </c>
      <c r="R4399" t="s">
        <v>22880</v>
      </c>
      <c r="W4399" t="s">
        <v>22880</v>
      </c>
      <c r="X4399" t="s">
        <v>253</v>
      </c>
      <c r="Y4399" t="s">
        <v>116</v>
      </c>
      <c r="Z4399" t="s">
        <v>117</v>
      </c>
      <c r="AA4399" t="str">
        <f>"14215-3021"</f>
        <v>14215-3021</v>
      </c>
      <c r="AB4399" t="s">
        <v>118</v>
      </c>
      <c r="AC4399" t="s">
        <v>119</v>
      </c>
      <c r="AD4399" t="s">
        <v>113</v>
      </c>
      <c r="AE4399" t="s">
        <v>120</v>
      </c>
      <c r="AG4399" t="s">
        <v>121</v>
      </c>
    </row>
    <row r="4400" spans="1:33" x14ac:dyDescent="0.25">
      <c r="A4400" t="str">
        <f>"1427096239"</f>
        <v>1427096239</v>
      </c>
      <c r="B4400" t="str">
        <f>"00626811"</f>
        <v>00626811</v>
      </c>
      <c r="C4400" t="s">
        <v>22881</v>
      </c>
      <c r="D4400" t="s">
        <v>22882</v>
      </c>
      <c r="E4400" t="s">
        <v>22883</v>
      </c>
      <c r="G4400" t="s">
        <v>22813</v>
      </c>
      <c r="H4400" t="s">
        <v>22814</v>
      </c>
      <c r="L4400" t="s">
        <v>112</v>
      </c>
      <c r="M4400" t="s">
        <v>113</v>
      </c>
      <c r="R4400" t="s">
        <v>22884</v>
      </c>
      <c r="W4400" t="s">
        <v>22885</v>
      </c>
      <c r="X4400" t="s">
        <v>253</v>
      </c>
      <c r="Y4400" t="s">
        <v>116</v>
      </c>
      <c r="Z4400" t="s">
        <v>117</v>
      </c>
      <c r="AA4400" t="str">
        <f>"14215-3021"</f>
        <v>14215-3021</v>
      </c>
      <c r="AB4400" t="s">
        <v>118</v>
      </c>
      <c r="AC4400" t="s">
        <v>119</v>
      </c>
      <c r="AD4400" t="s">
        <v>113</v>
      </c>
      <c r="AE4400" t="s">
        <v>120</v>
      </c>
      <c r="AG4400" t="s">
        <v>121</v>
      </c>
    </row>
    <row r="4401" spans="1:33" x14ac:dyDescent="0.25">
      <c r="A4401" t="str">
        <f>"1326165333"</f>
        <v>1326165333</v>
      </c>
      <c r="B4401" t="str">
        <f>"04034731"</f>
        <v>04034731</v>
      </c>
      <c r="C4401" t="s">
        <v>22886</v>
      </c>
      <c r="D4401" t="s">
        <v>22887</v>
      </c>
      <c r="E4401" t="s">
        <v>22888</v>
      </c>
      <c r="G4401" t="s">
        <v>22813</v>
      </c>
      <c r="H4401" t="s">
        <v>22814</v>
      </c>
      <c r="L4401" t="s">
        <v>112</v>
      </c>
      <c r="M4401" t="s">
        <v>113</v>
      </c>
      <c r="R4401" t="s">
        <v>22888</v>
      </c>
      <c r="W4401" t="s">
        <v>22888</v>
      </c>
      <c r="X4401" t="s">
        <v>253</v>
      </c>
      <c r="Y4401" t="s">
        <v>116</v>
      </c>
      <c r="Z4401" t="s">
        <v>117</v>
      </c>
      <c r="AA4401" t="str">
        <f>"14215-3021"</f>
        <v>14215-3021</v>
      </c>
      <c r="AB4401" t="s">
        <v>118</v>
      </c>
      <c r="AC4401" t="s">
        <v>119</v>
      </c>
      <c r="AD4401" t="s">
        <v>113</v>
      </c>
      <c r="AE4401" t="s">
        <v>120</v>
      </c>
      <c r="AG4401" t="s">
        <v>121</v>
      </c>
    </row>
    <row r="4402" spans="1:33" x14ac:dyDescent="0.25">
      <c r="A4402" t="str">
        <f>"1164568374"</f>
        <v>1164568374</v>
      </c>
      <c r="B4402" t="str">
        <f>"03030462"</f>
        <v>03030462</v>
      </c>
      <c r="C4402" t="s">
        <v>22889</v>
      </c>
      <c r="D4402" t="s">
        <v>22890</v>
      </c>
      <c r="E4402" t="s">
        <v>22891</v>
      </c>
      <c r="G4402" t="s">
        <v>22813</v>
      </c>
      <c r="H4402" t="s">
        <v>22814</v>
      </c>
      <c r="L4402" t="s">
        <v>142</v>
      </c>
      <c r="M4402" t="s">
        <v>113</v>
      </c>
      <c r="R4402" t="s">
        <v>22892</v>
      </c>
      <c r="W4402" t="s">
        <v>22893</v>
      </c>
      <c r="X4402" t="s">
        <v>3705</v>
      </c>
      <c r="Y4402" t="s">
        <v>958</v>
      </c>
      <c r="Z4402" t="s">
        <v>117</v>
      </c>
      <c r="AA4402" t="str">
        <f>"14226-1727"</f>
        <v>14226-1727</v>
      </c>
      <c r="AB4402" t="s">
        <v>118</v>
      </c>
      <c r="AC4402" t="s">
        <v>119</v>
      </c>
      <c r="AD4402" t="s">
        <v>113</v>
      </c>
      <c r="AE4402" t="s">
        <v>120</v>
      </c>
      <c r="AG4402" t="s">
        <v>121</v>
      </c>
    </row>
    <row r="4403" spans="1:33" x14ac:dyDescent="0.25">
      <c r="A4403" t="str">
        <f>"1548361330"</f>
        <v>1548361330</v>
      </c>
      <c r="B4403" t="str">
        <f>"01174249"</f>
        <v>01174249</v>
      </c>
      <c r="C4403" t="s">
        <v>22894</v>
      </c>
      <c r="D4403" t="s">
        <v>22895</v>
      </c>
      <c r="E4403" t="s">
        <v>22896</v>
      </c>
      <c r="G4403" t="s">
        <v>22813</v>
      </c>
      <c r="H4403" t="s">
        <v>22814</v>
      </c>
      <c r="L4403" t="s">
        <v>112</v>
      </c>
      <c r="M4403" t="s">
        <v>113</v>
      </c>
      <c r="R4403" t="s">
        <v>22897</v>
      </c>
      <c r="W4403" t="s">
        <v>22896</v>
      </c>
      <c r="X4403" t="s">
        <v>22898</v>
      </c>
      <c r="Y4403" t="s">
        <v>116</v>
      </c>
      <c r="Z4403" t="s">
        <v>117</v>
      </c>
      <c r="AA4403" t="str">
        <f>"14215-3021"</f>
        <v>14215-3021</v>
      </c>
      <c r="AB4403" t="s">
        <v>118</v>
      </c>
      <c r="AC4403" t="s">
        <v>119</v>
      </c>
      <c r="AD4403" t="s">
        <v>113</v>
      </c>
      <c r="AE4403" t="s">
        <v>120</v>
      </c>
      <c r="AG4403" t="s">
        <v>121</v>
      </c>
    </row>
    <row r="4404" spans="1:33" x14ac:dyDescent="0.25">
      <c r="A4404" t="str">
        <f>"1346260916"</f>
        <v>1346260916</v>
      </c>
      <c r="B4404" t="str">
        <f>"02343520"</f>
        <v>02343520</v>
      </c>
      <c r="C4404" t="s">
        <v>22899</v>
      </c>
      <c r="D4404" t="s">
        <v>22900</v>
      </c>
      <c r="E4404" t="s">
        <v>22901</v>
      </c>
      <c r="G4404" t="s">
        <v>22813</v>
      </c>
      <c r="H4404" t="s">
        <v>22814</v>
      </c>
      <c r="L4404" t="s">
        <v>142</v>
      </c>
      <c r="M4404" t="s">
        <v>113</v>
      </c>
      <c r="R4404" t="s">
        <v>22902</v>
      </c>
      <c r="W4404" t="s">
        <v>22901</v>
      </c>
      <c r="X4404" t="s">
        <v>4765</v>
      </c>
      <c r="Y4404" t="s">
        <v>116</v>
      </c>
      <c r="Z4404" t="s">
        <v>117</v>
      </c>
      <c r="AA4404" t="str">
        <f>"14209-1802"</f>
        <v>14209-1802</v>
      </c>
      <c r="AB4404" t="s">
        <v>118</v>
      </c>
      <c r="AC4404" t="s">
        <v>119</v>
      </c>
      <c r="AD4404" t="s">
        <v>113</v>
      </c>
      <c r="AE4404" t="s">
        <v>120</v>
      </c>
      <c r="AG4404" t="s">
        <v>121</v>
      </c>
    </row>
    <row r="4405" spans="1:33" x14ac:dyDescent="0.25">
      <c r="A4405" t="str">
        <f>"1134449424"</f>
        <v>1134449424</v>
      </c>
      <c r="B4405" t="str">
        <f>"03940058"</f>
        <v>03940058</v>
      </c>
      <c r="C4405" t="s">
        <v>22903</v>
      </c>
      <c r="D4405" t="s">
        <v>22904</v>
      </c>
      <c r="E4405" t="s">
        <v>22905</v>
      </c>
      <c r="G4405" t="s">
        <v>22813</v>
      </c>
      <c r="H4405" t="s">
        <v>22814</v>
      </c>
      <c r="L4405" t="s">
        <v>112</v>
      </c>
      <c r="M4405" t="s">
        <v>113</v>
      </c>
      <c r="R4405" t="s">
        <v>22906</v>
      </c>
      <c r="W4405" t="s">
        <v>22905</v>
      </c>
      <c r="X4405" t="s">
        <v>709</v>
      </c>
      <c r="Y4405" t="s">
        <v>116</v>
      </c>
      <c r="Z4405" t="s">
        <v>117</v>
      </c>
      <c r="AA4405" t="str">
        <f>"14263-0001"</f>
        <v>14263-0001</v>
      </c>
      <c r="AB4405" t="s">
        <v>118</v>
      </c>
      <c r="AC4405" t="s">
        <v>119</v>
      </c>
      <c r="AD4405" t="s">
        <v>113</v>
      </c>
      <c r="AE4405" t="s">
        <v>120</v>
      </c>
      <c r="AG4405" t="s">
        <v>121</v>
      </c>
    </row>
    <row r="4406" spans="1:33" x14ac:dyDescent="0.25">
      <c r="A4406" t="str">
        <f>"1790857779"</f>
        <v>1790857779</v>
      </c>
      <c r="B4406" t="str">
        <f>"03481147"</f>
        <v>03481147</v>
      </c>
      <c r="C4406" t="s">
        <v>22907</v>
      </c>
      <c r="D4406" t="s">
        <v>22908</v>
      </c>
      <c r="E4406" t="s">
        <v>22909</v>
      </c>
      <c r="G4406" t="s">
        <v>22813</v>
      </c>
      <c r="H4406" t="s">
        <v>22814</v>
      </c>
      <c r="L4406" t="s">
        <v>112</v>
      </c>
      <c r="M4406" t="s">
        <v>113</v>
      </c>
      <c r="R4406" t="s">
        <v>22910</v>
      </c>
      <c r="W4406" t="s">
        <v>22909</v>
      </c>
      <c r="X4406" t="s">
        <v>709</v>
      </c>
      <c r="Y4406" t="s">
        <v>116</v>
      </c>
      <c r="Z4406" t="s">
        <v>117</v>
      </c>
      <c r="AA4406" t="str">
        <f>"14263-0001"</f>
        <v>14263-0001</v>
      </c>
      <c r="AB4406" t="s">
        <v>118</v>
      </c>
      <c r="AC4406" t="s">
        <v>119</v>
      </c>
      <c r="AD4406" t="s">
        <v>113</v>
      </c>
      <c r="AE4406" t="s">
        <v>120</v>
      </c>
      <c r="AG4406" t="s">
        <v>121</v>
      </c>
    </row>
    <row r="4407" spans="1:33" x14ac:dyDescent="0.25">
      <c r="A4407" t="str">
        <f>"1386676203"</f>
        <v>1386676203</v>
      </c>
      <c r="B4407" t="str">
        <f>"01988334"</f>
        <v>01988334</v>
      </c>
      <c r="C4407" t="s">
        <v>22911</v>
      </c>
      <c r="D4407" t="s">
        <v>22912</v>
      </c>
      <c r="E4407" t="s">
        <v>22913</v>
      </c>
      <c r="G4407" t="s">
        <v>22813</v>
      </c>
      <c r="H4407" t="s">
        <v>22814</v>
      </c>
      <c r="L4407" t="s">
        <v>142</v>
      </c>
      <c r="M4407" t="s">
        <v>113</v>
      </c>
      <c r="R4407" t="s">
        <v>22914</v>
      </c>
      <c r="W4407" t="s">
        <v>22913</v>
      </c>
      <c r="X4407" t="s">
        <v>253</v>
      </c>
      <c r="Y4407" t="s">
        <v>116</v>
      </c>
      <c r="Z4407" t="s">
        <v>117</v>
      </c>
      <c r="AA4407" t="str">
        <f>"14215-3021"</f>
        <v>14215-3021</v>
      </c>
      <c r="AB4407" t="s">
        <v>118</v>
      </c>
      <c r="AC4407" t="s">
        <v>119</v>
      </c>
      <c r="AD4407" t="s">
        <v>113</v>
      </c>
      <c r="AE4407" t="s">
        <v>120</v>
      </c>
      <c r="AG4407" t="s">
        <v>121</v>
      </c>
    </row>
    <row r="4408" spans="1:33" x14ac:dyDescent="0.25">
      <c r="A4408" t="str">
        <f>"1801895271"</f>
        <v>1801895271</v>
      </c>
      <c r="B4408" t="str">
        <f>"02626144"</f>
        <v>02626144</v>
      </c>
      <c r="C4408" t="s">
        <v>22915</v>
      </c>
      <c r="D4408" t="s">
        <v>22916</v>
      </c>
      <c r="E4408" t="s">
        <v>22917</v>
      </c>
      <c r="G4408" t="s">
        <v>22813</v>
      </c>
      <c r="H4408" t="s">
        <v>22814</v>
      </c>
      <c r="L4408" t="s">
        <v>142</v>
      </c>
      <c r="M4408" t="s">
        <v>113</v>
      </c>
      <c r="R4408" t="s">
        <v>22918</v>
      </c>
      <c r="W4408" t="s">
        <v>22919</v>
      </c>
      <c r="X4408" t="s">
        <v>3705</v>
      </c>
      <c r="Y4408" t="s">
        <v>958</v>
      </c>
      <c r="Z4408" t="s">
        <v>117</v>
      </c>
      <c r="AA4408" t="str">
        <f>"14226-1727"</f>
        <v>14226-1727</v>
      </c>
      <c r="AB4408" t="s">
        <v>118</v>
      </c>
      <c r="AC4408" t="s">
        <v>119</v>
      </c>
      <c r="AD4408" t="s">
        <v>113</v>
      </c>
      <c r="AE4408" t="s">
        <v>120</v>
      </c>
      <c r="AG4408" t="s">
        <v>121</v>
      </c>
    </row>
    <row r="4409" spans="1:33" x14ac:dyDescent="0.25">
      <c r="A4409" t="str">
        <f>"1629087192"</f>
        <v>1629087192</v>
      </c>
      <c r="B4409" t="str">
        <f>"03053990"</f>
        <v>03053990</v>
      </c>
      <c r="C4409" t="s">
        <v>22920</v>
      </c>
      <c r="D4409" t="s">
        <v>22921</v>
      </c>
      <c r="E4409" t="s">
        <v>22922</v>
      </c>
      <c r="G4409" t="s">
        <v>22813</v>
      </c>
      <c r="H4409" t="s">
        <v>22814</v>
      </c>
      <c r="L4409" t="s">
        <v>112</v>
      </c>
      <c r="M4409" t="s">
        <v>113</v>
      </c>
      <c r="R4409" t="s">
        <v>22923</v>
      </c>
      <c r="W4409" t="s">
        <v>22924</v>
      </c>
      <c r="X4409" t="s">
        <v>253</v>
      </c>
      <c r="Y4409" t="s">
        <v>116</v>
      </c>
      <c r="Z4409" t="s">
        <v>117</v>
      </c>
      <c r="AA4409" t="str">
        <f>"14215-3021"</f>
        <v>14215-3021</v>
      </c>
      <c r="AB4409" t="s">
        <v>118</v>
      </c>
      <c r="AC4409" t="s">
        <v>119</v>
      </c>
      <c r="AD4409" t="s">
        <v>113</v>
      </c>
      <c r="AE4409" t="s">
        <v>120</v>
      </c>
      <c r="AG4409" t="s">
        <v>121</v>
      </c>
    </row>
    <row r="4410" spans="1:33" x14ac:dyDescent="0.25">
      <c r="A4410" t="str">
        <f>"1659474229"</f>
        <v>1659474229</v>
      </c>
      <c r="B4410" t="str">
        <f>"03499814"</f>
        <v>03499814</v>
      </c>
      <c r="C4410" t="s">
        <v>22925</v>
      </c>
      <c r="D4410" t="s">
        <v>22926</v>
      </c>
      <c r="E4410" t="s">
        <v>22927</v>
      </c>
      <c r="G4410" t="s">
        <v>18582</v>
      </c>
      <c r="H4410" t="s">
        <v>18583</v>
      </c>
      <c r="J4410" t="s">
        <v>18584</v>
      </c>
      <c r="L4410" t="s">
        <v>112</v>
      </c>
      <c r="M4410" t="s">
        <v>113</v>
      </c>
      <c r="R4410" t="s">
        <v>22928</v>
      </c>
      <c r="W4410" t="s">
        <v>22927</v>
      </c>
      <c r="X4410" t="s">
        <v>22929</v>
      </c>
      <c r="Y4410" t="s">
        <v>116</v>
      </c>
      <c r="Z4410" t="s">
        <v>117</v>
      </c>
      <c r="AA4410" t="str">
        <f>"14209-2308"</f>
        <v>14209-2308</v>
      </c>
      <c r="AB4410" t="s">
        <v>634</v>
      </c>
      <c r="AC4410" t="s">
        <v>119</v>
      </c>
      <c r="AD4410" t="s">
        <v>113</v>
      </c>
      <c r="AE4410" t="s">
        <v>120</v>
      </c>
      <c r="AG4410" t="s">
        <v>121</v>
      </c>
    </row>
    <row r="4411" spans="1:33" x14ac:dyDescent="0.25">
      <c r="A4411" t="str">
        <f>"1912130733"</f>
        <v>1912130733</v>
      </c>
      <c r="B4411" t="str">
        <f>"03142514"</f>
        <v>03142514</v>
      </c>
      <c r="C4411" t="s">
        <v>22930</v>
      </c>
      <c r="D4411" t="s">
        <v>22931</v>
      </c>
      <c r="E4411" t="s">
        <v>22932</v>
      </c>
      <c r="G4411" t="s">
        <v>22930</v>
      </c>
      <c r="H4411" t="s">
        <v>22933</v>
      </c>
      <c r="J4411" t="s">
        <v>22934</v>
      </c>
      <c r="L4411" t="s">
        <v>112</v>
      </c>
      <c r="M4411" t="s">
        <v>113</v>
      </c>
      <c r="R4411" t="s">
        <v>22935</v>
      </c>
      <c r="W4411" t="s">
        <v>22936</v>
      </c>
      <c r="X4411" t="s">
        <v>216</v>
      </c>
      <c r="Y4411" t="s">
        <v>116</v>
      </c>
      <c r="Z4411" t="s">
        <v>117</v>
      </c>
      <c r="AA4411" t="str">
        <f>"14222-2006"</f>
        <v>14222-2006</v>
      </c>
      <c r="AB4411" t="s">
        <v>634</v>
      </c>
      <c r="AC4411" t="s">
        <v>119</v>
      </c>
      <c r="AD4411" t="s">
        <v>113</v>
      </c>
      <c r="AE4411" t="s">
        <v>120</v>
      </c>
      <c r="AG4411" t="s">
        <v>121</v>
      </c>
    </row>
    <row r="4412" spans="1:33" x14ac:dyDescent="0.25">
      <c r="A4412" t="str">
        <f>"1912137589"</f>
        <v>1912137589</v>
      </c>
      <c r="B4412" t="str">
        <f>"03128076"</f>
        <v>03128076</v>
      </c>
      <c r="C4412" t="s">
        <v>22937</v>
      </c>
      <c r="D4412" t="s">
        <v>22938</v>
      </c>
      <c r="E4412" t="s">
        <v>22939</v>
      </c>
      <c r="G4412" t="s">
        <v>22937</v>
      </c>
      <c r="H4412" t="s">
        <v>579</v>
      </c>
      <c r="J4412" t="s">
        <v>22940</v>
      </c>
      <c r="L4412" t="s">
        <v>142</v>
      </c>
      <c r="M4412" t="s">
        <v>113</v>
      </c>
      <c r="R4412" t="s">
        <v>22939</v>
      </c>
      <c r="W4412" t="s">
        <v>22939</v>
      </c>
      <c r="X4412" t="s">
        <v>216</v>
      </c>
      <c r="Y4412" t="s">
        <v>116</v>
      </c>
      <c r="Z4412" t="s">
        <v>117</v>
      </c>
      <c r="AA4412" t="str">
        <f>"14222-2006"</f>
        <v>14222-2006</v>
      </c>
      <c r="AB4412" t="s">
        <v>118</v>
      </c>
      <c r="AC4412" t="s">
        <v>119</v>
      </c>
      <c r="AD4412" t="s">
        <v>113</v>
      </c>
      <c r="AE4412" t="s">
        <v>120</v>
      </c>
      <c r="AG4412" t="s">
        <v>121</v>
      </c>
    </row>
    <row r="4413" spans="1:33" x14ac:dyDescent="0.25">
      <c r="A4413" t="str">
        <f>"1881731594"</f>
        <v>1881731594</v>
      </c>
      <c r="C4413" t="s">
        <v>22941</v>
      </c>
      <c r="G4413" t="s">
        <v>21591</v>
      </c>
      <c r="H4413" t="s">
        <v>22942</v>
      </c>
      <c r="J4413" t="s">
        <v>21592</v>
      </c>
      <c r="K4413" t="s">
        <v>303</v>
      </c>
      <c r="L4413" t="s">
        <v>112</v>
      </c>
      <c r="M4413" t="s">
        <v>113</v>
      </c>
      <c r="R4413" t="s">
        <v>22943</v>
      </c>
      <c r="S4413" t="s">
        <v>21597</v>
      </c>
      <c r="T4413" t="s">
        <v>541</v>
      </c>
      <c r="U4413" t="s">
        <v>117</v>
      </c>
      <c r="V4413" t="str">
        <f>"140482137"</f>
        <v>140482137</v>
      </c>
      <c r="AC4413" t="s">
        <v>119</v>
      </c>
      <c r="AD4413" t="s">
        <v>113</v>
      </c>
      <c r="AE4413" t="s">
        <v>306</v>
      </c>
      <c r="AG4413" t="s">
        <v>121</v>
      </c>
    </row>
    <row r="4414" spans="1:33" x14ac:dyDescent="0.25">
      <c r="C4414" t="s">
        <v>22944</v>
      </c>
      <c r="G4414" t="s">
        <v>21905</v>
      </c>
      <c r="H4414" t="s">
        <v>22945</v>
      </c>
      <c r="J4414" t="s">
        <v>21907</v>
      </c>
      <c r="K4414" t="s">
        <v>303</v>
      </c>
      <c r="L4414" t="s">
        <v>3095</v>
      </c>
      <c r="M4414" t="s">
        <v>113</v>
      </c>
      <c r="N4414" t="s">
        <v>22946</v>
      </c>
      <c r="O4414" t="s">
        <v>3097</v>
      </c>
      <c r="P4414" t="s">
        <v>117</v>
      </c>
      <c r="Q4414" t="str">
        <f>"14211"</f>
        <v>14211</v>
      </c>
      <c r="AC4414" t="s">
        <v>119</v>
      </c>
      <c r="AD4414" t="s">
        <v>113</v>
      </c>
      <c r="AE4414" t="s">
        <v>3098</v>
      </c>
      <c r="AG4414" t="s">
        <v>121</v>
      </c>
    </row>
    <row r="4415" spans="1:33" x14ac:dyDescent="0.25">
      <c r="C4415" t="s">
        <v>22947</v>
      </c>
      <c r="G4415" t="s">
        <v>21905</v>
      </c>
      <c r="H4415" t="s">
        <v>22948</v>
      </c>
      <c r="J4415" t="s">
        <v>21907</v>
      </c>
      <c r="K4415" t="s">
        <v>303</v>
      </c>
      <c r="L4415" t="s">
        <v>3095</v>
      </c>
      <c r="M4415" t="s">
        <v>113</v>
      </c>
      <c r="N4415" t="s">
        <v>22949</v>
      </c>
      <c r="O4415" t="s">
        <v>3097</v>
      </c>
      <c r="P4415" t="s">
        <v>117</v>
      </c>
      <c r="Q4415" t="str">
        <f>"14215"</f>
        <v>14215</v>
      </c>
      <c r="AC4415" t="s">
        <v>119</v>
      </c>
      <c r="AD4415" t="s">
        <v>113</v>
      </c>
      <c r="AE4415" t="s">
        <v>3098</v>
      </c>
      <c r="AG4415" t="s">
        <v>121</v>
      </c>
    </row>
    <row r="4416" spans="1:33" x14ac:dyDescent="0.25">
      <c r="C4416" t="s">
        <v>22950</v>
      </c>
      <c r="G4416" t="s">
        <v>21905</v>
      </c>
      <c r="H4416" t="s">
        <v>21920</v>
      </c>
      <c r="J4416" t="s">
        <v>21907</v>
      </c>
      <c r="K4416" t="s">
        <v>303</v>
      </c>
      <c r="L4416" t="s">
        <v>3095</v>
      </c>
      <c r="M4416" t="s">
        <v>113</v>
      </c>
      <c r="N4416" t="s">
        <v>22951</v>
      </c>
      <c r="O4416" t="s">
        <v>3097</v>
      </c>
      <c r="P4416" t="s">
        <v>117</v>
      </c>
      <c r="Q4416" t="str">
        <f>"14208"</f>
        <v>14208</v>
      </c>
      <c r="AC4416" t="s">
        <v>119</v>
      </c>
      <c r="AD4416" t="s">
        <v>113</v>
      </c>
      <c r="AE4416" t="s">
        <v>3098</v>
      </c>
      <c r="AG4416" t="s">
        <v>121</v>
      </c>
    </row>
    <row r="4417" spans="3:33" x14ac:dyDescent="0.25">
      <c r="C4417" t="s">
        <v>22952</v>
      </c>
      <c r="G4417" t="s">
        <v>22953</v>
      </c>
      <c r="H4417" t="s">
        <v>22954</v>
      </c>
      <c r="J4417" t="s">
        <v>22955</v>
      </c>
      <c r="K4417" t="s">
        <v>303</v>
      </c>
      <c r="L4417" t="s">
        <v>3095</v>
      </c>
      <c r="M4417" t="s">
        <v>113</v>
      </c>
      <c r="N4417" t="s">
        <v>22956</v>
      </c>
      <c r="O4417" t="s">
        <v>22957</v>
      </c>
      <c r="P4417" t="s">
        <v>117</v>
      </c>
      <c r="Q4417" t="str">
        <f>"14411"</f>
        <v>14411</v>
      </c>
      <c r="AC4417" t="s">
        <v>119</v>
      </c>
      <c r="AD4417" t="s">
        <v>113</v>
      </c>
      <c r="AE4417" t="s">
        <v>3098</v>
      </c>
      <c r="AG4417" t="s">
        <v>121</v>
      </c>
    </row>
    <row r="4418" spans="3:33" x14ac:dyDescent="0.25">
      <c r="C4418" t="s">
        <v>22958</v>
      </c>
      <c r="G4418" t="s">
        <v>22959</v>
      </c>
      <c r="H4418" t="s">
        <v>22960</v>
      </c>
      <c r="J4418" t="s">
        <v>22961</v>
      </c>
      <c r="K4418" t="s">
        <v>303</v>
      </c>
      <c r="L4418" t="s">
        <v>3095</v>
      </c>
      <c r="M4418" t="s">
        <v>113</v>
      </c>
      <c r="N4418" t="s">
        <v>22962</v>
      </c>
      <c r="O4418" t="s">
        <v>22957</v>
      </c>
      <c r="P4418" t="s">
        <v>117</v>
      </c>
      <c r="Q4418" t="str">
        <f>"14411"</f>
        <v>14411</v>
      </c>
      <c r="AC4418" t="s">
        <v>119</v>
      </c>
      <c r="AD4418" t="s">
        <v>113</v>
      </c>
      <c r="AE4418" t="s">
        <v>3098</v>
      </c>
      <c r="AG4418" t="s">
        <v>121</v>
      </c>
    </row>
    <row r="4419" spans="3:33" x14ac:dyDescent="0.25">
      <c r="C4419" t="s">
        <v>22963</v>
      </c>
      <c r="G4419" t="s">
        <v>22964</v>
      </c>
      <c r="H4419" t="s">
        <v>22965</v>
      </c>
      <c r="J4419" t="s">
        <v>22966</v>
      </c>
      <c r="K4419" t="s">
        <v>303</v>
      </c>
      <c r="L4419" t="s">
        <v>3095</v>
      </c>
      <c r="M4419" t="s">
        <v>113</v>
      </c>
      <c r="N4419" t="s">
        <v>22967</v>
      </c>
      <c r="O4419" t="s">
        <v>3097</v>
      </c>
      <c r="P4419" t="s">
        <v>117</v>
      </c>
      <c r="Q4419" t="str">
        <f>"14209"</f>
        <v>14209</v>
      </c>
      <c r="AC4419" t="s">
        <v>119</v>
      </c>
      <c r="AD4419" t="s">
        <v>113</v>
      </c>
      <c r="AE4419" t="s">
        <v>3098</v>
      </c>
      <c r="AG4419" t="s">
        <v>121</v>
      </c>
    </row>
    <row r="4420" spans="3:33" x14ac:dyDescent="0.25">
      <c r="C4420" t="s">
        <v>22968</v>
      </c>
      <c r="G4420" t="s">
        <v>21420</v>
      </c>
      <c r="H4420" t="s">
        <v>22969</v>
      </c>
      <c r="J4420" t="s">
        <v>22970</v>
      </c>
      <c r="K4420" t="s">
        <v>303</v>
      </c>
      <c r="L4420" t="s">
        <v>3095</v>
      </c>
      <c r="M4420" t="s">
        <v>113</v>
      </c>
      <c r="N4420" t="s">
        <v>22971</v>
      </c>
      <c r="O4420" t="s">
        <v>22497</v>
      </c>
      <c r="P4420" t="s">
        <v>117</v>
      </c>
      <c r="Q4420" t="str">
        <f>"14020"</f>
        <v>14020</v>
      </c>
      <c r="AC4420" t="s">
        <v>119</v>
      </c>
      <c r="AD4420" t="s">
        <v>113</v>
      </c>
      <c r="AE4420" t="s">
        <v>3098</v>
      </c>
      <c r="AG4420" t="s">
        <v>121</v>
      </c>
    </row>
    <row r="4421" spans="3:33" x14ac:dyDescent="0.25">
      <c r="C4421" t="s">
        <v>22972</v>
      </c>
      <c r="G4421" t="s">
        <v>22973</v>
      </c>
      <c r="H4421" t="s">
        <v>22974</v>
      </c>
      <c r="J4421" t="s">
        <v>22975</v>
      </c>
      <c r="K4421" t="s">
        <v>303</v>
      </c>
      <c r="L4421" t="s">
        <v>3095</v>
      </c>
      <c r="M4421" t="s">
        <v>113</v>
      </c>
      <c r="N4421" t="s">
        <v>22976</v>
      </c>
      <c r="O4421" t="s">
        <v>5751</v>
      </c>
      <c r="P4421" t="s">
        <v>117</v>
      </c>
      <c r="Q4421" t="str">
        <f>"14701"</f>
        <v>14701</v>
      </c>
      <c r="AC4421" t="s">
        <v>119</v>
      </c>
      <c r="AD4421" t="s">
        <v>113</v>
      </c>
      <c r="AE4421" t="s">
        <v>3098</v>
      </c>
      <c r="AG4421" t="s">
        <v>121</v>
      </c>
    </row>
    <row r="4422" spans="3:33" x14ac:dyDescent="0.25">
      <c r="C4422" t="s">
        <v>22977</v>
      </c>
      <c r="G4422" t="s">
        <v>22978</v>
      </c>
      <c r="H4422" t="s">
        <v>22979</v>
      </c>
      <c r="J4422" t="s">
        <v>22980</v>
      </c>
      <c r="K4422" t="s">
        <v>303</v>
      </c>
      <c r="L4422" t="s">
        <v>3095</v>
      </c>
      <c r="M4422" t="s">
        <v>113</v>
      </c>
      <c r="N4422" t="s">
        <v>22981</v>
      </c>
      <c r="O4422" t="s">
        <v>19943</v>
      </c>
      <c r="P4422" t="s">
        <v>117</v>
      </c>
      <c r="Q4422" t="str">
        <f>"14760"</f>
        <v>14760</v>
      </c>
      <c r="AC4422" t="s">
        <v>119</v>
      </c>
      <c r="AD4422" t="s">
        <v>113</v>
      </c>
      <c r="AE4422" t="s">
        <v>3098</v>
      </c>
      <c r="AG4422" t="s">
        <v>121</v>
      </c>
    </row>
    <row r="4423" spans="3:33" x14ac:dyDescent="0.25">
      <c r="C4423" t="s">
        <v>22982</v>
      </c>
      <c r="G4423" t="s">
        <v>22983</v>
      </c>
      <c r="H4423" t="s">
        <v>1700</v>
      </c>
      <c r="J4423" t="s">
        <v>22984</v>
      </c>
      <c r="K4423" t="s">
        <v>303</v>
      </c>
      <c r="L4423" t="s">
        <v>3095</v>
      </c>
      <c r="M4423" t="s">
        <v>113</v>
      </c>
      <c r="N4423" t="s">
        <v>22985</v>
      </c>
      <c r="O4423" t="s">
        <v>3097</v>
      </c>
      <c r="P4423" t="s">
        <v>117</v>
      </c>
      <c r="Q4423" t="str">
        <f>"14209"</f>
        <v>14209</v>
      </c>
      <c r="AC4423" t="s">
        <v>119</v>
      </c>
      <c r="AD4423" t="s">
        <v>113</v>
      </c>
      <c r="AE4423" t="s">
        <v>3098</v>
      </c>
      <c r="AG4423" t="s">
        <v>121</v>
      </c>
    </row>
    <row r="4424" spans="3:33" x14ac:dyDescent="0.25">
      <c r="C4424" t="s">
        <v>22986</v>
      </c>
      <c r="G4424" t="s">
        <v>22987</v>
      </c>
      <c r="H4424" t="s">
        <v>21878</v>
      </c>
      <c r="J4424" t="s">
        <v>22988</v>
      </c>
      <c r="K4424" t="s">
        <v>303</v>
      </c>
      <c r="L4424" t="s">
        <v>3095</v>
      </c>
      <c r="M4424" t="s">
        <v>113</v>
      </c>
      <c r="N4424" t="s">
        <v>22989</v>
      </c>
      <c r="O4424" t="s">
        <v>3139</v>
      </c>
      <c r="P4424" t="s">
        <v>117</v>
      </c>
      <c r="Q4424" t="str">
        <f>"14218"</f>
        <v>14218</v>
      </c>
      <c r="AC4424" t="s">
        <v>119</v>
      </c>
      <c r="AD4424" t="s">
        <v>113</v>
      </c>
      <c r="AE4424" t="s">
        <v>3098</v>
      </c>
      <c r="AG4424" t="s">
        <v>121</v>
      </c>
    </row>
    <row r="4425" spans="3:33" x14ac:dyDescent="0.25">
      <c r="C4425" t="s">
        <v>22990</v>
      </c>
      <c r="G4425" t="s">
        <v>22991</v>
      </c>
      <c r="H4425" t="s">
        <v>21722</v>
      </c>
      <c r="J4425" t="s">
        <v>21723</v>
      </c>
      <c r="K4425" t="s">
        <v>303</v>
      </c>
      <c r="L4425" t="s">
        <v>3095</v>
      </c>
      <c r="M4425" t="s">
        <v>113</v>
      </c>
      <c r="N4425" t="s">
        <v>19879</v>
      </c>
      <c r="O4425" t="s">
        <v>19880</v>
      </c>
      <c r="P4425" t="s">
        <v>117</v>
      </c>
      <c r="Q4425" t="str">
        <f>"14223"</f>
        <v>14223</v>
      </c>
      <c r="AC4425" t="s">
        <v>119</v>
      </c>
      <c r="AD4425" t="s">
        <v>113</v>
      </c>
      <c r="AE4425" t="s">
        <v>3098</v>
      </c>
      <c r="AG4425" t="s">
        <v>121</v>
      </c>
    </row>
    <row r="4426" spans="3:33" x14ac:dyDescent="0.25">
      <c r="C4426" t="s">
        <v>22992</v>
      </c>
      <c r="G4426" t="s">
        <v>22993</v>
      </c>
      <c r="H4426" t="s">
        <v>22994</v>
      </c>
      <c r="J4426" t="s">
        <v>22995</v>
      </c>
      <c r="K4426" t="s">
        <v>303</v>
      </c>
      <c r="L4426" t="s">
        <v>3095</v>
      </c>
      <c r="M4426" t="s">
        <v>113</v>
      </c>
      <c r="N4426" t="s">
        <v>22996</v>
      </c>
      <c r="O4426" t="s">
        <v>3097</v>
      </c>
      <c r="P4426" t="s">
        <v>117</v>
      </c>
      <c r="Q4426" t="str">
        <f>"14215"</f>
        <v>14215</v>
      </c>
      <c r="AC4426" t="s">
        <v>119</v>
      </c>
      <c r="AD4426" t="s">
        <v>113</v>
      </c>
      <c r="AE4426" t="s">
        <v>3098</v>
      </c>
      <c r="AG4426" t="s">
        <v>121</v>
      </c>
    </row>
    <row r="4427" spans="3:33" x14ac:dyDescent="0.25">
      <c r="C4427" t="s">
        <v>22997</v>
      </c>
      <c r="G4427" t="s">
        <v>22998</v>
      </c>
      <c r="H4427" t="s">
        <v>22999</v>
      </c>
      <c r="J4427" t="s">
        <v>23000</v>
      </c>
      <c r="K4427" t="s">
        <v>303</v>
      </c>
      <c r="L4427" t="s">
        <v>3095</v>
      </c>
      <c r="M4427" t="s">
        <v>113</v>
      </c>
      <c r="N4427" t="s">
        <v>23001</v>
      </c>
      <c r="O4427" t="s">
        <v>18812</v>
      </c>
      <c r="P4427" t="s">
        <v>117</v>
      </c>
      <c r="Q4427" t="str">
        <f>"14221"</f>
        <v>14221</v>
      </c>
      <c r="AC4427" t="s">
        <v>119</v>
      </c>
      <c r="AD4427" t="s">
        <v>113</v>
      </c>
      <c r="AE4427" t="s">
        <v>3098</v>
      </c>
      <c r="AG4427" t="s">
        <v>121</v>
      </c>
    </row>
    <row r="4428" spans="3:33" x14ac:dyDescent="0.25">
      <c r="C4428" t="s">
        <v>23002</v>
      </c>
      <c r="G4428" t="s">
        <v>23003</v>
      </c>
      <c r="H4428" t="s">
        <v>23004</v>
      </c>
      <c r="J4428" t="s">
        <v>23005</v>
      </c>
      <c r="K4428" t="s">
        <v>303</v>
      </c>
      <c r="L4428" t="s">
        <v>3095</v>
      </c>
      <c r="M4428" t="s">
        <v>113</v>
      </c>
      <c r="N4428" t="s">
        <v>23006</v>
      </c>
      <c r="O4428" t="s">
        <v>3097</v>
      </c>
      <c r="P4428" t="s">
        <v>117</v>
      </c>
      <c r="Q4428" t="str">
        <f>"14213"</f>
        <v>14213</v>
      </c>
      <c r="AC4428" t="s">
        <v>119</v>
      </c>
      <c r="AD4428" t="s">
        <v>113</v>
      </c>
      <c r="AE4428" t="s">
        <v>3098</v>
      </c>
      <c r="AG4428" t="s">
        <v>121</v>
      </c>
    </row>
    <row r="4429" spans="3:33" x14ac:dyDescent="0.25">
      <c r="C4429" t="s">
        <v>23007</v>
      </c>
      <c r="G4429" t="s">
        <v>23008</v>
      </c>
      <c r="H4429" t="s">
        <v>23009</v>
      </c>
      <c r="J4429" t="s">
        <v>23010</v>
      </c>
      <c r="K4429" t="s">
        <v>303</v>
      </c>
      <c r="L4429" t="s">
        <v>3095</v>
      </c>
      <c r="M4429" t="s">
        <v>113</v>
      </c>
      <c r="N4429" t="s">
        <v>23011</v>
      </c>
      <c r="O4429" t="s">
        <v>3097</v>
      </c>
      <c r="P4429" t="s">
        <v>117</v>
      </c>
      <c r="Q4429" t="str">
        <f>"14240"</f>
        <v>14240</v>
      </c>
      <c r="AC4429" t="s">
        <v>119</v>
      </c>
      <c r="AD4429" t="s">
        <v>113</v>
      </c>
      <c r="AE4429" t="s">
        <v>3098</v>
      </c>
      <c r="AG4429" t="s">
        <v>121</v>
      </c>
    </row>
    <row r="4430" spans="3:33" x14ac:dyDescent="0.25">
      <c r="C4430" t="s">
        <v>23012</v>
      </c>
      <c r="G4430" t="s">
        <v>23013</v>
      </c>
      <c r="H4430" t="s">
        <v>23014</v>
      </c>
      <c r="J4430" t="s">
        <v>23015</v>
      </c>
      <c r="K4430" t="s">
        <v>303</v>
      </c>
      <c r="L4430" t="s">
        <v>3095</v>
      </c>
      <c r="M4430" t="s">
        <v>113</v>
      </c>
      <c r="N4430" t="s">
        <v>23016</v>
      </c>
      <c r="O4430" t="s">
        <v>3097</v>
      </c>
      <c r="P4430" t="s">
        <v>117</v>
      </c>
      <c r="Q4430" t="str">
        <f>"14214"</f>
        <v>14214</v>
      </c>
      <c r="AC4430" t="s">
        <v>119</v>
      </c>
      <c r="AD4430" t="s">
        <v>113</v>
      </c>
      <c r="AE4430" t="s">
        <v>3098</v>
      </c>
      <c r="AG4430" t="s">
        <v>121</v>
      </c>
    </row>
    <row r="4431" spans="3:33" x14ac:dyDescent="0.25">
      <c r="C4431" t="s">
        <v>23017</v>
      </c>
      <c r="G4431" t="s">
        <v>23018</v>
      </c>
      <c r="H4431" t="s">
        <v>23019</v>
      </c>
      <c r="J4431" t="s">
        <v>23020</v>
      </c>
      <c r="K4431" t="s">
        <v>303</v>
      </c>
      <c r="L4431" t="s">
        <v>3095</v>
      </c>
      <c r="M4431" t="s">
        <v>113</v>
      </c>
      <c r="N4431" t="s">
        <v>23021</v>
      </c>
      <c r="O4431" t="s">
        <v>19943</v>
      </c>
      <c r="P4431" t="s">
        <v>117</v>
      </c>
      <c r="Q4431" t="str">
        <f>"14760"</f>
        <v>14760</v>
      </c>
      <c r="AC4431" t="s">
        <v>119</v>
      </c>
      <c r="AD4431" t="s">
        <v>113</v>
      </c>
      <c r="AE4431" t="s">
        <v>3098</v>
      </c>
      <c r="AG4431" t="s">
        <v>121</v>
      </c>
    </row>
    <row r="4432" spans="3:33" x14ac:dyDescent="0.25">
      <c r="C4432" t="s">
        <v>23022</v>
      </c>
      <c r="G4432" t="s">
        <v>23023</v>
      </c>
      <c r="H4432" t="s">
        <v>23024</v>
      </c>
      <c r="J4432" t="s">
        <v>23025</v>
      </c>
      <c r="K4432" t="s">
        <v>303</v>
      </c>
      <c r="L4432" t="s">
        <v>3095</v>
      </c>
      <c r="M4432" t="s">
        <v>113</v>
      </c>
      <c r="N4432" t="s">
        <v>23026</v>
      </c>
      <c r="O4432" t="s">
        <v>3097</v>
      </c>
      <c r="P4432" t="s">
        <v>117</v>
      </c>
      <c r="Q4432" t="str">
        <f>"14214"</f>
        <v>14214</v>
      </c>
      <c r="AC4432" t="s">
        <v>119</v>
      </c>
      <c r="AD4432" t="s">
        <v>113</v>
      </c>
      <c r="AE4432" t="s">
        <v>3098</v>
      </c>
      <c r="AG4432" t="s">
        <v>121</v>
      </c>
    </row>
    <row r="4433" spans="1:33" x14ac:dyDescent="0.25">
      <c r="C4433" t="s">
        <v>23027</v>
      </c>
      <c r="G4433" t="s">
        <v>23028</v>
      </c>
      <c r="H4433" t="s">
        <v>23029</v>
      </c>
      <c r="J4433" t="s">
        <v>23030</v>
      </c>
      <c r="K4433" t="s">
        <v>303</v>
      </c>
      <c r="L4433" t="s">
        <v>3095</v>
      </c>
      <c r="M4433" t="s">
        <v>113</v>
      </c>
      <c r="N4433" t="s">
        <v>23031</v>
      </c>
      <c r="O4433" t="s">
        <v>3097</v>
      </c>
      <c r="P4433" t="s">
        <v>117</v>
      </c>
      <c r="Q4433" t="str">
        <f>"14214"</f>
        <v>14214</v>
      </c>
      <c r="AC4433" t="s">
        <v>119</v>
      </c>
      <c r="AD4433" t="s">
        <v>113</v>
      </c>
      <c r="AE4433" t="s">
        <v>3098</v>
      </c>
      <c r="AG4433" t="s">
        <v>121</v>
      </c>
    </row>
    <row r="4434" spans="1:33" x14ac:dyDescent="0.25">
      <c r="C4434" t="s">
        <v>23032</v>
      </c>
      <c r="G4434" t="s">
        <v>23033</v>
      </c>
      <c r="H4434" t="s">
        <v>23034</v>
      </c>
      <c r="J4434" t="s">
        <v>23035</v>
      </c>
      <c r="K4434" t="s">
        <v>303</v>
      </c>
      <c r="L4434" t="s">
        <v>3095</v>
      </c>
      <c r="M4434" t="s">
        <v>113</v>
      </c>
      <c r="N4434" t="s">
        <v>23036</v>
      </c>
      <c r="O4434" t="s">
        <v>3097</v>
      </c>
      <c r="P4434" t="s">
        <v>117</v>
      </c>
      <c r="Q4434" t="str">
        <f>"14216"</f>
        <v>14216</v>
      </c>
      <c r="AC4434" t="s">
        <v>119</v>
      </c>
      <c r="AD4434" t="s">
        <v>113</v>
      </c>
      <c r="AE4434" t="s">
        <v>3098</v>
      </c>
      <c r="AG4434" t="s">
        <v>121</v>
      </c>
    </row>
    <row r="4435" spans="1:33" x14ac:dyDescent="0.25">
      <c r="C4435" t="s">
        <v>23037</v>
      </c>
      <c r="G4435" t="s">
        <v>23038</v>
      </c>
      <c r="H4435" t="s">
        <v>23039</v>
      </c>
      <c r="J4435" t="s">
        <v>23040</v>
      </c>
      <c r="K4435" t="s">
        <v>303</v>
      </c>
      <c r="L4435" t="s">
        <v>3095</v>
      </c>
      <c r="M4435" t="s">
        <v>113</v>
      </c>
      <c r="N4435" t="s">
        <v>23041</v>
      </c>
      <c r="O4435" t="s">
        <v>19943</v>
      </c>
      <c r="P4435" t="s">
        <v>117</v>
      </c>
      <c r="Q4435" t="str">
        <f>"14760"</f>
        <v>14760</v>
      </c>
      <c r="AC4435" t="s">
        <v>119</v>
      </c>
      <c r="AD4435" t="s">
        <v>113</v>
      </c>
      <c r="AE4435" t="s">
        <v>3098</v>
      </c>
      <c r="AG4435" t="s">
        <v>121</v>
      </c>
    </row>
    <row r="4436" spans="1:33" x14ac:dyDescent="0.25">
      <c r="C4436" t="s">
        <v>23042</v>
      </c>
      <c r="G4436" t="s">
        <v>18746</v>
      </c>
      <c r="H4436" t="s">
        <v>18747</v>
      </c>
      <c r="J4436" t="s">
        <v>18748</v>
      </c>
      <c r="K4436" t="s">
        <v>303</v>
      </c>
      <c r="L4436" t="s">
        <v>3095</v>
      </c>
      <c r="M4436" t="s">
        <v>113</v>
      </c>
      <c r="N4436" t="s">
        <v>18749</v>
      </c>
      <c r="O4436" t="s">
        <v>3097</v>
      </c>
      <c r="P4436" t="s">
        <v>117</v>
      </c>
      <c r="Q4436" t="str">
        <f>"14214"</f>
        <v>14214</v>
      </c>
      <c r="AC4436" t="s">
        <v>119</v>
      </c>
      <c r="AD4436" t="s">
        <v>113</v>
      </c>
      <c r="AE4436" t="s">
        <v>3098</v>
      </c>
      <c r="AG4436" t="s">
        <v>121</v>
      </c>
    </row>
    <row r="4437" spans="1:33" x14ac:dyDescent="0.25">
      <c r="C4437" t="s">
        <v>23043</v>
      </c>
      <c r="G4437" t="s">
        <v>18746</v>
      </c>
      <c r="H4437" t="s">
        <v>18747</v>
      </c>
      <c r="J4437" t="s">
        <v>18748</v>
      </c>
      <c r="K4437" t="s">
        <v>303</v>
      </c>
      <c r="L4437" t="s">
        <v>3095</v>
      </c>
      <c r="M4437" t="s">
        <v>113</v>
      </c>
      <c r="N4437" t="s">
        <v>18749</v>
      </c>
      <c r="O4437" t="s">
        <v>3097</v>
      </c>
      <c r="P4437" t="s">
        <v>117</v>
      </c>
      <c r="Q4437" t="str">
        <f>"14214"</f>
        <v>14214</v>
      </c>
      <c r="AC4437" t="s">
        <v>119</v>
      </c>
      <c r="AD4437" t="s">
        <v>113</v>
      </c>
      <c r="AE4437" t="s">
        <v>3098</v>
      </c>
      <c r="AG4437" t="s">
        <v>121</v>
      </c>
    </row>
    <row r="4438" spans="1:33" x14ac:dyDescent="0.25">
      <c r="A4438" t="str">
        <f>"1871870162"</f>
        <v>1871870162</v>
      </c>
      <c r="C4438" t="s">
        <v>23044</v>
      </c>
      <c r="G4438" t="s">
        <v>23044</v>
      </c>
      <c r="H4438" t="s">
        <v>937</v>
      </c>
      <c r="J4438" t="s">
        <v>23045</v>
      </c>
      <c r="K4438" t="s">
        <v>303</v>
      </c>
      <c r="L4438" t="s">
        <v>229</v>
      </c>
      <c r="M4438" t="s">
        <v>113</v>
      </c>
      <c r="R4438" t="s">
        <v>23046</v>
      </c>
      <c r="S4438" t="s">
        <v>709</v>
      </c>
      <c r="T4438" t="s">
        <v>116</v>
      </c>
      <c r="U4438" t="s">
        <v>117</v>
      </c>
      <c r="V4438" t="str">
        <f>"142630001"</f>
        <v>142630001</v>
      </c>
      <c r="AC4438" t="s">
        <v>119</v>
      </c>
      <c r="AD4438" t="s">
        <v>113</v>
      </c>
      <c r="AE4438" t="s">
        <v>306</v>
      </c>
      <c r="AG4438" t="s">
        <v>121</v>
      </c>
    </row>
    <row r="4439" spans="1:33" x14ac:dyDescent="0.25">
      <c r="A4439" t="str">
        <f>"1871898346"</f>
        <v>1871898346</v>
      </c>
      <c r="B4439" t="str">
        <f>"03697596"</f>
        <v>03697596</v>
      </c>
      <c r="C4439" t="s">
        <v>23047</v>
      </c>
      <c r="D4439" t="s">
        <v>23048</v>
      </c>
      <c r="E4439" t="s">
        <v>23049</v>
      </c>
      <c r="G4439" t="s">
        <v>23050</v>
      </c>
      <c r="H4439" t="s">
        <v>5969</v>
      </c>
      <c r="J4439" t="s">
        <v>23051</v>
      </c>
      <c r="L4439" t="s">
        <v>112</v>
      </c>
      <c r="M4439" t="s">
        <v>113</v>
      </c>
      <c r="R4439" t="s">
        <v>23052</v>
      </c>
      <c r="W4439" t="s">
        <v>23049</v>
      </c>
      <c r="X4439" t="s">
        <v>740</v>
      </c>
      <c r="Y4439" t="s">
        <v>116</v>
      </c>
      <c r="Z4439" t="s">
        <v>117</v>
      </c>
      <c r="AA4439" t="str">
        <f>"14202-1804"</f>
        <v>14202-1804</v>
      </c>
      <c r="AB4439" t="s">
        <v>528</v>
      </c>
      <c r="AC4439" t="s">
        <v>119</v>
      </c>
      <c r="AD4439" t="s">
        <v>113</v>
      </c>
      <c r="AE4439" t="s">
        <v>120</v>
      </c>
      <c r="AG4439" t="s">
        <v>121</v>
      </c>
    </row>
    <row r="4440" spans="1:33" x14ac:dyDescent="0.25">
      <c r="A4440" t="str">
        <f>"1871921411"</f>
        <v>1871921411</v>
      </c>
      <c r="C4440" t="s">
        <v>23053</v>
      </c>
      <c r="G4440" t="s">
        <v>21097</v>
      </c>
      <c r="J4440" t="s">
        <v>352</v>
      </c>
      <c r="K4440" t="s">
        <v>303</v>
      </c>
      <c r="L4440" t="s">
        <v>229</v>
      </c>
      <c r="M4440" t="s">
        <v>113</v>
      </c>
      <c r="R4440" t="s">
        <v>23054</v>
      </c>
      <c r="S4440" t="s">
        <v>21378</v>
      </c>
      <c r="T4440" t="s">
        <v>116</v>
      </c>
      <c r="U4440" t="s">
        <v>117</v>
      </c>
      <c r="V4440" t="str">
        <f>"142142605"</f>
        <v>142142605</v>
      </c>
      <c r="AC4440" t="s">
        <v>119</v>
      </c>
      <c r="AD4440" t="s">
        <v>113</v>
      </c>
      <c r="AE4440" t="s">
        <v>306</v>
      </c>
      <c r="AG4440" t="s">
        <v>121</v>
      </c>
    </row>
    <row r="4441" spans="1:33" x14ac:dyDescent="0.25">
      <c r="A4441" t="str">
        <f>"1871922419"</f>
        <v>1871922419</v>
      </c>
      <c r="C4441" t="s">
        <v>23055</v>
      </c>
      <c r="G4441" t="s">
        <v>23055</v>
      </c>
      <c r="H4441" t="s">
        <v>937</v>
      </c>
      <c r="J4441" t="s">
        <v>23056</v>
      </c>
      <c r="K4441" t="s">
        <v>303</v>
      </c>
      <c r="L4441" t="s">
        <v>229</v>
      </c>
      <c r="M4441" t="s">
        <v>113</v>
      </c>
      <c r="R4441" t="s">
        <v>23057</v>
      </c>
      <c r="S4441" t="s">
        <v>3739</v>
      </c>
      <c r="T4441" t="s">
        <v>240</v>
      </c>
      <c r="U4441" t="s">
        <v>117</v>
      </c>
      <c r="V4441" t="str">
        <f>"142216728"</f>
        <v>142216728</v>
      </c>
      <c r="AC4441" t="s">
        <v>119</v>
      </c>
      <c r="AD4441" t="s">
        <v>113</v>
      </c>
      <c r="AE4441" t="s">
        <v>306</v>
      </c>
      <c r="AG4441" t="s">
        <v>121</v>
      </c>
    </row>
    <row r="4442" spans="1:33" x14ac:dyDescent="0.25">
      <c r="A4442" t="str">
        <f>"1871923151"</f>
        <v>1871923151</v>
      </c>
      <c r="B4442" t="str">
        <f>"03920147"</f>
        <v>03920147</v>
      </c>
      <c r="C4442" t="s">
        <v>23058</v>
      </c>
      <c r="D4442" t="s">
        <v>23059</v>
      </c>
      <c r="E4442" t="s">
        <v>23060</v>
      </c>
      <c r="G4442" t="s">
        <v>23061</v>
      </c>
      <c r="H4442" t="s">
        <v>23062</v>
      </c>
      <c r="J4442" t="s">
        <v>23063</v>
      </c>
      <c r="L4442" t="s">
        <v>229</v>
      </c>
      <c r="M4442" t="s">
        <v>113</v>
      </c>
      <c r="R4442" t="s">
        <v>23064</v>
      </c>
      <c r="W4442" t="s">
        <v>23060</v>
      </c>
      <c r="X4442" t="s">
        <v>838</v>
      </c>
      <c r="Y4442" t="s">
        <v>240</v>
      </c>
      <c r="Z4442" t="s">
        <v>117</v>
      </c>
      <c r="AA4442" t="str">
        <f>"14221-3647"</f>
        <v>14221-3647</v>
      </c>
      <c r="AB4442" t="s">
        <v>118</v>
      </c>
      <c r="AC4442" t="s">
        <v>119</v>
      </c>
      <c r="AD4442" t="s">
        <v>113</v>
      </c>
      <c r="AE4442" t="s">
        <v>120</v>
      </c>
      <c r="AG4442" t="s">
        <v>121</v>
      </c>
    </row>
    <row r="4443" spans="1:33" x14ac:dyDescent="0.25">
      <c r="A4443" t="str">
        <f>"1871926436"</f>
        <v>1871926436</v>
      </c>
      <c r="C4443" t="s">
        <v>23065</v>
      </c>
      <c r="G4443" t="s">
        <v>23065</v>
      </c>
      <c r="H4443" t="s">
        <v>1115</v>
      </c>
      <c r="J4443" t="s">
        <v>438</v>
      </c>
      <c r="K4443" t="s">
        <v>303</v>
      </c>
      <c r="L4443" t="s">
        <v>229</v>
      </c>
      <c r="M4443" t="s">
        <v>113</v>
      </c>
      <c r="R4443" t="s">
        <v>23066</v>
      </c>
      <c r="S4443" t="s">
        <v>2800</v>
      </c>
      <c r="T4443" t="s">
        <v>318</v>
      </c>
      <c r="U4443" t="s">
        <v>117</v>
      </c>
      <c r="V4443" t="str">
        <f>"142254985"</f>
        <v>142254985</v>
      </c>
      <c r="AC4443" t="s">
        <v>119</v>
      </c>
      <c r="AD4443" t="s">
        <v>113</v>
      </c>
      <c r="AE4443" t="s">
        <v>306</v>
      </c>
      <c r="AG4443" t="s">
        <v>121</v>
      </c>
    </row>
    <row r="4444" spans="1:33" x14ac:dyDescent="0.25">
      <c r="A4444" t="str">
        <f>"1881021251"</f>
        <v>1881021251</v>
      </c>
      <c r="C4444" t="s">
        <v>23067</v>
      </c>
      <c r="G4444" t="s">
        <v>23068</v>
      </c>
      <c r="H4444" t="s">
        <v>23069</v>
      </c>
      <c r="J4444" t="s">
        <v>23070</v>
      </c>
      <c r="K4444" t="s">
        <v>303</v>
      </c>
      <c r="L4444" t="s">
        <v>229</v>
      </c>
      <c r="M4444" t="s">
        <v>113</v>
      </c>
      <c r="R4444" t="s">
        <v>23067</v>
      </c>
      <c r="S4444" t="s">
        <v>23071</v>
      </c>
      <c r="T4444" t="s">
        <v>153</v>
      </c>
      <c r="U4444" t="s">
        <v>117</v>
      </c>
      <c r="V4444" t="str">
        <f>"143044562"</f>
        <v>143044562</v>
      </c>
      <c r="AC4444" t="s">
        <v>119</v>
      </c>
      <c r="AD4444" t="s">
        <v>113</v>
      </c>
      <c r="AE4444" t="s">
        <v>306</v>
      </c>
      <c r="AG4444" t="s">
        <v>121</v>
      </c>
    </row>
    <row r="4445" spans="1:33" x14ac:dyDescent="0.25">
      <c r="A4445" t="str">
        <f>"1801853791"</f>
        <v>1801853791</v>
      </c>
      <c r="B4445" t="str">
        <f>"01033590"</f>
        <v>01033590</v>
      </c>
      <c r="C4445" t="s">
        <v>23072</v>
      </c>
      <c r="D4445" t="s">
        <v>23073</v>
      </c>
      <c r="E4445" t="s">
        <v>23074</v>
      </c>
      <c r="G4445" t="s">
        <v>23072</v>
      </c>
      <c r="H4445" t="s">
        <v>908</v>
      </c>
      <c r="J4445" t="s">
        <v>23075</v>
      </c>
      <c r="L4445" t="s">
        <v>142</v>
      </c>
      <c r="M4445" t="s">
        <v>113</v>
      </c>
      <c r="R4445" t="s">
        <v>23076</v>
      </c>
      <c r="W4445" t="s">
        <v>23077</v>
      </c>
      <c r="Y4445" t="s">
        <v>240</v>
      </c>
      <c r="Z4445" t="s">
        <v>117</v>
      </c>
      <c r="AA4445" t="str">
        <f>"14221-8214"</f>
        <v>14221-8214</v>
      </c>
      <c r="AB4445" t="s">
        <v>118</v>
      </c>
      <c r="AC4445" t="s">
        <v>119</v>
      </c>
      <c r="AD4445" t="s">
        <v>113</v>
      </c>
      <c r="AE4445" t="s">
        <v>120</v>
      </c>
      <c r="AG4445" t="s">
        <v>121</v>
      </c>
    </row>
    <row r="4446" spans="1:33" x14ac:dyDescent="0.25">
      <c r="A4446" t="str">
        <f>"1801862776"</f>
        <v>1801862776</v>
      </c>
      <c r="B4446" t="str">
        <f>"01442786"</f>
        <v>01442786</v>
      </c>
      <c r="C4446" t="s">
        <v>23078</v>
      </c>
      <c r="D4446" t="s">
        <v>23079</v>
      </c>
      <c r="E4446" t="s">
        <v>23080</v>
      </c>
      <c r="G4446" t="s">
        <v>23078</v>
      </c>
      <c r="H4446" t="s">
        <v>23081</v>
      </c>
      <c r="J4446" t="s">
        <v>23082</v>
      </c>
      <c r="L4446" t="s">
        <v>142</v>
      </c>
      <c r="M4446" t="s">
        <v>113</v>
      </c>
      <c r="R4446" t="s">
        <v>23083</v>
      </c>
      <c r="W4446" t="s">
        <v>23080</v>
      </c>
      <c r="X4446" t="s">
        <v>176</v>
      </c>
      <c r="Y4446" t="s">
        <v>116</v>
      </c>
      <c r="Z4446" t="s">
        <v>117</v>
      </c>
      <c r="AA4446" t="str">
        <f>"14203-1126"</f>
        <v>14203-1126</v>
      </c>
      <c r="AB4446" t="s">
        <v>118</v>
      </c>
      <c r="AC4446" t="s">
        <v>119</v>
      </c>
      <c r="AD4446" t="s">
        <v>113</v>
      </c>
      <c r="AE4446" t="s">
        <v>120</v>
      </c>
      <c r="AG4446" t="s">
        <v>121</v>
      </c>
    </row>
    <row r="4447" spans="1:33" x14ac:dyDescent="0.25">
      <c r="A4447" t="str">
        <f>"1801865340"</f>
        <v>1801865340</v>
      </c>
      <c r="B4447" t="str">
        <f>"01630299"</f>
        <v>01630299</v>
      </c>
      <c r="C4447" t="s">
        <v>23084</v>
      </c>
      <c r="D4447" t="s">
        <v>23085</v>
      </c>
      <c r="E4447" t="s">
        <v>23086</v>
      </c>
      <c r="G4447" t="s">
        <v>23084</v>
      </c>
      <c r="H4447" t="s">
        <v>6973</v>
      </c>
      <c r="J4447" t="s">
        <v>23087</v>
      </c>
      <c r="L4447" t="s">
        <v>142</v>
      </c>
      <c r="M4447" t="s">
        <v>113</v>
      </c>
      <c r="R4447" t="s">
        <v>23088</v>
      </c>
      <c r="W4447" t="s">
        <v>23086</v>
      </c>
      <c r="X4447" t="s">
        <v>23089</v>
      </c>
      <c r="Y4447" t="s">
        <v>116</v>
      </c>
      <c r="Z4447" t="s">
        <v>117</v>
      </c>
      <c r="AA4447" t="str">
        <f>"14209-1120"</f>
        <v>14209-1120</v>
      </c>
      <c r="AB4447" t="s">
        <v>118</v>
      </c>
      <c r="AC4447" t="s">
        <v>119</v>
      </c>
      <c r="AD4447" t="s">
        <v>113</v>
      </c>
      <c r="AE4447" t="s">
        <v>120</v>
      </c>
      <c r="AG4447" t="s">
        <v>121</v>
      </c>
    </row>
    <row r="4448" spans="1:33" x14ac:dyDescent="0.25">
      <c r="A4448" t="str">
        <f>"1801866868"</f>
        <v>1801866868</v>
      </c>
      <c r="B4448" t="str">
        <f>"03108463"</f>
        <v>03108463</v>
      </c>
      <c r="C4448" t="s">
        <v>23090</v>
      </c>
      <c r="D4448" t="s">
        <v>23091</v>
      </c>
      <c r="E4448" t="s">
        <v>23092</v>
      </c>
      <c r="G4448" t="s">
        <v>23090</v>
      </c>
      <c r="H4448" t="s">
        <v>13540</v>
      </c>
      <c r="J4448" t="s">
        <v>23093</v>
      </c>
      <c r="L4448" t="s">
        <v>142</v>
      </c>
      <c r="M4448" t="s">
        <v>113</v>
      </c>
      <c r="R4448" t="s">
        <v>23094</v>
      </c>
      <c r="W4448" t="s">
        <v>23095</v>
      </c>
      <c r="X4448" t="s">
        <v>23096</v>
      </c>
      <c r="Y4448" t="s">
        <v>240</v>
      </c>
      <c r="Z4448" t="s">
        <v>117</v>
      </c>
      <c r="AA4448" t="str">
        <f>"14221-2700"</f>
        <v>14221-2700</v>
      </c>
      <c r="AB4448" t="s">
        <v>118</v>
      </c>
      <c r="AC4448" t="s">
        <v>119</v>
      </c>
      <c r="AD4448" t="s">
        <v>113</v>
      </c>
      <c r="AE4448" t="s">
        <v>120</v>
      </c>
      <c r="AG4448" t="s">
        <v>121</v>
      </c>
    </row>
    <row r="4449" spans="1:33" x14ac:dyDescent="0.25">
      <c r="A4449" t="str">
        <f>"1801867775"</f>
        <v>1801867775</v>
      </c>
      <c r="B4449" t="str">
        <f>"00724052"</f>
        <v>00724052</v>
      </c>
      <c r="C4449" t="s">
        <v>23097</v>
      </c>
      <c r="D4449" t="s">
        <v>23098</v>
      </c>
      <c r="E4449" t="s">
        <v>23099</v>
      </c>
      <c r="G4449" t="s">
        <v>23097</v>
      </c>
      <c r="H4449" t="s">
        <v>3253</v>
      </c>
      <c r="J4449" t="s">
        <v>23100</v>
      </c>
      <c r="L4449" t="s">
        <v>112</v>
      </c>
      <c r="M4449" t="s">
        <v>199</v>
      </c>
      <c r="R4449" t="s">
        <v>23101</v>
      </c>
      <c r="W4449" t="s">
        <v>23099</v>
      </c>
      <c r="X4449" t="s">
        <v>5526</v>
      </c>
      <c r="Y4449" t="s">
        <v>116</v>
      </c>
      <c r="Z4449" t="s">
        <v>117</v>
      </c>
      <c r="AA4449" t="str">
        <f>"14222-2006"</f>
        <v>14222-2006</v>
      </c>
      <c r="AB4449" t="s">
        <v>118</v>
      </c>
      <c r="AC4449" t="s">
        <v>119</v>
      </c>
      <c r="AD4449" t="s">
        <v>113</v>
      </c>
      <c r="AE4449" t="s">
        <v>120</v>
      </c>
      <c r="AG4449" t="s">
        <v>121</v>
      </c>
    </row>
    <row r="4450" spans="1:33" x14ac:dyDescent="0.25">
      <c r="A4450" t="str">
        <f>"1801871843"</f>
        <v>1801871843</v>
      </c>
      <c r="B4450" t="str">
        <f>"00652882"</f>
        <v>00652882</v>
      </c>
      <c r="C4450" t="s">
        <v>23102</v>
      </c>
      <c r="D4450" t="s">
        <v>23103</v>
      </c>
      <c r="E4450" t="s">
        <v>23104</v>
      </c>
      <c r="G4450" t="s">
        <v>23102</v>
      </c>
      <c r="H4450" t="s">
        <v>398</v>
      </c>
      <c r="J4450" t="s">
        <v>23105</v>
      </c>
      <c r="L4450" t="s">
        <v>150</v>
      </c>
      <c r="M4450" t="s">
        <v>113</v>
      </c>
      <c r="R4450" t="s">
        <v>23106</v>
      </c>
      <c r="W4450" t="s">
        <v>23104</v>
      </c>
      <c r="X4450" t="s">
        <v>13067</v>
      </c>
      <c r="Y4450" t="s">
        <v>116</v>
      </c>
      <c r="Z4450" t="s">
        <v>117</v>
      </c>
      <c r="AA4450" t="str">
        <f>"14209-1603"</f>
        <v>14209-1603</v>
      </c>
      <c r="AB4450" t="s">
        <v>118</v>
      </c>
      <c r="AC4450" t="s">
        <v>119</v>
      </c>
      <c r="AD4450" t="s">
        <v>113</v>
      </c>
      <c r="AE4450" t="s">
        <v>120</v>
      </c>
      <c r="AG4450" t="s">
        <v>121</v>
      </c>
    </row>
    <row r="4451" spans="1:33" x14ac:dyDescent="0.25">
      <c r="A4451" t="str">
        <f>"1801882709"</f>
        <v>1801882709</v>
      </c>
      <c r="B4451" t="str">
        <f>"01090188"</f>
        <v>01090188</v>
      </c>
      <c r="C4451" t="s">
        <v>23107</v>
      </c>
      <c r="D4451" t="s">
        <v>23108</v>
      </c>
      <c r="E4451" t="s">
        <v>23109</v>
      </c>
      <c r="G4451" t="s">
        <v>23107</v>
      </c>
      <c r="H4451" t="s">
        <v>10022</v>
      </c>
      <c r="J4451" t="s">
        <v>23110</v>
      </c>
      <c r="L4451" t="s">
        <v>112</v>
      </c>
      <c r="M4451" t="s">
        <v>113</v>
      </c>
      <c r="R4451" t="s">
        <v>23111</v>
      </c>
      <c r="W4451" t="s">
        <v>23109</v>
      </c>
      <c r="X4451" t="s">
        <v>4491</v>
      </c>
      <c r="Y4451" t="s">
        <v>116</v>
      </c>
      <c r="Z4451" t="s">
        <v>117</v>
      </c>
      <c r="AA4451" t="str">
        <f>"14221-5411"</f>
        <v>14221-5411</v>
      </c>
      <c r="AB4451" t="s">
        <v>118</v>
      </c>
      <c r="AC4451" t="s">
        <v>119</v>
      </c>
      <c r="AD4451" t="s">
        <v>113</v>
      </c>
      <c r="AE4451" t="s">
        <v>120</v>
      </c>
      <c r="AG4451" t="s">
        <v>121</v>
      </c>
    </row>
    <row r="4452" spans="1:33" x14ac:dyDescent="0.25">
      <c r="A4452" t="str">
        <f>"1801886965"</f>
        <v>1801886965</v>
      </c>
      <c r="B4452" t="str">
        <f>"01842882"</f>
        <v>01842882</v>
      </c>
      <c r="C4452" t="s">
        <v>23112</v>
      </c>
      <c r="D4452" t="s">
        <v>23113</v>
      </c>
      <c r="E4452" t="s">
        <v>23114</v>
      </c>
      <c r="G4452" t="s">
        <v>23112</v>
      </c>
      <c r="H4452" t="s">
        <v>9222</v>
      </c>
      <c r="J4452" t="s">
        <v>23115</v>
      </c>
      <c r="L4452" t="s">
        <v>142</v>
      </c>
      <c r="M4452" t="s">
        <v>113</v>
      </c>
      <c r="R4452" t="s">
        <v>23116</v>
      </c>
      <c r="W4452" t="s">
        <v>23117</v>
      </c>
      <c r="X4452" t="s">
        <v>23118</v>
      </c>
      <c r="Y4452" t="s">
        <v>318</v>
      </c>
      <c r="Z4452" t="s">
        <v>117</v>
      </c>
      <c r="AA4452" t="str">
        <f>"14225-2591"</f>
        <v>14225-2591</v>
      </c>
      <c r="AB4452" t="s">
        <v>118</v>
      </c>
      <c r="AC4452" t="s">
        <v>119</v>
      </c>
      <c r="AD4452" t="s">
        <v>113</v>
      </c>
      <c r="AE4452" t="s">
        <v>120</v>
      </c>
      <c r="AG4452" t="s">
        <v>121</v>
      </c>
    </row>
    <row r="4453" spans="1:33" x14ac:dyDescent="0.25">
      <c r="A4453" t="str">
        <f>"1801892286"</f>
        <v>1801892286</v>
      </c>
      <c r="B4453" t="str">
        <f>"01247209"</f>
        <v>01247209</v>
      </c>
      <c r="C4453" t="s">
        <v>23119</v>
      </c>
      <c r="D4453" t="s">
        <v>23120</v>
      </c>
      <c r="E4453" t="s">
        <v>23121</v>
      </c>
      <c r="G4453" t="s">
        <v>23119</v>
      </c>
      <c r="H4453" t="s">
        <v>1344</v>
      </c>
      <c r="J4453" t="s">
        <v>23122</v>
      </c>
      <c r="L4453" t="s">
        <v>142</v>
      </c>
      <c r="M4453" t="s">
        <v>113</v>
      </c>
      <c r="R4453" t="s">
        <v>23123</v>
      </c>
      <c r="W4453" t="s">
        <v>23121</v>
      </c>
      <c r="X4453" t="s">
        <v>216</v>
      </c>
      <c r="Y4453" t="s">
        <v>116</v>
      </c>
      <c r="Z4453" t="s">
        <v>117</v>
      </c>
      <c r="AA4453" t="str">
        <f>"14222-2006"</f>
        <v>14222-2006</v>
      </c>
      <c r="AB4453" t="s">
        <v>118</v>
      </c>
      <c r="AC4453" t="s">
        <v>119</v>
      </c>
      <c r="AD4453" t="s">
        <v>113</v>
      </c>
      <c r="AE4453" t="s">
        <v>120</v>
      </c>
      <c r="AG4453" t="s">
        <v>121</v>
      </c>
    </row>
    <row r="4454" spans="1:33" x14ac:dyDescent="0.25">
      <c r="B4454" t="str">
        <f>"02688411"</f>
        <v>02688411</v>
      </c>
      <c r="C4454" t="s">
        <v>11659</v>
      </c>
      <c r="D4454" t="s">
        <v>11660</v>
      </c>
      <c r="E4454" t="s">
        <v>11661</v>
      </c>
      <c r="F4454">
        <v>161146128</v>
      </c>
      <c r="L4454" t="s">
        <v>69</v>
      </c>
      <c r="M4454" t="s">
        <v>199</v>
      </c>
      <c r="W4454" t="s">
        <v>11659</v>
      </c>
      <c r="X4454" t="s">
        <v>11662</v>
      </c>
      <c r="Y4454" t="s">
        <v>512</v>
      </c>
      <c r="Z4454" t="s">
        <v>117</v>
      </c>
      <c r="AA4454" t="str">
        <f>"14092-1639"</f>
        <v>14092-1639</v>
      </c>
      <c r="AB4454" t="s">
        <v>291</v>
      </c>
      <c r="AC4454" t="s">
        <v>119</v>
      </c>
      <c r="AD4454" t="s">
        <v>113</v>
      </c>
      <c r="AE4454" t="s">
        <v>120</v>
      </c>
      <c r="AG4454" t="s">
        <v>121</v>
      </c>
    </row>
    <row r="4455" spans="1:33" x14ac:dyDescent="0.25">
      <c r="A4455" t="str">
        <f>"1801898382"</f>
        <v>1801898382</v>
      </c>
      <c r="C4455" t="s">
        <v>23130</v>
      </c>
      <c r="H4455" t="s">
        <v>3633</v>
      </c>
      <c r="K4455" t="s">
        <v>303</v>
      </c>
      <c r="L4455" t="s">
        <v>229</v>
      </c>
      <c r="M4455" t="s">
        <v>113</v>
      </c>
      <c r="R4455" t="s">
        <v>23130</v>
      </c>
      <c r="S4455" t="s">
        <v>11499</v>
      </c>
      <c r="T4455" t="s">
        <v>9183</v>
      </c>
      <c r="U4455" t="s">
        <v>117</v>
      </c>
      <c r="V4455" t="str">
        <f>"140862824"</f>
        <v>140862824</v>
      </c>
      <c r="AC4455" t="s">
        <v>119</v>
      </c>
      <c r="AD4455" t="s">
        <v>113</v>
      </c>
      <c r="AE4455" t="s">
        <v>306</v>
      </c>
      <c r="AG4455" t="s">
        <v>121</v>
      </c>
    </row>
    <row r="4456" spans="1:33" x14ac:dyDescent="0.25">
      <c r="A4456" t="str">
        <f>"1801958202"</f>
        <v>1801958202</v>
      </c>
      <c r="B4456" t="str">
        <f>"00713819"</f>
        <v>00713819</v>
      </c>
      <c r="C4456" t="s">
        <v>23131</v>
      </c>
      <c r="D4456" t="s">
        <v>23132</v>
      </c>
      <c r="E4456" t="s">
        <v>23133</v>
      </c>
      <c r="G4456" t="s">
        <v>23131</v>
      </c>
      <c r="H4456" t="s">
        <v>1227</v>
      </c>
      <c r="J4456" t="s">
        <v>23134</v>
      </c>
      <c r="L4456" t="s">
        <v>142</v>
      </c>
      <c r="M4456" t="s">
        <v>113</v>
      </c>
      <c r="R4456" t="s">
        <v>23135</v>
      </c>
      <c r="W4456" t="s">
        <v>23133</v>
      </c>
      <c r="X4456" t="s">
        <v>23136</v>
      </c>
      <c r="Y4456" t="s">
        <v>116</v>
      </c>
      <c r="Z4456" t="s">
        <v>117</v>
      </c>
      <c r="AA4456" t="str">
        <f>"14209-1120"</f>
        <v>14209-1120</v>
      </c>
      <c r="AB4456" t="s">
        <v>118</v>
      </c>
      <c r="AC4456" t="s">
        <v>119</v>
      </c>
      <c r="AD4456" t="s">
        <v>113</v>
      </c>
      <c r="AE4456" t="s">
        <v>120</v>
      </c>
      <c r="AG4456" t="s">
        <v>121</v>
      </c>
    </row>
    <row r="4457" spans="1:33" x14ac:dyDescent="0.25">
      <c r="A4457" t="str">
        <f>"1811024722"</f>
        <v>1811024722</v>
      </c>
      <c r="C4457" t="s">
        <v>23137</v>
      </c>
      <c r="G4457" t="s">
        <v>23138</v>
      </c>
      <c r="H4457" t="s">
        <v>23139</v>
      </c>
      <c r="J4457" t="s">
        <v>352</v>
      </c>
      <c r="K4457" t="s">
        <v>303</v>
      </c>
      <c r="L4457" t="s">
        <v>112</v>
      </c>
      <c r="M4457" t="s">
        <v>113</v>
      </c>
      <c r="R4457" t="s">
        <v>23140</v>
      </c>
      <c r="S4457" t="s">
        <v>354</v>
      </c>
      <c r="T4457" t="s">
        <v>116</v>
      </c>
      <c r="U4457" t="s">
        <v>117</v>
      </c>
      <c r="V4457" t="str">
        <f>"142152814"</f>
        <v>142152814</v>
      </c>
      <c r="AC4457" t="s">
        <v>119</v>
      </c>
      <c r="AD4457" t="s">
        <v>113</v>
      </c>
      <c r="AE4457" t="s">
        <v>306</v>
      </c>
      <c r="AG4457" t="s">
        <v>121</v>
      </c>
    </row>
    <row r="4458" spans="1:33" x14ac:dyDescent="0.25">
      <c r="A4458" t="str">
        <f>"1811038771"</f>
        <v>1811038771</v>
      </c>
      <c r="B4458" t="str">
        <f>"01406239"</f>
        <v>01406239</v>
      </c>
      <c r="C4458" t="s">
        <v>23141</v>
      </c>
      <c r="D4458" t="s">
        <v>23142</v>
      </c>
      <c r="E4458" t="s">
        <v>23143</v>
      </c>
      <c r="G4458" t="s">
        <v>23141</v>
      </c>
      <c r="H4458" t="s">
        <v>7255</v>
      </c>
      <c r="J4458" t="s">
        <v>23144</v>
      </c>
      <c r="L4458" t="s">
        <v>150</v>
      </c>
      <c r="M4458" t="s">
        <v>113</v>
      </c>
      <c r="R4458" t="s">
        <v>23145</v>
      </c>
      <c r="W4458" t="s">
        <v>23143</v>
      </c>
      <c r="X4458" t="s">
        <v>23146</v>
      </c>
      <c r="Y4458" t="s">
        <v>116</v>
      </c>
      <c r="Z4458" t="s">
        <v>117</v>
      </c>
      <c r="AA4458" t="str">
        <f>"14203-1154"</f>
        <v>14203-1154</v>
      </c>
      <c r="AB4458" t="s">
        <v>118</v>
      </c>
      <c r="AC4458" t="s">
        <v>119</v>
      </c>
      <c r="AD4458" t="s">
        <v>113</v>
      </c>
      <c r="AE4458" t="s">
        <v>120</v>
      </c>
      <c r="AG4458" t="s">
        <v>121</v>
      </c>
    </row>
    <row r="4459" spans="1:33" x14ac:dyDescent="0.25">
      <c r="A4459" t="str">
        <f>"1811044167"</f>
        <v>1811044167</v>
      </c>
      <c r="B4459" t="str">
        <f>"03134003"</f>
        <v>03134003</v>
      </c>
      <c r="C4459" t="s">
        <v>23147</v>
      </c>
      <c r="D4459" t="s">
        <v>23148</v>
      </c>
      <c r="E4459" t="s">
        <v>23149</v>
      </c>
      <c r="G4459" t="s">
        <v>23150</v>
      </c>
      <c r="H4459" t="s">
        <v>23151</v>
      </c>
      <c r="J4459" t="s">
        <v>23152</v>
      </c>
      <c r="L4459" t="s">
        <v>142</v>
      </c>
      <c r="M4459" t="s">
        <v>113</v>
      </c>
      <c r="R4459" t="s">
        <v>23153</v>
      </c>
      <c r="W4459" t="s">
        <v>23154</v>
      </c>
      <c r="X4459" t="s">
        <v>216</v>
      </c>
      <c r="Y4459" t="s">
        <v>116</v>
      </c>
      <c r="Z4459" t="s">
        <v>117</v>
      </c>
      <c r="AA4459" t="str">
        <f>"14222-2006"</f>
        <v>14222-2006</v>
      </c>
      <c r="AB4459" t="s">
        <v>118</v>
      </c>
      <c r="AC4459" t="s">
        <v>119</v>
      </c>
      <c r="AD4459" t="s">
        <v>113</v>
      </c>
      <c r="AE4459" t="s">
        <v>120</v>
      </c>
      <c r="AG4459" t="s">
        <v>121</v>
      </c>
    </row>
    <row r="4460" spans="1:33" x14ac:dyDescent="0.25">
      <c r="A4460" t="str">
        <f>"1811076474"</f>
        <v>1811076474</v>
      </c>
      <c r="B4460" t="str">
        <f>"01182118"</f>
        <v>01182118</v>
      </c>
      <c r="C4460" t="s">
        <v>1578</v>
      </c>
      <c r="D4460" t="s">
        <v>23155</v>
      </c>
      <c r="E4460" t="s">
        <v>23156</v>
      </c>
      <c r="H4460" t="s">
        <v>8571</v>
      </c>
      <c r="L4460" t="s">
        <v>69</v>
      </c>
      <c r="M4460" t="s">
        <v>113</v>
      </c>
      <c r="R4460" t="s">
        <v>1578</v>
      </c>
      <c r="W4460" t="s">
        <v>23156</v>
      </c>
      <c r="X4460" t="s">
        <v>23157</v>
      </c>
      <c r="Y4460" t="s">
        <v>116</v>
      </c>
      <c r="Z4460" t="s">
        <v>117</v>
      </c>
      <c r="AA4460" t="str">
        <f>"14207-1910"</f>
        <v>14207-1910</v>
      </c>
      <c r="AB4460" t="s">
        <v>528</v>
      </c>
      <c r="AC4460" t="s">
        <v>119</v>
      </c>
      <c r="AD4460" t="s">
        <v>113</v>
      </c>
      <c r="AE4460" t="s">
        <v>120</v>
      </c>
      <c r="AG4460" t="s">
        <v>121</v>
      </c>
    </row>
    <row r="4461" spans="1:33" x14ac:dyDescent="0.25">
      <c r="A4461" t="str">
        <f>"1811124209"</f>
        <v>1811124209</v>
      </c>
      <c r="B4461" t="str">
        <f>"03206131"</f>
        <v>03206131</v>
      </c>
      <c r="C4461" t="s">
        <v>23158</v>
      </c>
      <c r="D4461" t="s">
        <v>23159</v>
      </c>
      <c r="E4461" t="s">
        <v>23160</v>
      </c>
      <c r="G4461" t="s">
        <v>23161</v>
      </c>
      <c r="H4461" t="s">
        <v>23162</v>
      </c>
      <c r="L4461" t="s">
        <v>150</v>
      </c>
      <c r="M4461" t="s">
        <v>199</v>
      </c>
      <c r="R4461" t="s">
        <v>23163</v>
      </c>
      <c r="W4461" t="s">
        <v>23160</v>
      </c>
      <c r="X4461" t="s">
        <v>855</v>
      </c>
      <c r="Y4461" t="s">
        <v>116</v>
      </c>
      <c r="Z4461" t="s">
        <v>117</v>
      </c>
      <c r="AA4461" t="str">
        <f>"14213-1573"</f>
        <v>14213-1573</v>
      </c>
      <c r="AB4461" t="s">
        <v>118</v>
      </c>
      <c r="AC4461" t="s">
        <v>119</v>
      </c>
      <c r="AD4461" t="s">
        <v>113</v>
      </c>
      <c r="AE4461" t="s">
        <v>120</v>
      </c>
      <c r="AG4461" t="s">
        <v>121</v>
      </c>
    </row>
    <row r="4462" spans="1:33" x14ac:dyDescent="0.25">
      <c r="A4462" t="str">
        <f>"1811125180"</f>
        <v>1811125180</v>
      </c>
      <c r="B4462" t="str">
        <f>"03122534"</f>
        <v>03122534</v>
      </c>
      <c r="C4462" t="s">
        <v>23164</v>
      </c>
      <c r="D4462" t="s">
        <v>23165</v>
      </c>
      <c r="E4462" t="s">
        <v>23166</v>
      </c>
      <c r="H4462" t="s">
        <v>23167</v>
      </c>
      <c r="L4462" t="s">
        <v>142</v>
      </c>
      <c r="M4462" t="s">
        <v>113</v>
      </c>
      <c r="R4462" t="s">
        <v>23168</v>
      </c>
      <c r="W4462" t="s">
        <v>23166</v>
      </c>
      <c r="X4462" t="s">
        <v>23169</v>
      </c>
      <c r="Y4462" t="s">
        <v>116</v>
      </c>
      <c r="Z4462" t="s">
        <v>117</v>
      </c>
      <c r="AA4462" t="str">
        <f>"14210-2343"</f>
        <v>14210-2343</v>
      </c>
      <c r="AB4462" t="s">
        <v>4681</v>
      </c>
      <c r="AC4462" t="s">
        <v>119</v>
      </c>
      <c r="AD4462" t="s">
        <v>113</v>
      </c>
      <c r="AE4462" t="s">
        <v>120</v>
      </c>
      <c r="AG4462" t="s">
        <v>121</v>
      </c>
    </row>
    <row r="4463" spans="1:33" x14ac:dyDescent="0.25">
      <c r="A4463" t="str">
        <f>"1528219102"</f>
        <v>1528219102</v>
      </c>
      <c r="B4463" t="str">
        <f>"03251654"</f>
        <v>03251654</v>
      </c>
      <c r="C4463" t="s">
        <v>14186</v>
      </c>
      <c r="D4463" t="s">
        <v>16051</v>
      </c>
      <c r="E4463" t="s">
        <v>1578</v>
      </c>
      <c r="F4463">
        <v>160975538</v>
      </c>
      <c r="H4463" t="s">
        <v>8571</v>
      </c>
      <c r="L4463" t="s">
        <v>1458</v>
      </c>
      <c r="M4463" t="s">
        <v>199</v>
      </c>
      <c r="R4463" t="s">
        <v>14186</v>
      </c>
      <c r="W4463" t="s">
        <v>1578</v>
      </c>
      <c r="X4463" t="s">
        <v>1459</v>
      </c>
      <c r="Y4463" t="s">
        <v>305</v>
      </c>
      <c r="Z4463" t="s">
        <v>117</v>
      </c>
      <c r="AA4463" t="str">
        <f>"14760-1100"</f>
        <v>14760-1100</v>
      </c>
      <c r="AB4463" t="s">
        <v>1460</v>
      </c>
      <c r="AC4463" t="s">
        <v>119</v>
      </c>
      <c r="AD4463" t="s">
        <v>113</v>
      </c>
      <c r="AE4463" t="s">
        <v>120</v>
      </c>
      <c r="AG4463" t="s">
        <v>121</v>
      </c>
    </row>
    <row r="4464" spans="1:33" x14ac:dyDescent="0.25">
      <c r="A4464" t="str">
        <f>"1609162502"</f>
        <v>1609162502</v>
      </c>
      <c r="C4464" t="s">
        <v>23173</v>
      </c>
      <c r="G4464" t="s">
        <v>23174</v>
      </c>
      <c r="H4464" t="s">
        <v>1115</v>
      </c>
      <c r="J4464" t="s">
        <v>23175</v>
      </c>
      <c r="K4464" t="s">
        <v>303</v>
      </c>
      <c r="L4464" t="s">
        <v>229</v>
      </c>
      <c r="M4464" t="s">
        <v>113</v>
      </c>
      <c r="R4464" t="s">
        <v>23176</v>
      </c>
      <c r="S4464" t="s">
        <v>1994</v>
      </c>
      <c r="T4464" t="s">
        <v>116</v>
      </c>
      <c r="U4464" t="s">
        <v>117</v>
      </c>
      <c r="V4464" t="str">
        <f>"142041811"</f>
        <v>142041811</v>
      </c>
      <c r="AC4464" t="s">
        <v>119</v>
      </c>
      <c r="AD4464" t="s">
        <v>113</v>
      </c>
      <c r="AE4464" t="s">
        <v>306</v>
      </c>
      <c r="AG4464" t="s">
        <v>121</v>
      </c>
    </row>
    <row r="4465" spans="1:33" x14ac:dyDescent="0.25">
      <c r="C4465" t="s">
        <v>23177</v>
      </c>
      <c r="G4465" t="s">
        <v>23174</v>
      </c>
      <c r="H4465" t="s">
        <v>1115</v>
      </c>
      <c r="J4465" t="s">
        <v>23175</v>
      </c>
      <c r="K4465" t="s">
        <v>303</v>
      </c>
      <c r="L4465" t="s">
        <v>3095</v>
      </c>
      <c r="M4465" t="s">
        <v>113</v>
      </c>
      <c r="N4465" t="s">
        <v>23178</v>
      </c>
      <c r="O4465" t="s">
        <v>21543</v>
      </c>
      <c r="P4465" t="s">
        <v>117</v>
      </c>
      <c r="Q4465" t="str">
        <f>"14225"</f>
        <v>14225</v>
      </c>
      <c r="AC4465" t="s">
        <v>119</v>
      </c>
      <c r="AD4465" t="s">
        <v>113</v>
      </c>
      <c r="AE4465" t="s">
        <v>3098</v>
      </c>
      <c r="AG4465" t="s">
        <v>121</v>
      </c>
    </row>
    <row r="4466" spans="1:33" x14ac:dyDescent="0.25">
      <c r="C4466" t="s">
        <v>23179</v>
      </c>
      <c r="G4466" t="s">
        <v>23174</v>
      </c>
      <c r="H4466" t="s">
        <v>1115</v>
      </c>
      <c r="J4466" t="s">
        <v>23175</v>
      </c>
      <c r="K4466" t="s">
        <v>303</v>
      </c>
      <c r="L4466" t="s">
        <v>3095</v>
      </c>
      <c r="M4466" t="s">
        <v>113</v>
      </c>
      <c r="N4466" t="s">
        <v>23178</v>
      </c>
      <c r="O4466" t="s">
        <v>21543</v>
      </c>
      <c r="P4466" t="s">
        <v>117</v>
      </c>
      <c r="Q4466" t="str">
        <f>"14225"</f>
        <v>14225</v>
      </c>
      <c r="AC4466" t="s">
        <v>119</v>
      </c>
      <c r="AD4466" t="s">
        <v>113</v>
      </c>
      <c r="AE4466" t="s">
        <v>3098</v>
      </c>
      <c r="AG4466" t="s">
        <v>121</v>
      </c>
    </row>
    <row r="4467" spans="1:33" x14ac:dyDescent="0.25">
      <c r="C4467" t="s">
        <v>23180</v>
      </c>
      <c r="G4467" t="s">
        <v>23174</v>
      </c>
      <c r="H4467" t="s">
        <v>1115</v>
      </c>
      <c r="J4467" t="s">
        <v>23175</v>
      </c>
      <c r="K4467" t="s">
        <v>303</v>
      </c>
      <c r="L4467" t="s">
        <v>3095</v>
      </c>
      <c r="M4467" t="s">
        <v>113</v>
      </c>
      <c r="N4467" t="s">
        <v>23178</v>
      </c>
      <c r="O4467" t="s">
        <v>21543</v>
      </c>
      <c r="P4467" t="s">
        <v>117</v>
      </c>
      <c r="Q4467" t="str">
        <f>"14225"</f>
        <v>14225</v>
      </c>
      <c r="AC4467" t="s">
        <v>119</v>
      </c>
      <c r="AD4467" t="s">
        <v>113</v>
      </c>
      <c r="AE4467" t="s">
        <v>3098</v>
      </c>
      <c r="AG4467" t="s">
        <v>121</v>
      </c>
    </row>
    <row r="4468" spans="1:33" x14ac:dyDescent="0.25">
      <c r="A4468" t="str">
        <f>"1912161530"</f>
        <v>1912161530</v>
      </c>
      <c r="B4468" t="str">
        <f>"03103335"</f>
        <v>03103335</v>
      </c>
      <c r="C4468" t="s">
        <v>23181</v>
      </c>
      <c r="D4468" t="s">
        <v>23182</v>
      </c>
      <c r="E4468" t="s">
        <v>23183</v>
      </c>
      <c r="G4468" t="s">
        <v>23181</v>
      </c>
      <c r="J4468" t="s">
        <v>23184</v>
      </c>
      <c r="L4468" t="s">
        <v>112</v>
      </c>
      <c r="M4468" t="s">
        <v>113</v>
      </c>
      <c r="R4468" t="s">
        <v>23185</v>
      </c>
      <c r="W4468" t="s">
        <v>23186</v>
      </c>
      <c r="X4468" t="s">
        <v>136</v>
      </c>
      <c r="Y4468" t="s">
        <v>116</v>
      </c>
      <c r="Z4468" t="s">
        <v>117</v>
      </c>
      <c r="AA4468" t="str">
        <f>"14209-1120"</f>
        <v>14209-1120</v>
      </c>
      <c r="AB4468" t="s">
        <v>118</v>
      </c>
      <c r="AC4468" t="s">
        <v>119</v>
      </c>
      <c r="AD4468" t="s">
        <v>113</v>
      </c>
      <c r="AE4468" t="s">
        <v>120</v>
      </c>
      <c r="AG4468" t="s">
        <v>121</v>
      </c>
    </row>
    <row r="4469" spans="1:33" x14ac:dyDescent="0.25">
      <c r="A4469" t="str">
        <f>"1912169681"</f>
        <v>1912169681</v>
      </c>
      <c r="B4469" t="str">
        <f>"03114427"</f>
        <v>03114427</v>
      </c>
      <c r="C4469" t="s">
        <v>23187</v>
      </c>
      <c r="D4469" t="s">
        <v>23188</v>
      </c>
      <c r="E4469" t="s">
        <v>23189</v>
      </c>
      <c r="G4469" t="s">
        <v>23187</v>
      </c>
      <c r="H4469" t="s">
        <v>23190</v>
      </c>
      <c r="J4469" t="s">
        <v>438</v>
      </c>
      <c r="L4469" t="s">
        <v>1033</v>
      </c>
      <c r="M4469" t="s">
        <v>113</v>
      </c>
      <c r="R4469" t="s">
        <v>23191</v>
      </c>
      <c r="W4469" t="s">
        <v>23189</v>
      </c>
      <c r="X4469" t="s">
        <v>253</v>
      </c>
      <c r="Y4469" t="s">
        <v>116</v>
      </c>
      <c r="Z4469" t="s">
        <v>117</v>
      </c>
      <c r="AA4469" t="str">
        <f>"14215-3021"</f>
        <v>14215-3021</v>
      </c>
      <c r="AB4469" t="s">
        <v>118</v>
      </c>
      <c r="AC4469" t="s">
        <v>119</v>
      </c>
      <c r="AD4469" t="s">
        <v>113</v>
      </c>
      <c r="AE4469" t="s">
        <v>120</v>
      </c>
      <c r="AG4469" t="s">
        <v>121</v>
      </c>
    </row>
    <row r="4470" spans="1:33" x14ac:dyDescent="0.25">
      <c r="A4470" t="str">
        <f>"1912187717"</f>
        <v>1912187717</v>
      </c>
      <c r="B4470" t="str">
        <f>"03689503"</f>
        <v>03689503</v>
      </c>
      <c r="C4470" t="s">
        <v>23192</v>
      </c>
      <c r="D4470" t="s">
        <v>23193</v>
      </c>
      <c r="E4470" t="s">
        <v>23194</v>
      </c>
      <c r="G4470" t="s">
        <v>23195</v>
      </c>
      <c r="H4470" t="s">
        <v>23196</v>
      </c>
      <c r="L4470" t="s">
        <v>112</v>
      </c>
      <c r="M4470" t="s">
        <v>113</v>
      </c>
      <c r="R4470" t="s">
        <v>23195</v>
      </c>
      <c r="W4470" t="s">
        <v>23194</v>
      </c>
      <c r="X4470" t="s">
        <v>17420</v>
      </c>
      <c r="Y4470" t="s">
        <v>978</v>
      </c>
      <c r="Z4470" t="s">
        <v>117</v>
      </c>
      <c r="AA4470" t="str">
        <f>"14081-9706"</f>
        <v>14081-9706</v>
      </c>
      <c r="AB4470" t="s">
        <v>118</v>
      </c>
      <c r="AC4470" t="s">
        <v>119</v>
      </c>
      <c r="AD4470" t="s">
        <v>113</v>
      </c>
      <c r="AE4470" t="s">
        <v>120</v>
      </c>
      <c r="AG4470" t="s">
        <v>121</v>
      </c>
    </row>
    <row r="4471" spans="1:33" x14ac:dyDescent="0.25">
      <c r="A4471" t="str">
        <f>"1912227133"</f>
        <v>1912227133</v>
      </c>
      <c r="B4471" t="str">
        <f>"03627167"</f>
        <v>03627167</v>
      </c>
      <c r="C4471" t="s">
        <v>23197</v>
      </c>
      <c r="D4471" t="s">
        <v>23198</v>
      </c>
      <c r="E4471" t="s">
        <v>23199</v>
      </c>
      <c r="G4471" t="s">
        <v>23197</v>
      </c>
      <c r="H4471" t="s">
        <v>23200</v>
      </c>
      <c r="J4471" t="s">
        <v>23201</v>
      </c>
      <c r="L4471" t="s">
        <v>112</v>
      </c>
      <c r="M4471" t="s">
        <v>113</v>
      </c>
      <c r="R4471" t="s">
        <v>23202</v>
      </c>
      <c r="W4471" t="s">
        <v>23199</v>
      </c>
      <c r="X4471" t="s">
        <v>176</v>
      </c>
      <c r="Y4471" t="s">
        <v>116</v>
      </c>
      <c r="Z4471" t="s">
        <v>117</v>
      </c>
      <c r="AA4471" t="str">
        <f>"14203-1126"</f>
        <v>14203-1126</v>
      </c>
      <c r="AB4471" t="s">
        <v>118</v>
      </c>
      <c r="AC4471" t="s">
        <v>119</v>
      </c>
      <c r="AD4471" t="s">
        <v>113</v>
      </c>
      <c r="AE4471" t="s">
        <v>120</v>
      </c>
      <c r="AG4471" t="s">
        <v>121</v>
      </c>
    </row>
    <row r="4472" spans="1:33" x14ac:dyDescent="0.25">
      <c r="A4472" t="str">
        <f>"1912287137"</f>
        <v>1912287137</v>
      </c>
      <c r="B4472" t="str">
        <f>"03921579"</f>
        <v>03921579</v>
      </c>
      <c r="C4472" t="s">
        <v>23203</v>
      </c>
      <c r="D4472" t="s">
        <v>23204</v>
      </c>
      <c r="E4472" t="s">
        <v>23205</v>
      </c>
      <c r="G4472" t="s">
        <v>23203</v>
      </c>
      <c r="H4472" t="s">
        <v>1909</v>
      </c>
      <c r="J4472" t="s">
        <v>23206</v>
      </c>
      <c r="L4472" t="s">
        <v>150</v>
      </c>
      <c r="M4472" t="s">
        <v>113</v>
      </c>
      <c r="R4472" t="s">
        <v>23205</v>
      </c>
      <c r="W4472" t="s">
        <v>23205</v>
      </c>
      <c r="X4472" t="s">
        <v>2519</v>
      </c>
      <c r="Y4472" t="s">
        <v>958</v>
      </c>
      <c r="Z4472" t="s">
        <v>117</v>
      </c>
      <c r="AA4472" t="str">
        <f>"14226-1727"</f>
        <v>14226-1727</v>
      </c>
      <c r="AB4472" t="s">
        <v>118</v>
      </c>
      <c r="AC4472" t="s">
        <v>119</v>
      </c>
      <c r="AD4472" t="s">
        <v>113</v>
      </c>
      <c r="AE4472" t="s">
        <v>120</v>
      </c>
      <c r="AG4472" t="s">
        <v>121</v>
      </c>
    </row>
    <row r="4473" spans="1:33" x14ac:dyDescent="0.25">
      <c r="A4473" t="str">
        <f>"1912294471"</f>
        <v>1912294471</v>
      </c>
      <c r="B4473" t="str">
        <f>"03795764"</f>
        <v>03795764</v>
      </c>
      <c r="C4473" t="s">
        <v>23207</v>
      </c>
      <c r="D4473" t="s">
        <v>23208</v>
      </c>
      <c r="E4473" t="s">
        <v>23209</v>
      </c>
      <c r="G4473" t="s">
        <v>23207</v>
      </c>
      <c r="H4473" t="s">
        <v>23210</v>
      </c>
      <c r="J4473" t="s">
        <v>23211</v>
      </c>
      <c r="L4473" t="s">
        <v>142</v>
      </c>
      <c r="M4473" t="s">
        <v>113</v>
      </c>
      <c r="R4473" t="s">
        <v>23212</v>
      </c>
      <c r="W4473" t="s">
        <v>23209</v>
      </c>
      <c r="X4473" t="s">
        <v>253</v>
      </c>
      <c r="Y4473" t="s">
        <v>116</v>
      </c>
      <c r="Z4473" t="s">
        <v>117</v>
      </c>
      <c r="AA4473" t="str">
        <f>"14215-3021"</f>
        <v>14215-3021</v>
      </c>
      <c r="AB4473" t="s">
        <v>118</v>
      </c>
      <c r="AC4473" t="s">
        <v>119</v>
      </c>
      <c r="AD4473" t="s">
        <v>113</v>
      </c>
      <c r="AE4473" t="s">
        <v>120</v>
      </c>
      <c r="AG4473" t="s">
        <v>121</v>
      </c>
    </row>
    <row r="4474" spans="1:33" x14ac:dyDescent="0.25">
      <c r="A4474" t="str">
        <f>"1912337718"</f>
        <v>1912337718</v>
      </c>
      <c r="B4474" t="str">
        <f>"03776890"</f>
        <v>03776890</v>
      </c>
      <c r="C4474" t="s">
        <v>23213</v>
      </c>
      <c r="D4474" t="s">
        <v>23214</v>
      </c>
      <c r="E4474" t="s">
        <v>23215</v>
      </c>
      <c r="G4474" t="s">
        <v>1816</v>
      </c>
      <c r="H4474" t="s">
        <v>23216</v>
      </c>
      <c r="J4474" t="s">
        <v>1818</v>
      </c>
      <c r="L4474" t="s">
        <v>142</v>
      </c>
      <c r="M4474" t="s">
        <v>113</v>
      </c>
      <c r="R4474" t="s">
        <v>23217</v>
      </c>
      <c r="W4474" t="s">
        <v>23215</v>
      </c>
      <c r="X4474" t="s">
        <v>518</v>
      </c>
      <c r="Y4474" t="s">
        <v>305</v>
      </c>
      <c r="Z4474" t="s">
        <v>117</v>
      </c>
      <c r="AA4474" t="str">
        <f>"14760-1500"</f>
        <v>14760-1500</v>
      </c>
      <c r="AB4474" t="s">
        <v>528</v>
      </c>
      <c r="AC4474" t="s">
        <v>119</v>
      </c>
      <c r="AD4474" t="s">
        <v>113</v>
      </c>
      <c r="AE4474" t="s">
        <v>120</v>
      </c>
      <c r="AG4474" t="s">
        <v>121</v>
      </c>
    </row>
    <row r="4475" spans="1:33" x14ac:dyDescent="0.25">
      <c r="A4475" t="str">
        <f>"1912340225"</f>
        <v>1912340225</v>
      </c>
      <c r="B4475" t="str">
        <f>"03608573"</f>
        <v>03608573</v>
      </c>
      <c r="C4475" t="s">
        <v>23218</v>
      </c>
      <c r="D4475" t="s">
        <v>23219</v>
      </c>
      <c r="E4475" t="s">
        <v>23220</v>
      </c>
      <c r="G4475" t="s">
        <v>23221</v>
      </c>
      <c r="H4475" t="s">
        <v>2252</v>
      </c>
      <c r="J4475" t="s">
        <v>23222</v>
      </c>
      <c r="L4475" t="s">
        <v>112</v>
      </c>
      <c r="M4475" t="s">
        <v>113</v>
      </c>
      <c r="R4475" t="s">
        <v>23223</v>
      </c>
      <c r="W4475" t="s">
        <v>23224</v>
      </c>
      <c r="X4475" t="s">
        <v>3566</v>
      </c>
      <c r="Y4475" t="s">
        <v>377</v>
      </c>
      <c r="Z4475" t="s">
        <v>117</v>
      </c>
      <c r="AA4475" t="str">
        <f>"14217-1304"</f>
        <v>14217-1304</v>
      </c>
      <c r="AB4475" t="s">
        <v>118</v>
      </c>
      <c r="AC4475" t="s">
        <v>119</v>
      </c>
      <c r="AD4475" t="s">
        <v>113</v>
      </c>
      <c r="AE4475" t="s">
        <v>120</v>
      </c>
      <c r="AG4475" t="s">
        <v>121</v>
      </c>
    </row>
    <row r="4476" spans="1:33" x14ac:dyDescent="0.25">
      <c r="A4476" t="str">
        <f>"1912903253"</f>
        <v>1912903253</v>
      </c>
      <c r="B4476" t="str">
        <f>"02387566"</f>
        <v>02387566</v>
      </c>
      <c r="C4476" t="s">
        <v>23225</v>
      </c>
      <c r="D4476" t="s">
        <v>23226</v>
      </c>
      <c r="E4476" t="s">
        <v>23227</v>
      </c>
      <c r="G4476" t="s">
        <v>23228</v>
      </c>
      <c r="H4476" t="s">
        <v>23229</v>
      </c>
      <c r="L4476" t="s">
        <v>142</v>
      </c>
      <c r="M4476" t="s">
        <v>113</v>
      </c>
      <c r="R4476" t="s">
        <v>23228</v>
      </c>
      <c r="W4476" t="s">
        <v>23227</v>
      </c>
      <c r="X4476" t="s">
        <v>23230</v>
      </c>
      <c r="Y4476" t="s">
        <v>22644</v>
      </c>
      <c r="Z4476" t="s">
        <v>1535</v>
      </c>
      <c r="AA4476" t="str">
        <f>"16365"</f>
        <v>16365</v>
      </c>
      <c r="AB4476" t="s">
        <v>118</v>
      </c>
      <c r="AC4476" t="s">
        <v>119</v>
      </c>
      <c r="AD4476" t="s">
        <v>113</v>
      </c>
      <c r="AE4476" t="s">
        <v>120</v>
      </c>
      <c r="AG4476" t="s">
        <v>121</v>
      </c>
    </row>
    <row r="4477" spans="1:33" x14ac:dyDescent="0.25">
      <c r="A4477" t="str">
        <f>"1912926809"</f>
        <v>1912926809</v>
      </c>
      <c r="B4477" t="str">
        <f>"02070895"</f>
        <v>02070895</v>
      </c>
      <c r="C4477" t="s">
        <v>23231</v>
      </c>
      <c r="D4477" t="s">
        <v>23232</v>
      </c>
      <c r="E4477" t="s">
        <v>23233</v>
      </c>
      <c r="G4477" t="s">
        <v>23234</v>
      </c>
      <c r="H4477" t="s">
        <v>23235</v>
      </c>
      <c r="J4477" t="s">
        <v>23236</v>
      </c>
      <c r="L4477" t="s">
        <v>142</v>
      </c>
      <c r="M4477" t="s">
        <v>113</v>
      </c>
      <c r="R4477" t="s">
        <v>23237</v>
      </c>
      <c r="W4477" t="s">
        <v>23233</v>
      </c>
      <c r="X4477" t="s">
        <v>23238</v>
      </c>
      <c r="Y4477" t="s">
        <v>116</v>
      </c>
      <c r="Z4477" t="s">
        <v>117</v>
      </c>
      <c r="AA4477" t="str">
        <f>"14209-2412"</f>
        <v>14209-2412</v>
      </c>
      <c r="AB4477" t="s">
        <v>118</v>
      </c>
      <c r="AC4477" t="s">
        <v>119</v>
      </c>
      <c r="AD4477" t="s">
        <v>113</v>
      </c>
      <c r="AE4477" t="s">
        <v>120</v>
      </c>
      <c r="AG4477" t="s">
        <v>121</v>
      </c>
    </row>
    <row r="4478" spans="1:33" x14ac:dyDescent="0.25">
      <c r="A4478" t="str">
        <f>"1912928599"</f>
        <v>1912928599</v>
      </c>
      <c r="B4478" t="str">
        <f>"00718052"</f>
        <v>00718052</v>
      </c>
      <c r="C4478" t="s">
        <v>23239</v>
      </c>
      <c r="D4478" t="s">
        <v>23240</v>
      </c>
      <c r="E4478" t="s">
        <v>23241</v>
      </c>
      <c r="G4478" t="s">
        <v>23242</v>
      </c>
      <c r="H4478" t="s">
        <v>4132</v>
      </c>
      <c r="I4478">
        <v>7283</v>
      </c>
      <c r="J4478" t="s">
        <v>23243</v>
      </c>
      <c r="L4478" t="s">
        <v>69</v>
      </c>
      <c r="M4478" t="s">
        <v>113</v>
      </c>
      <c r="R4478" t="s">
        <v>23239</v>
      </c>
      <c r="W4478" t="s">
        <v>23244</v>
      </c>
      <c r="X4478" t="s">
        <v>216</v>
      </c>
      <c r="Y4478" t="s">
        <v>116</v>
      </c>
      <c r="Z4478" t="s">
        <v>117</v>
      </c>
      <c r="AA4478" t="str">
        <f>"14222-2006"</f>
        <v>14222-2006</v>
      </c>
      <c r="AB4478" t="s">
        <v>872</v>
      </c>
      <c r="AC4478" t="s">
        <v>119</v>
      </c>
      <c r="AD4478" t="s">
        <v>113</v>
      </c>
      <c r="AE4478" t="s">
        <v>120</v>
      </c>
      <c r="AG4478" t="s">
        <v>121</v>
      </c>
    </row>
    <row r="4479" spans="1:33" x14ac:dyDescent="0.25">
      <c r="A4479" t="str">
        <f>"1912936121"</f>
        <v>1912936121</v>
      </c>
      <c r="B4479" t="str">
        <f>"02505493"</f>
        <v>02505493</v>
      </c>
      <c r="C4479" t="s">
        <v>23245</v>
      </c>
      <c r="D4479" t="s">
        <v>23246</v>
      </c>
      <c r="E4479" t="s">
        <v>23247</v>
      </c>
      <c r="G4479" t="s">
        <v>23245</v>
      </c>
      <c r="H4479" t="s">
        <v>5291</v>
      </c>
      <c r="J4479" t="s">
        <v>23248</v>
      </c>
      <c r="L4479" t="s">
        <v>150</v>
      </c>
      <c r="M4479" t="s">
        <v>199</v>
      </c>
      <c r="R4479" t="s">
        <v>23249</v>
      </c>
      <c r="W4479" t="s">
        <v>23250</v>
      </c>
      <c r="X4479" t="s">
        <v>23251</v>
      </c>
      <c r="Y4479" t="s">
        <v>116</v>
      </c>
      <c r="Z4479" t="s">
        <v>117</v>
      </c>
      <c r="AA4479" t="str">
        <f>"14220-2039"</f>
        <v>14220-2039</v>
      </c>
      <c r="AB4479" t="s">
        <v>118</v>
      </c>
      <c r="AC4479" t="s">
        <v>119</v>
      </c>
      <c r="AD4479" t="s">
        <v>113</v>
      </c>
      <c r="AE4479" t="s">
        <v>120</v>
      </c>
      <c r="AG4479" t="s">
        <v>121</v>
      </c>
    </row>
    <row r="4480" spans="1:33" x14ac:dyDescent="0.25">
      <c r="A4480" t="str">
        <f>"1912940446"</f>
        <v>1912940446</v>
      </c>
      <c r="B4480" t="str">
        <f>"01174267"</f>
        <v>01174267</v>
      </c>
      <c r="C4480" t="s">
        <v>23252</v>
      </c>
      <c r="D4480" t="s">
        <v>23253</v>
      </c>
      <c r="E4480" t="s">
        <v>23254</v>
      </c>
      <c r="G4480" t="s">
        <v>23252</v>
      </c>
      <c r="H4480" t="s">
        <v>1478</v>
      </c>
      <c r="J4480" t="s">
        <v>23255</v>
      </c>
      <c r="L4480" t="s">
        <v>142</v>
      </c>
      <c r="M4480" t="s">
        <v>113</v>
      </c>
      <c r="R4480" t="s">
        <v>23256</v>
      </c>
      <c r="W4480" t="s">
        <v>23254</v>
      </c>
      <c r="X4480" t="s">
        <v>838</v>
      </c>
      <c r="Y4480" t="s">
        <v>240</v>
      </c>
      <c r="Z4480" t="s">
        <v>117</v>
      </c>
      <c r="AA4480" t="str">
        <f>"14221-3647"</f>
        <v>14221-3647</v>
      </c>
      <c r="AB4480" t="s">
        <v>118</v>
      </c>
      <c r="AC4480" t="s">
        <v>119</v>
      </c>
      <c r="AD4480" t="s">
        <v>113</v>
      </c>
      <c r="AE4480" t="s">
        <v>120</v>
      </c>
      <c r="AG4480" t="s">
        <v>121</v>
      </c>
    </row>
    <row r="4481" spans="1:33" x14ac:dyDescent="0.25">
      <c r="A4481" t="str">
        <f>"1912948092"</f>
        <v>1912948092</v>
      </c>
      <c r="B4481" t="str">
        <f>"01007354"</f>
        <v>01007354</v>
      </c>
      <c r="C4481" t="s">
        <v>23257</v>
      </c>
      <c r="D4481" t="s">
        <v>23258</v>
      </c>
      <c r="E4481" t="s">
        <v>23259</v>
      </c>
      <c r="G4481" t="s">
        <v>23257</v>
      </c>
      <c r="H4481" t="s">
        <v>23260</v>
      </c>
      <c r="J4481" t="s">
        <v>23261</v>
      </c>
      <c r="L4481" t="s">
        <v>150</v>
      </c>
      <c r="M4481" t="s">
        <v>113</v>
      </c>
      <c r="R4481" t="s">
        <v>23262</v>
      </c>
      <c r="W4481" t="s">
        <v>23259</v>
      </c>
      <c r="X4481" t="s">
        <v>176</v>
      </c>
      <c r="Y4481" t="s">
        <v>116</v>
      </c>
      <c r="Z4481" t="s">
        <v>117</v>
      </c>
      <c r="AA4481" t="str">
        <f>"14203-1126"</f>
        <v>14203-1126</v>
      </c>
      <c r="AB4481" t="s">
        <v>118</v>
      </c>
      <c r="AC4481" t="s">
        <v>119</v>
      </c>
      <c r="AD4481" t="s">
        <v>113</v>
      </c>
      <c r="AE4481" t="s">
        <v>120</v>
      </c>
      <c r="AG4481" t="s">
        <v>121</v>
      </c>
    </row>
    <row r="4482" spans="1:33" x14ac:dyDescent="0.25">
      <c r="A4482" t="str">
        <f>"1912956285"</f>
        <v>1912956285</v>
      </c>
      <c r="B4482" t="str">
        <f>"00761904"</f>
        <v>00761904</v>
      </c>
      <c r="C4482" t="s">
        <v>23263</v>
      </c>
      <c r="D4482" t="s">
        <v>23264</v>
      </c>
      <c r="E4482" t="s">
        <v>23265</v>
      </c>
      <c r="G4482" t="s">
        <v>23263</v>
      </c>
      <c r="H4482" t="s">
        <v>1478</v>
      </c>
      <c r="J4482" t="s">
        <v>23266</v>
      </c>
      <c r="L4482" t="s">
        <v>142</v>
      </c>
      <c r="M4482" t="s">
        <v>113</v>
      </c>
      <c r="R4482" t="s">
        <v>23267</v>
      </c>
      <c r="W4482" t="s">
        <v>23265</v>
      </c>
      <c r="X4482" t="s">
        <v>784</v>
      </c>
      <c r="Y4482" t="s">
        <v>116</v>
      </c>
      <c r="Z4482" t="s">
        <v>117</v>
      </c>
      <c r="AA4482" t="str">
        <f>"14223"</f>
        <v>14223</v>
      </c>
      <c r="AB4482" t="s">
        <v>118</v>
      </c>
      <c r="AC4482" t="s">
        <v>119</v>
      </c>
      <c r="AD4482" t="s">
        <v>113</v>
      </c>
      <c r="AE4482" t="s">
        <v>120</v>
      </c>
      <c r="AG4482" t="s">
        <v>121</v>
      </c>
    </row>
    <row r="4483" spans="1:33" x14ac:dyDescent="0.25">
      <c r="A4483" t="str">
        <f>"1912968710"</f>
        <v>1912968710</v>
      </c>
      <c r="B4483" t="str">
        <f>"02870033"</f>
        <v>02870033</v>
      </c>
      <c r="C4483" t="s">
        <v>23268</v>
      </c>
      <c r="D4483" t="s">
        <v>23269</v>
      </c>
      <c r="E4483" t="s">
        <v>23270</v>
      </c>
      <c r="G4483" t="s">
        <v>23271</v>
      </c>
      <c r="H4483" t="s">
        <v>12324</v>
      </c>
      <c r="J4483" t="s">
        <v>23272</v>
      </c>
      <c r="L4483" t="s">
        <v>112</v>
      </c>
      <c r="M4483" t="s">
        <v>113</v>
      </c>
      <c r="R4483" t="s">
        <v>23273</v>
      </c>
      <c r="W4483" t="s">
        <v>23270</v>
      </c>
      <c r="X4483" t="s">
        <v>253</v>
      </c>
      <c r="Y4483" t="s">
        <v>116</v>
      </c>
      <c r="Z4483" t="s">
        <v>117</v>
      </c>
      <c r="AA4483" t="str">
        <f>"14215-3021"</f>
        <v>14215-3021</v>
      </c>
      <c r="AB4483" t="s">
        <v>118</v>
      </c>
      <c r="AC4483" t="s">
        <v>119</v>
      </c>
      <c r="AD4483" t="s">
        <v>113</v>
      </c>
      <c r="AE4483" t="s">
        <v>120</v>
      </c>
      <c r="AG4483" t="s">
        <v>121</v>
      </c>
    </row>
    <row r="4484" spans="1:33" x14ac:dyDescent="0.25">
      <c r="A4484" t="str">
        <f>"1912969304"</f>
        <v>1912969304</v>
      </c>
      <c r="B4484" t="str">
        <f>"01703924"</f>
        <v>01703924</v>
      </c>
      <c r="C4484" t="s">
        <v>23274</v>
      </c>
      <c r="D4484" t="s">
        <v>23275</v>
      </c>
      <c r="E4484" t="s">
        <v>23276</v>
      </c>
      <c r="G4484" t="s">
        <v>23274</v>
      </c>
      <c r="H4484" t="s">
        <v>165</v>
      </c>
      <c r="J4484" t="s">
        <v>23277</v>
      </c>
      <c r="L4484" t="s">
        <v>150</v>
      </c>
      <c r="M4484" t="s">
        <v>113</v>
      </c>
      <c r="R4484" t="s">
        <v>23278</v>
      </c>
      <c r="W4484" t="s">
        <v>23279</v>
      </c>
      <c r="X4484" t="s">
        <v>1648</v>
      </c>
      <c r="Y4484" t="s">
        <v>116</v>
      </c>
      <c r="Z4484" t="s">
        <v>117</v>
      </c>
      <c r="AA4484" t="str">
        <f>"14214-2648"</f>
        <v>14214-2648</v>
      </c>
      <c r="AB4484" t="s">
        <v>118</v>
      </c>
      <c r="AC4484" t="s">
        <v>119</v>
      </c>
      <c r="AD4484" t="s">
        <v>113</v>
      </c>
      <c r="AE4484" t="s">
        <v>120</v>
      </c>
      <c r="AG4484" t="s">
        <v>121</v>
      </c>
    </row>
    <row r="4485" spans="1:33" x14ac:dyDescent="0.25">
      <c r="A4485" t="str">
        <f>"1912971250"</f>
        <v>1912971250</v>
      </c>
      <c r="B4485" t="str">
        <f>"01110109"</f>
        <v>01110109</v>
      </c>
      <c r="C4485" t="s">
        <v>23280</v>
      </c>
      <c r="D4485" t="s">
        <v>23281</v>
      </c>
      <c r="E4485" t="s">
        <v>23282</v>
      </c>
      <c r="G4485" t="s">
        <v>23280</v>
      </c>
      <c r="H4485" t="s">
        <v>23283</v>
      </c>
      <c r="J4485" t="s">
        <v>23284</v>
      </c>
      <c r="L4485" t="s">
        <v>142</v>
      </c>
      <c r="M4485" t="s">
        <v>199</v>
      </c>
      <c r="R4485" t="s">
        <v>23285</v>
      </c>
      <c r="W4485" t="s">
        <v>23286</v>
      </c>
      <c r="X4485" t="s">
        <v>23287</v>
      </c>
      <c r="Y4485" t="s">
        <v>232</v>
      </c>
      <c r="Z4485" t="s">
        <v>117</v>
      </c>
      <c r="AA4485" t="str">
        <f>"10007-0000"</f>
        <v>10007-0000</v>
      </c>
      <c r="AB4485" t="s">
        <v>118</v>
      </c>
      <c r="AC4485" t="s">
        <v>119</v>
      </c>
      <c r="AD4485" t="s">
        <v>113</v>
      </c>
      <c r="AE4485" t="s">
        <v>120</v>
      </c>
      <c r="AG4485" t="s">
        <v>121</v>
      </c>
    </row>
    <row r="4486" spans="1:33" x14ac:dyDescent="0.25">
      <c r="A4486" t="str">
        <f>"1912973025"</f>
        <v>1912973025</v>
      </c>
      <c r="B4486" t="str">
        <f>"01344518"</f>
        <v>01344518</v>
      </c>
      <c r="C4486" t="s">
        <v>23288</v>
      </c>
      <c r="D4486" t="s">
        <v>23289</v>
      </c>
      <c r="E4486" t="s">
        <v>23290</v>
      </c>
      <c r="G4486" t="s">
        <v>23288</v>
      </c>
      <c r="H4486" t="s">
        <v>5982</v>
      </c>
      <c r="J4486" t="s">
        <v>23291</v>
      </c>
      <c r="L4486" t="s">
        <v>112</v>
      </c>
      <c r="M4486" t="s">
        <v>113</v>
      </c>
      <c r="R4486" t="s">
        <v>23292</v>
      </c>
      <c r="W4486" t="s">
        <v>23290</v>
      </c>
      <c r="Y4486" t="s">
        <v>116</v>
      </c>
      <c r="Z4486" t="s">
        <v>117</v>
      </c>
      <c r="AA4486" t="str">
        <f>"14215-1145"</f>
        <v>14215-1145</v>
      </c>
      <c r="AB4486" t="s">
        <v>118</v>
      </c>
      <c r="AC4486" t="s">
        <v>119</v>
      </c>
      <c r="AD4486" t="s">
        <v>113</v>
      </c>
      <c r="AE4486" t="s">
        <v>120</v>
      </c>
      <c r="AG4486" t="s">
        <v>121</v>
      </c>
    </row>
    <row r="4487" spans="1:33" x14ac:dyDescent="0.25">
      <c r="A4487" t="str">
        <f>"1912976515"</f>
        <v>1912976515</v>
      </c>
      <c r="B4487" t="str">
        <f>"01943668"</f>
        <v>01943668</v>
      </c>
      <c r="C4487" t="s">
        <v>23293</v>
      </c>
      <c r="D4487" t="s">
        <v>23294</v>
      </c>
      <c r="E4487" t="s">
        <v>23295</v>
      </c>
      <c r="G4487" t="s">
        <v>23296</v>
      </c>
      <c r="H4487" t="s">
        <v>23297</v>
      </c>
      <c r="J4487" t="s">
        <v>23298</v>
      </c>
      <c r="L4487" t="s">
        <v>20</v>
      </c>
      <c r="M4487" t="s">
        <v>113</v>
      </c>
      <c r="R4487" t="s">
        <v>20019</v>
      </c>
      <c r="W4487" t="s">
        <v>23299</v>
      </c>
      <c r="X4487" t="s">
        <v>23300</v>
      </c>
      <c r="Y4487" t="s">
        <v>153</v>
      </c>
      <c r="Z4487" t="s">
        <v>117</v>
      </c>
      <c r="AA4487" t="str">
        <f>"14304-4705"</f>
        <v>14304-4705</v>
      </c>
      <c r="AB4487" t="s">
        <v>5777</v>
      </c>
      <c r="AC4487" t="s">
        <v>119</v>
      </c>
      <c r="AD4487" t="s">
        <v>113</v>
      </c>
      <c r="AE4487" t="s">
        <v>120</v>
      </c>
      <c r="AG4487" t="s">
        <v>121</v>
      </c>
    </row>
    <row r="4488" spans="1:33" x14ac:dyDescent="0.25">
      <c r="A4488" t="str">
        <f>"1912985904"</f>
        <v>1912985904</v>
      </c>
      <c r="B4488" t="str">
        <f>"01154094"</f>
        <v>01154094</v>
      </c>
      <c r="C4488" t="s">
        <v>23301</v>
      </c>
      <c r="D4488" t="s">
        <v>23302</v>
      </c>
      <c r="E4488" t="s">
        <v>23303</v>
      </c>
      <c r="G4488" t="s">
        <v>23301</v>
      </c>
      <c r="H4488" t="s">
        <v>579</v>
      </c>
      <c r="J4488" t="s">
        <v>23304</v>
      </c>
      <c r="L4488" t="s">
        <v>142</v>
      </c>
      <c r="M4488" t="s">
        <v>113</v>
      </c>
      <c r="R4488" t="s">
        <v>23305</v>
      </c>
      <c r="W4488" t="s">
        <v>23303</v>
      </c>
      <c r="X4488" t="s">
        <v>23306</v>
      </c>
      <c r="Y4488" t="s">
        <v>889</v>
      </c>
      <c r="Z4488" t="s">
        <v>117</v>
      </c>
      <c r="AA4488" t="str">
        <f>"14120"</f>
        <v>14120</v>
      </c>
      <c r="AB4488" t="s">
        <v>118</v>
      </c>
      <c r="AC4488" t="s">
        <v>119</v>
      </c>
      <c r="AD4488" t="s">
        <v>113</v>
      </c>
      <c r="AE4488" t="s">
        <v>120</v>
      </c>
      <c r="AG4488" t="s">
        <v>121</v>
      </c>
    </row>
    <row r="4489" spans="1:33" x14ac:dyDescent="0.25">
      <c r="C4489" t="s">
        <v>23307</v>
      </c>
      <c r="G4489" t="s">
        <v>23308</v>
      </c>
      <c r="H4489" t="s">
        <v>23309</v>
      </c>
      <c r="J4489" t="s">
        <v>23310</v>
      </c>
      <c r="K4489" t="s">
        <v>303</v>
      </c>
      <c r="L4489" t="s">
        <v>3095</v>
      </c>
      <c r="M4489" t="s">
        <v>113</v>
      </c>
      <c r="AC4489" t="s">
        <v>119</v>
      </c>
      <c r="AD4489" t="s">
        <v>113</v>
      </c>
      <c r="AE4489" t="s">
        <v>3098</v>
      </c>
      <c r="AG4489" t="s">
        <v>121</v>
      </c>
    </row>
    <row r="4490" spans="1:33" x14ac:dyDescent="0.25">
      <c r="C4490" t="s">
        <v>23311</v>
      </c>
      <c r="G4490" t="s">
        <v>23311</v>
      </c>
      <c r="J4490" t="s">
        <v>438</v>
      </c>
      <c r="K4490" t="s">
        <v>303</v>
      </c>
      <c r="L4490" t="s">
        <v>3095</v>
      </c>
      <c r="M4490" t="s">
        <v>113</v>
      </c>
      <c r="AC4490" t="s">
        <v>119</v>
      </c>
      <c r="AD4490" t="s">
        <v>113</v>
      </c>
      <c r="AE4490" t="s">
        <v>3098</v>
      </c>
      <c r="AG4490" t="s">
        <v>121</v>
      </c>
    </row>
    <row r="4491" spans="1:33" x14ac:dyDescent="0.25">
      <c r="C4491" t="s">
        <v>7276</v>
      </c>
      <c r="G4491" t="s">
        <v>7276</v>
      </c>
      <c r="J4491" t="s">
        <v>352</v>
      </c>
      <c r="K4491" t="s">
        <v>303</v>
      </c>
      <c r="L4491" t="s">
        <v>3095</v>
      </c>
      <c r="M4491" t="s">
        <v>113</v>
      </c>
      <c r="AC4491" t="s">
        <v>119</v>
      </c>
      <c r="AD4491" t="s">
        <v>113</v>
      </c>
      <c r="AE4491" t="s">
        <v>3098</v>
      </c>
      <c r="AG4491" t="s">
        <v>121</v>
      </c>
    </row>
    <row r="4492" spans="1:33" x14ac:dyDescent="0.25">
      <c r="C4492" t="s">
        <v>10876</v>
      </c>
      <c r="G4492" t="s">
        <v>10876</v>
      </c>
      <c r="J4492" t="s">
        <v>352</v>
      </c>
      <c r="K4492" t="s">
        <v>303</v>
      </c>
      <c r="L4492" t="s">
        <v>3095</v>
      </c>
      <c r="M4492" t="s">
        <v>113</v>
      </c>
      <c r="AC4492" t="s">
        <v>119</v>
      </c>
      <c r="AD4492" t="s">
        <v>113</v>
      </c>
      <c r="AE4492" t="s">
        <v>3098</v>
      </c>
      <c r="AG4492" t="s">
        <v>121</v>
      </c>
    </row>
    <row r="4493" spans="1:33" x14ac:dyDescent="0.25">
      <c r="C4493" t="s">
        <v>2459</v>
      </c>
      <c r="G4493" t="s">
        <v>2459</v>
      </c>
      <c r="J4493" t="s">
        <v>352</v>
      </c>
      <c r="K4493" t="s">
        <v>303</v>
      </c>
      <c r="L4493" t="s">
        <v>3095</v>
      </c>
      <c r="M4493" t="s">
        <v>113</v>
      </c>
      <c r="AC4493" t="s">
        <v>119</v>
      </c>
      <c r="AD4493" t="s">
        <v>113</v>
      </c>
      <c r="AE4493" t="s">
        <v>3098</v>
      </c>
      <c r="AG4493" t="s">
        <v>121</v>
      </c>
    </row>
    <row r="4494" spans="1:33" x14ac:dyDescent="0.25">
      <c r="C4494" t="s">
        <v>17840</v>
      </c>
      <c r="G4494" t="s">
        <v>17840</v>
      </c>
      <c r="J4494" t="s">
        <v>352</v>
      </c>
      <c r="K4494" t="s">
        <v>303</v>
      </c>
      <c r="L4494" t="s">
        <v>3095</v>
      </c>
      <c r="M4494" t="s">
        <v>113</v>
      </c>
      <c r="AC4494" t="s">
        <v>119</v>
      </c>
      <c r="AD4494" t="s">
        <v>113</v>
      </c>
      <c r="AE4494" t="s">
        <v>3098</v>
      </c>
      <c r="AG4494" t="s">
        <v>121</v>
      </c>
    </row>
    <row r="4495" spans="1:33" x14ac:dyDescent="0.25">
      <c r="C4495" t="s">
        <v>13173</v>
      </c>
      <c r="G4495" t="s">
        <v>13173</v>
      </c>
      <c r="J4495" t="s">
        <v>352</v>
      </c>
      <c r="K4495" t="s">
        <v>303</v>
      </c>
      <c r="L4495" t="s">
        <v>3095</v>
      </c>
      <c r="M4495" t="s">
        <v>113</v>
      </c>
      <c r="AC4495" t="s">
        <v>119</v>
      </c>
      <c r="AD4495" t="s">
        <v>113</v>
      </c>
      <c r="AE4495" t="s">
        <v>3098</v>
      </c>
      <c r="AG4495" t="s">
        <v>121</v>
      </c>
    </row>
    <row r="4496" spans="1:33" x14ac:dyDescent="0.25">
      <c r="A4496" t="str">
        <f>"1255637302"</f>
        <v>1255637302</v>
      </c>
      <c r="C4496" t="s">
        <v>23312</v>
      </c>
      <c r="G4496" t="s">
        <v>22521</v>
      </c>
      <c r="H4496" t="s">
        <v>23313</v>
      </c>
      <c r="I4496">
        <v>3317</v>
      </c>
      <c r="J4496" t="s">
        <v>22522</v>
      </c>
      <c r="K4496" t="s">
        <v>303</v>
      </c>
      <c r="L4496" t="s">
        <v>229</v>
      </c>
      <c r="M4496" t="s">
        <v>113</v>
      </c>
      <c r="R4496" t="s">
        <v>23314</v>
      </c>
      <c r="S4496" t="s">
        <v>22524</v>
      </c>
      <c r="T4496" t="s">
        <v>305</v>
      </c>
      <c r="U4496" t="s">
        <v>117</v>
      </c>
      <c r="V4496" t="str">
        <f>"147601100"</f>
        <v>147601100</v>
      </c>
      <c r="AC4496" t="s">
        <v>119</v>
      </c>
      <c r="AD4496" t="s">
        <v>113</v>
      </c>
      <c r="AE4496" t="s">
        <v>306</v>
      </c>
      <c r="AG4496" t="s">
        <v>121</v>
      </c>
    </row>
    <row r="4497" spans="1:33" x14ac:dyDescent="0.25">
      <c r="A4497" t="str">
        <f>"1164625521"</f>
        <v>1164625521</v>
      </c>
      <c r="C4497" t="s">
        <v>23315</v>
      </c>
      <c r="G4497" t="s">
        <v>22521</v>
      </c>
      <c r="H4497" t="s">
        <v>23316</v>
      </c>
      <c r="I4497">
        <v>3318</v>
      </c>
      <c r="J4497" t="s">
        <v>22522</v>
      </c>
      <c r="K4497" t="s">
        <v>303</v>
      </c>
      <c r="L4497" t="s">
        <v>112</v>
      </c>
      <c r="M4497" t="s">
        <v>113</v>
      </c>
      <c r="R4497" t="s">
        <v>23317</v>
      </c>
      <c r="S4497" t="s">
        <v>22524</v>
      </c>
      <c r="T4497" t="s">
        <v>305</v>
      </c>
      <c r="U4497" t="s">
        <v>117</v>
      </c>
      <c r="V4497" t="str">
        <f>"147601100"</f>
        <v>147601100</v>
      </c>
      <c r="AC4497" t="s">
        <v>119</v>
      </c>
      <c r="AD4497" t="s">
        <v>113</v>
      </c>
      <c r="AE4497" t="s">
        <v>306</v>
      </c>
      <c r="AG4497" t="s">
        <v>121</v>
      </c>
    </row>
    <row r="4498" spans="1:33" x14ac:dyDescent="0.25">
      <c r="A4498" t="str">
        <f>"1144404815"</f>
        <v>1144404815</v>
      </c>
      <c r="C4498" t="s">
        <v>23318</v>
      </c>
      <c r="G4498" t="s">
        <v>22521</v>
      </c>
      <c r="H4498" t="s">
        <v>23319</v>
      </c>
      <c r="I4498">
        <v>3319</v>
      </c>
      <c r="J4498" t="s">
        <v>22522</v>
      </c>
      <c r="K4498" t="s">
        <v>303</v>
      </c>
      <c r="L4498" t="s">
        <v>229</v>
      </c>
      <c r="M4498" t="s">
        <v>113</v>
      </c>
      <c r="R4498" t="s">
        <v>23320</v>
      </c>
      <c r="S4498" t="s">
        <v>22208</v>
      </c>
      <c r="T4498" t="s">
        <v>305</v>
      </c>
      <c r="U4498" t="s">
        <v>117</v>
      </c>
      <c r="V4498" t="str">
        <f>"147602511"</f>
        <v>147602511</v>
      </c>
      <c r="AC4498" t="s">
        <v>119</v>
      </c>
      <c r="AD4498" t="s">
        <v>113</v>
      </c>
      <c r="AE4498" t="s">
        <v>306</v>
      </c>
      <c r="AG4498" t="s">
        <v>121</v>
      </c>
    </row>
    <row r="4499" spans="1:33" x14ac:dyDescent="0.25">
      <c r="C4499" t="s">
        <v>23321</v>
      </c>
      <c r="G4499" t="s">
        <v>18746</v>
      </c>
      <c r="H4499" t="s">
        <v>18747</v>
      </c>
      <c r="J4499" t="s">
        <v>18748</v>
      </c>
      <c r="K4499" t="s">
        <v>303</v>
      </c>
      <c r="L4499" t="s">
        <v>3095</v>
      </c>
      <c r="M4499" t="s">
        <v>113</v>
      </c>
      <c r="N4499" t="s">
        <v>18749</v>
      </c>
      <c r="O4499" t="s">
        <v>3097</v>
      </c>
      <c r="P4499" t="s">
        <v>117</v>
      </c>
      <c r="Q4499" t="str">
        <f>"14214"</f>
        <v>14214</v>
      </c>
      <c r="AC4499" t="s">
        <v>119</v>
      </c>
      <c r="AD4499" t="s">
        <v>113</v>
      </c>
      <c r="AE4499" t="s">
        <v>3098</v>
      </c>
      <c r="AG4499" t="s">
        <v>121</v>
      </c>
    </row>
    <row r="4500" spans="1:33" x14ac:dyDescent="0.25">
      <c r="A4500" t="str">
        <f>"1801080791"</f>
        <v>1801080791</v>
      </c>
      <c r="C4500" t="s">
        <v>23322</v>
      </c>
      <c r="G4500" t="s">
        <v>23323</v>
      </c>
      <c r="H4500" t="s">
        <v>23324</v>
      </c>
      <c r="J4500" t="s">
        <v>438</v>
      </c>
      <c r="K4500" t="s">
        <v>303</v>
      </c>
      <c r="L4500" t="s">
        <v>229</v>
      </c>
      <c r="M4500" t="s">
        <v>113</v>
      </c>
      <c r="R4500" t="s">
        <v>23325</v>
      </c>
      <c r="S4500" t="s">
        <v>23326</v>
      </c>
      <c r="T4500" t="s">
        <v>348</v>
      </c>
      <c r="U4500" t="s">
        <v>117</v>
      </c>
      <c r="V4500" t="str">
        <f>"14043"</f>
        <v>14043</v>
      </c>
      <c r="AC4500" t="s">
        <v>119</v>
      </c>
      <c r="AD4500" t="s">
        <v>113</v>
      </c>
      <c r="AE4500" t="s">
        <v>306</v>
      </c>
      <c r="AG4500" t="s">
        <v>121</v>
      </c>
    </row>
    <row r="4501" spans="1:33" x14ac:dyDescent="0.25">
      <c r="A4501" t="str">
        <f>"1801082110"</f>
        <v>1801082110</v>
      </c>
      <c r="B4501" t="str">
        <f>"02917715"</f>
        <v>02917715</v>
      </c>
      <c r="C4501" t="s">
        <v>23327</v>
      </c>
      <c r="D4501" t="s">
        <v>23328</v>
      </c>
      <c r="E4501" t="s">
        <v>23329</v>
      </c>
      <c r="L4501" t="s">
        <v>150</v>
      </c>
      <c r="M4501" t="s">
        <v>113</v>
      </c>
      <c r="R4501" t="s">
        <v>23327</v>
      </c>
      <c r="W4501" t="s">
        <v>23329</v>
      </c>
      <c r="X4501" t="s">
        <v>23330</v>
      </c>
      <c r="Y4501" t="s">
        <v>23331</v>
      </c>
      <c r="Z4501" t="s">
        <v>117</v>
      </c>
      <c r="AA4501" t="str">
        <f>"13790-2107"</f>
        <v>13790-2107</v>
      </c>
      <c r="AB4501" t="s">
        <v>528</v>
      </c>
      <c r="AC4501" t="s">
        <v>119</v>
      </c>
      <c r="AD4501" t="s">
        <v>113</v>
      </c>
      <c r="AE4501" t="s">
        <v>120</v>
      </c>
      <c r="AG4501" t="s">
        <v>121</v>
      </c>
    </row>
    <row r="4502" spans="1:33" x14ac:dyDescent="0.25">
      <c r="A4502" t="str">
        <f>"1801089180"</f>
        <v>1801089180</v>
      </c>
      <c r="B4502" t="str">
        <f>"02918894"</f>
        <v>02918894</v>
      </c>
      <c r="C4502" t="s">
        <v>23332</v>
      </c>
      <c r="D4502" t="s">
        <v>23333</v>
      </c>
      <c r="E4502" t="s">
        <v>23334</v>
      </c>
      <c r="G4502" t="s">
        <v>23335</v>
      </c>
      <c r="H4502" t="s">
        <v>205</v>
      </c>
      <c r="J4502" t="s">
        <v>23336</v>
      </c>
      <c r="L4502" t="s">
        <v>229</v>
      </c>
      <c r="M4502" t="s">
        <v>113</v>
      </c>
      <c r="R4502" t="s">
        <v>23334</v>
      </c>
      <c r="W4502" t="s">
        <v>23337</v>
      </c>
      <c r="X4502" t="s">
        <v>6289</v>
      </c>
      <c r="Y4502" t="s">
        <v>240</v>
      </c>
      <c r="Z4502" t="s">
        <v>117</v>
      </c>
      <c r="AA4502" t="str">
        <f>"14221-8216"</f>
        <v>14221-8216</v>
      </c>
      <c r="AB4502" t="s">
        <v>118</v>
      </c>
      <c r="AC4502" t="s">
        <v>119</v>
      </c>
      <c r="AD4502" t="s">
        <v>113</v>
      </c>
      <c r="AE4502" t="s">
        <v>120</v>
      </c>
      <c r="AG4502" t="s">
        <v>121</v>
      </c>
    </row>
    <row r="4503" spans="1:33" x14ac:dyDescent="0.25">
      <c r="A4503" t="str">
        <f>"1801092937"</f>
        <v>1801092937</v>
      </c>
      <c r="B4503" t="str">
        <f>"03466617"</f>
        <v>03466617</v>
      </c>
      <c r="C4503" t="s">
        <v>23338</v>
      </c>
      <c r="D4503" t="s">
        <v>23339</v>
      </c>
      <c r="E4503" t="s">
        <v>23340</v>
      </c>
      <c r="G4503" t="s">
        <v>23338</v>
      </c>
      <c r="H4503" t="s">
        <v>205</v>
      </c>
      <c r="J4503" t="s">
        <v>23341</v>
      </c>
      <c r="L4503" t="s">
        <v>142</v>
      </c>
      <c r="M4503" t="s">
        <v>113</v>
      </c>
      <c r="R4503" t="s">
        <v>23342</v>
      </c>
      <c r="W4503" t="s">
        <v>23340</v>
      </c>
      <c r="X4503" t="s">
        <v>6289</v>
      </c>
      <c r="Y4503" t="s">
        <v>240</v>
      </c>
      <c r="Z4503" t="s">
        <v>117</v>
      </c>
      <c r="AA4503" t="str">
        <f>"14221-8216"</f>
        <v>14221-8216</v>
      </c>
      <c r="AB4503" t="s">
        <v>118</v>
      </c>
      <c r="AC4503" t="s">
        <v>119</v>
      </c>
      <c r="AD4503" t="s">
        <v>113</v>
      </c>
      <c r="AE4503" t="s">
        <v>120</v>
      </c>
      <c r="AG4503" t="s">
        <v>121</v>
      </c>
    </row>
    <row r="4504" spans="1:33" x14ac:dyDescent="0.25">
      <c r="A4504" t="str">
        <f>"1801096219"</f>
        <v>1801096219</v>
      </c>
      <c r="B4504" t="str">
        <f>"02971933"</f>
        <v>02971933</v>
      </c>
      <c r="C4504" t="s">
        <v>23343</v>
      </c>
      <c r="D4504" t="s">
        <v>23344</v>
      </c>
      <c r="E4504" t="s">
        <v>23345</v>
      </c>
      <c r="G4504" t="s">
        <v>23346</v>
      </c>
      <c r="H4504" t="s">
        <v>213</v>
      </c>
      <c r="J4504" t="s">
        <v>23347</v>
      </c>
      <c r="L4504" t="s">
        <v>142</v>
      </c>
      <c r="M4504" t="s">
        <v>199</v>
      </c>
      <c r="R4504" t="s">
        <v>23345</v>
      </c>
      <c r="W4504" t="s">
        <v>23348</v>
      </c>
      <c r="X4504" t="s">
        <v>216</v>
      </c>
      <c r="Y4504" t="s">
        <v>116</v>
      </c>
      <c r="Z4504" t="s">
        <v>117</v>
      </c>
      <c r="AA4504" t="str">
        <f>"14222-2006"</f>
        <v>14222-2006</v>
      </c>
      <c r="AB4504" t="s">
        <v>118</v>
      </c>
      <c r="AC4504" t="s">
        <v>119</v>
      </c>
      <c r="AD4504" t="s">
        <v>113</v>
      </c>
      <c r="AE4504" t="s">
        <v>120</v>
      </c>
      <c r="AG4504" t="s">
        <v>121</v>
      </c>
    </row>
    <row r="4505" spans="1:33" x14ac:dyDescent="0.25">
      <c r="A4505" t="str">
        <f>"1801131081"</f>
        <v>1801131081</v>
      </c>
      <c r="C4505" t="s">
        <v>23349</v>
      </c>
      <c r="G4505" t="s">
        <v>23350</v>
      </c>
      <c r="H4505" t="s">
        <v>351</v>
      </c>
      <c r="J4505" t="s">
        <v>352</v>
      </c>
      <c r="K4505" t="s">
        <v>303</v>
      </c>
      <c r="L4505" t="s">
        <v>229</v>
      </c>
      <c r="M4505" t="s">
        <v>113</v>
      </c>
      <c r="R4505" t="s">
        <v>23351</v>
      </c>
      <c r="S4505" t="s">
        <v>354</v>
      </c>
      <c r="T4505" t="s">
        <v>116</v>
      </c>
      <c r="U4505" t="s">
        <v>117</v>
      </c>
      <c r="V4505" t="str">
        <f>"142152814"</f>
        <v>142152814</v>
      </c>
      <c r="AC4505" t="s">
        <v>119</v>
      </c>
      <c r="AD4505" t="s">
        <v>113</v>
      </c>
      <c r="AE4505" t="s">
        <v>306</v>
      </c>
      <c r="AG4505" t="s">
        <v>121</v>
      </c>
    </row>
    <row r="4506" spans="1:33" x14ac:dyDescent="0.25">
      <c r="A4506" t="str">
        <f>"1801136684"</f>
        <v>1801136684</v>
      </c>
      <c r="C4506" t="s">
        <v>23352</v>
      </c>
      <c r="G4506" t="s">
        <v>23352</v>
      </c>
      <c r="H4506" t="s">
        <v>23353</v>
      </c>
      <c r="J4506" t="s">
        <v>438</v>
      </c>
      <c r="K4506" t="s">
        <v>303</v>
      </c>
      <c r="L4506" t="s">
        <v>229</v>
      </c>
      <c r="M4506" t="s">
        <v>113</v>
      </c>
      <c r="R4506" t="s">
        <v>23354</v>
      </c>
      <c r="S4506" t="s">
        <v>3611</v>
      </c>
      <c r="T4506" t="s">
        <v>116</v>
      </c>
      <c r="U4506" t="s">
        <v>117</v>
      </c>
      <c r="V4506" t="str">
        <f>"142121501"</f>
        <v>142121501</v>
      </c>
      <c r="AC4506" t="s">
        <v>119</v>
      </c>
      <c r="AD4506" t="s">
        <v>113</v>
      </c>
      <c r="AE4506" t="s">
        <v>306</v>
      </c>
      <c r="AG4506" t="s">
        <v>121</v>
      </c>
    </row>
    <row r="4507" spans="1:33" x14ac:dyDescent="0.25">
      <c r="A4507" t="str">
        <f>"1801149612"</f>
        <v>1801149612</v>
      </c>
      <c r="C4507" t="s">
        <v>23355</v>
      </c>
      <c r="G4507" t="s">
        <v>23356</v>
      </c>
      <c r="H4507" t="s">
        <v>4553</v>
      </c>
      <c r="J4507" t="s">
        <v>23357</v>
      </c>
      <c r="K4507" t="s">
        <v>303</v>
      </c>
      <c r="L4507" t="s">
        <v>229</v>
      </c>
      <c r="M4507" t="s">
        <v>113</v>
      </c>
      <c r="R4507" t="s">
        <v>23358</v>
      </c>
      <c r="S4507" t="s">
        <v>23359</v>
      </c>
      <c r="T4507" t="s">
        <v>23360</v>
      </c>
      <c r="U4507" t="s">
        <v>18593</v>
      </c>
      <c r="V4507" t="str">
        <f>"300782166"</f>
        <v>300782166</v>
      </c>
      <c r="AC4507" t="s">
        <v>119</v>
      </c>
      <c r="AD4507" t="s">
        <v>113</v>
      </c>
      <c r="AE4507" t="s">
        <v>306</v>
      </c>
      <c r="AG4507" t="s">
        <v>121</v>
      </c>
    </row>
    <row r="4508" spans="1:33" x14ac:dyDescent="0.25">
      <c r="A4508" t="str">
        <f>"1801210992"</f>
        <v>1801210992</v>
      </c>
      <c r="C4508" t="s">
        <v>23361</v>
      </c>
      <c r="G4508" t="s">
        <v>23362</v>
      </c>
      <c r="H4508" t="s">
        <v>471</v>
      </c>
      <c r="J4508" t="s">
        <v>23363</v>
      </c>
      <c r="K4508" t="s">
        <v>303</v>
      </c>
      <c r="L4508" t="s">
        <v>229</v>
      </c>
      <c r="M4508" t="s">
        <v>113</v>
      </c>
      <c r="R4508" t="s">
        <v>23364</v>
      </c>
      <c r="S4508" t="s">
        <v>6160</v>
      </c>
      <c r="T4508" t="s">
        <v>116</v>
      </c>
      <c r="U4508" t="s">
        <v>117</v>
      </c>
      <c r="V4508" t="str">
        <f>"142091723"</f>
        <v>142091723</v>
      </c>
      <c r="AC4508" t="s">
        <v>119</v>
      </c>
      <c r="AD4508" t="s">
        <v>113</v>
      </c>
      <c r="AE4508" t="s">
        <v>306</v>
      </c>
      <c r="AG4508" t="s">
        <v>121</v>
      </c>
    </row>
    <row r="4509" spans="1:33" x14ac:dyDescent="0.25">
      <c r="A4509" t="str">
        <f>"1801219654"</f>
        <v>1801219654</v>
      </c>
      <c r="C4509" t="s">
        <v>23365</v>
      </c>
      <c r="G4509" t="s">
        <v>21279</v>
      </c>
      <c r="H4509" t="s">
        <v>351</v>
      </c>
      <c r="J4509" t="s">
        <v>352</v>
      </c>
      <c r="K4509" t="s">
        <v>303</v>
      </c>
      <c r="L4509" t="s">
        <v>229</v>
      </c>
      <c r="M4509" t="s">
        <v>113</v>
      </c>
      <c r="R4509" t="s">
        <v>23366</v>
      </c>
      <c r="S4509" t="s">
        <v>354</v>
      </c>
      <c r="T4509" t="s">
        <v>116</v>
      </c>
      <c r="U4509" t="s">
        <v>117</v>
      </c>
      <c r="V4509" t="str">
        <f>"142152814"</f>
        <v>142152814</v>
      </c>
      <c r="AC4509" t="s">
        <v>119</v>
      </c>
      <c r="AD4509" t="s">
        <v>113</v>
      </c>
      <c r="AE4509" t="s">
        <v>306</v>
      </c>
      <c r="AG4509" t="s">
        <v>121</v>
      </c>
    </row>
    <row r="4510" spans="1:33" x14ac:dyDescent="0.25">
      <c r="A4510" t="str">
        <f>"1801834627"</f>
        <v>1801834627</v>
      </c>
      <c r="B4510" t="str">
        <f>"02321924"</f>
        <v>02321924</v>
      </c>
      <c r="C4510" t="s">
        <v>23367</v>
      </c>
      <c r="D4510" t="s">
        <v>23368</v>
      </c>
      <c r="E4510" t="s">
        <v>23369</v>
      </c>
      <c r="G4510" t="s">
        <v>23367</v>
      </c>
      <c r="H4510" t="s">
        <v>23370</v>
      </c>
      <c r="J4510" t="s">
        <v>23371</v>
      </c>
      <c r="L4510" t="s">
        <v>112</v>
      </c>
      <c r="M4510" t="s">
        <v>113</v>
      </c>
      <c r="R4510" t="s">
        <v>23372</v>
      </c>
      <c r="W4510" t="s">
        <v>23369</v>
      </c>
      <c r="X4510" t="s">
        <v>23373</v>
      </c>
      <c r="Y4510" t="s">
        <v>6200</v>
      </c>
      <c r="Z4510" t="s">
        <v>5493</v>
      </c>
      <c r="AA4510" t="str">
        <f>"60637-1447"</f>
        <v>60637-1447</v>
      </c>
      <c r="AB4510" t="s">
        <v>118</v>
      </c>
      <c r="AC4510" t="s">
        <v>119</v>
      </c>
      <c r="AD4510" t="s">
        <v>113</v>
      </c>
      <c r="AE4510" t="s">
        <v>120</v>
      </c>
      <c r="AG4510" t="s">
        <v>121</v>
      </c>
    </row>
    <row r="4511" spans="1:33" x14ac:dyDescent="0.25">
      <c r="A4511" t="str">
        <f>"1801836507"</f>
        <v>1801836507</v>
      </c>
      <c r="B4511" t="str">
        <f>"01901115"</f>
        <v>01901115</v>
      </c>
      <c r="C4511" t="s">
        <v>23374</v>
      </c>
      <c r="D4511" t="s">
        <v>23375</v>
      </c>
      <c r="E4511" t="s">
        <v>23376</v>
      </c>
      <c r="G4511" t="s">
        <v>23374</v>
      </c>
      <c r="H4511" t="s">
        <v>205</v>
      </c>
      <c r="J4511" t="s">
        <v>23377</v>
      </c>
      <c r="L4511" t="s">
        <v>142</v>
      </c>
      <c r="M4511" t="s">
        <v>113</v>
      </c>
      <c r="R4511" t="s">
        <v>23378</v>
      </c>
      <c r="W4511" t="s">
        <v>23376</v>
      </c>
      <c r="X4511" t="s">
        <v>176</v>
      </c>
      <c r="Y4511" t="s">
        <v>116</v>
      </c>
      <c r="Z4511" t="s">
        <v>117</v>
      </c>
      <c r="AA4511" t="str">
        <f>"14203-1126"</f>
        <v>14203-1126</v>
      </c>
      <c r="AB4511" t="s">
        <v>118</v>
      </c>
      <c r="AC4511" t="s">
        <v>119</v>
      </c>
      <c r="AD4511" t="s">
        <v>113</v>
      </c>
      <c r="AE4511" t="s">
        <v>120</v>
      </c>
      <c r="AG4511" t="s">
        <v>121</v>
      </c>
    </row>
    <row r="4512" spans="1:33" x14ac:dyDescent="0.25">
      <c r="A4512" t="str">
        <f>"1912990862"</f>
        <v>1912990862</v>
      </c>
      <c r="B4512" t="str">
        <f>"00502992"</f>
        <v>00502992</v>
      </c>
      <c r="C4512" t="s">
        <v>23379</v>
      </c>
      <c r="D4512" t="s">
        <v>23380</v>
      </c>
      <c r="E4512" t="s">
        <v>23381</v>
      </c>
      <c r="G4512" t="s">
        <v>23379</v>
      </c>
      <c r="H4512" t="s">
        <v>23382</v>
      </c>
      <c r="J4512" t="s">
        <v>23383</v>
      </c>
      <c r="L4512" t="s">
        <v>142</v>
      </c>
      <c r="M4512" t="s">
        <v>113</v>
      </c>
      <c r="R4512" t="s">
        <v>23384</v>
      </c>
      <c r="W4512" t="s">
        <v>23381</v>
      </c>
      <c r="X4512" t="s">
        <v>23385</v>
      </c>
      <c r="Y4512" t="s">
        <v>116</v>
      </c>
      <c r="Z4512" t="s">
        <v>117</v>
      </c>
      <c r="AA4512" t="str">
        <f>"14216-2707"</f>
        <v>14216-2707</v>
      </c>
      <c r="AB4512" t="s">
        <v>1755</v>
      </c>
      <c r="AC4512" t="s">
        <v>119</v>
      </c>
      <c r="AD4512" t="s">
        <v>113</v>
      </c>
      <c r="AE4512" t="s">
        <v>120</v>
      </c>
      <c r="AG4512" t="s">
        <v>121</v>
      </c>
    </row>
    <row r="4513" spans="1:33" x14ac:dyDescent="0.25">
      <c r="A4513" t="str">
        <f>"1912991878"</f>
        <v>1912991878</v>
      </c>
      <c r="B4513" t="str">
        <f>"01446551"</f>
        <v>01446551</v>
      </c>
      <c r="C4513" t="s">
        <v>23386</v>
      </c>
      <c r="D4513" t="s">
        <v>23387</v>
      </c>
      <c r="E4513" t="s">
        <v>23388</v>
      </c>
      <c r="G4513" t="s">
        <v>23386</v>
      </c>
      <c r="H4513" t="s">
        <v>272</v>
      </c>
      <c r="J4513" t="s">
        <v>23389</v>
      </c>
      <c r="L4513" t="s">
        <v>150</v>
      </c>
      <c r="M4513" t="s">
        <v>199</v>
      </c>
      <c r="R4513" t="s">
        <v>23390</v>
      </c>
      <c r="W4513" t="s">
        <v>23388</v>
      </c>
      <c r="X4513" t="s">
        <v>260</v>
      </c>
      <c r="Y4513" t="s">
        <v>116</v>
      </c>
      <c r="Z4513" t="s">
        <v>117</v>
      </c>
      <c r="AA4513" t="str">
        <f>"14209-1194"</f>
        <v>14209-1194</v>
      </c>
      <c r="AB4513" t="s">
        <v>118</v>
      </c>
      <c r="AC4513" t="s">
        <v>119</v>
      </c>
      <c r="AD4513" t="s">
        <v>113</v>
      </c>
      <c r="AE4513" t="s">
        <v>120</v>
      </c>
      <c r="AG4513" t="s">
        <v>121</v>
      </c>
    </row>
    <row r="4514" spans="1:33" x14ac:dyDescent="0.25">
      <c r="A4514" t="str">
        <f>"1912996133"</f>
        <v>1912996133</v>
      </c>
      <c r="B4514" t="str">
        <f>"01956376"</f>
        <v>01956376</v>
      </c>
      <c r="C4514" t="s">
        <v>23391</v>
      </c>
      <c r="D4514" t="s">
        <v>23392</v>
      </c>
      <c r="E4514" t="s">
        <v>23393</v>
      </c>
      <c r="G4514" t="s">
        <v>23391</v>
      </c>
      <c r="H4514" t="s">
        <v>23394</v>
      </c>
      <c r="J4514" t="s">
        <v>23395</v>
      </c>
      <c r="L4514" t="s">
        <v>142</v>
      </c>
      <c r="M4514" t="s">
        <v>113</v>
      </c>
      <c r="R4514" t="s">
        <v>23396</v>
      </c>
      <c r="W4514" t="s">
        <v>23393</v>
      </c>
      <c r="X4514" t="s">
        <v>3288</v>
      </c>
      <c r="Y4514" t="s">
        <v>129</v>
      </c>
      <c r="Z4514" t="s">
        <v>117</v>
      </c>
      <c r="AA4514" t="str">
        <f>"14224-3445"</f>
        <v>14224-3445</v>
      </c>
      <c r="AB4514" t="s">
        <v>118</v>
      </c>
      <c r="AC4514" t="s">
        <v>119</v>
      </c>
      <c r="AD4514" t="s">
        <v>113</v>
      </c>
      <c r="AE4514" t="s">
        <v>120</v>
      </c>
      <c r="AG4514" t="s">
        <v>121</v>
      </c>
    </row>
    <row r="4515" spans="1:33" x14ac:dyDescent="0.25">
      <c r="A4515" t="str">
        <f>"1922016138"</f>
        <v>1922016138</v>
      </c>
      <c r="B4515" t="str">
        <f>"02344636"</f>
        <v>02344636</v>
      </c>
      <c r="C4515" t="s">
        <v>23397</v>
      </c>
      <c r="D4515" t="s">
        <v>23398</v>
      </c>
      <c r="E4515" t="s">
        <v>23399</v>
      </c>
      <c r="G4515" t="s">
        <v>23397</v>
      </c>
      <c r="H4515" t="s">
        <v>205</v>
      </c>
      <c r="J4515" t="s">
        <v>23400</v>
      </c>
      <c r="L4515" t="s">
        <v>142</v>
      </c>
      <c r="M4515" t="s">
        <v>113</v>
      </c>
      <c r="R4515" t="s">
        <v>23401</v>
      </c>
      <c r="W4515" t="s">
        <v>23399</v>
      </c>
      <c r="X4515" t="s">
        <v>253</v>
      </c>
      <c r="Y4515" t="s">
        <v>116</v>
      </c>
      <c r="Z4515" t="s">
        <v>117</v>
      </c>
      <c r="AA4515" t="str">
        <f>"14215-3021"</f>
        <v>14215-3021</v>
      </c>
      <c r="AB4515" t="s">
        <v>118</v>
      </c>
      <c r="AC4515" t="s">
        <v>119</v>
      </c>
      <c r="AD4515" t="s">
        <v>113</v>
      </c>
      <c r="AE4515" t="s">
        <v>120</v>
      </c>
      <c r="AG4515" t="s">
        <v>121</v>
      </c>
    </row>
    <row r="4516" spans="1:33" x14ac:dyDescent="0.25">
      <c r="A4516" t="str">
        <f>"1992079362"</f>
        <v>1992079362</v>
      </c>
      <c r="C4516" t="s">
        <v>23402</v>
      </c>
      <c r="G4516" t="s">
        <v>23403</v>
      </c>
      <c r="H4516" t="s">
        <v>351</v>
      </c>
      <c r="J4516" t="s">
        <v>352</v>
      </c>
      <c r="K4516" t="s">
        <v>303</v>
      </c>
      <c r="L4516" t="s">
        <v>229</v>
      </c>
      <c r="M4516" t="s">
        <v>113</v>
      </c>
      <c r="R4516" t="s">
        <v>23404</v>
      </c>
      <c r="S4516" t="s">
        <v>409</v>
      </c>
      <c r="T4516" t="s">
        <v>116</v>
      </c>
      <c r="U4516" t="s">
        <v>117</v>
      </c>
      <c r="V4516" t="str">
        <f>"142152814"</f>
        <v>142152814</v>
      </c>
      <c r="AC4516" t="s">
        <v>119</v>
      </c>
      <c r="AD4516" t="s">
        <v>113</v>
      </c>
      <c r="AE4516" t="s">
        <v>306</v>
      </c>
      <c r="AG4516" t="s">
        <v>121</v>
      </c>
    </row>
    <row r="4517" spans="1:33" x14ac:dyDescent="0.25">
      <c r="A4517" t="str">
        <f>"1992713598"</f>
        <v>1992713598</v>
      </c>
      <c r="B4517" t="str">
        <f>"02292157"</f>
        <v>02292157</v>
      </c>
      <c r="C4517" t="s">
        <v>23405</v>
      </c>
      <c r="D4517" t="s">
        <v>23406</v>
      </c>
      <c r="E4517" t="s">
        <v>23407</v>
      </c>
      <c r="G4517" t="s">
        <v>23408</v>
      </c>
      <c r="H4517" t="s">
        <v>205</v>
      </c>
      <c r="J4517" t="s">
        <v>23409</v>
      </c>
      <c r="L4517" t="s">
        <v>142</v>
      </c>
      <c r="M4517" t="s">
        <v>113</v>
      </c>
      <c r="R4517" t="s">
        <v>23410</v>
      </c>
      <c r="W4517" t="s">
        <v>23407</v>
      </c>
      <c r="X4517" t="s">
        <v>176</v>
      </c>
      <c r="Y4517" t="s">
        <v>116</v>
      </c>
      <c r="Z4517" t="s">
        <v>117</v>
      </c>
      <c r="AA4517" t="str">
        <f>"14203-1126"</f>
        <v>14203-1126</v>
      </c>
      <c r="AB4517" t="s">
        <v>118</v>
      </c>
      <c r="AC4517" t="s">
        <v>119</v>
      </c>
      <c r="AD4517" t="s">
        <v>113</v>
      </c>
      <c r="AE4517" t="s">
        <v>120</v>
      </c>
      <c r="AG4517" t="s">
        <v>121</v>
      </c>
    </row>
    <row r="4518" spans="1:33" x14ac:dyDescent="0.25">
      <c r="A4518" t="str">
        <f>"1992731616"</f>
        <v>1992731616</v>
      </c>
      <c r="B4518" t="str">
        <f>"01610806"</f>
        <v>01610806</v>
      </c>
      <c r="C4518" t="s">
        <v>23411</v>
      </c>
      <c r="D4518" t="s">
        <v>23412</v>
      </c>
      <c r="E4518" t="s">
        <v>23413</v>
      </c>
      <c r="G4518" t="s">
        <v>23411</v>
      </c>
      <c r="H4518" t="s">
        <v>205</v>
      </c>
      <c r="J4518" t="s">
        <v>23414</v>
      </c>
      <c r="L4518" t="s">
        <v>142</v>
      </c>
      <c r="M4518" t="s">
        <v>113</v>
      </c>
      <c r="R4518" t="s">
        <v>23415</v>
      </c>
      <c r="W4518" t="s">
        <v>23413</v>
      </c>
      <c r="X4518" t="s">
        <v>253</v>
      </c>
      <c r="Y4518" t="s">
        <v>116</v>
      </c>
      <c r="Z4518" t="s">
        <v>117</v>
      </c>
      <c r="AA4518" t="str">
        <f>"14215-3021"</f>
        <v>14215-3021</v>
      </c>
      <c r="AB4518" t="s">
        <v>118</v>
      </c>
      <c r="AC4518" t="s">
        <v>119</v>
      </c>
      <c r="AD4518" t="s">
        <v>113</v>
      </c>
      <c r="AE4518" t="s">
        <v>120</v>
      </c>
      <c r="AG4518" t="s">
        <v>121</v>
      </c>
    </row>
    <row r="4519" spans="1:33" x14ac:dyDescent="0.25">
      <c r="A4519" t="str">
        <f>"1861641367"</f>
        <v>1861641367</v>
      </c>
      <c r="B4519" t="str">
        <f>"03324536"</f>
        <v>03324536</v>
      </c>
      <c r="C4519" t="s">
        <v>23416</v>
      </c>
      <c r="D4519" t="s">
        <v>23417</v>
      </c>
      <c r="E4519" t="s">
        <v>23418</v>
      </c>
      <c r="H4519" t="s">
        <v>23419</v>
      </c>
      <c r="J4519" t="s">
        <v>1457</v>
      </c>
      <c r="L4519" t="s">
        <v>229</v>
      </c>
      <c r="M4519" t="s">
        <v>113</v>
      </c>
      <c r="R4519" t="s">
        <v>23416</v>
      </c>
      <c r="W4519" t="s">
        <v>23418</v>
      </c>
      <c r="X4519" t="s">
        <v>1459</v>
      </c>
      <c r="Y4519" t="s">
        <v>305</v>
      </c>
      <c r="Z4519" t="s">
        <v>117</v>
      </c>
      <c r="AA4519" t="str">
        <f>"14760-1100"</f>
        <v>14760-1100</v>
      </c>
      <c r="AB4519" t="s">
        <v>1460</v>
      </c>
      <c r="AC4519" t="s">
        <v>119</v>
      </c>
      <c r="AD4519" t="s">
        <v>113</v>
      </c>
      <c r="AE4519" t="s">
        <v>120</v>
      </c>
      <c r="AG4519" t="s">
        <v>121</v>
      </c>
    </row>
    <row r="4520" spans="1:33" x14ac:dyDescent="0.25">
      <c r="A4520" t="str">
        <f>"1861676793"</f>
        <v>1861676793</v>
      </c>
      <c r="C4520" t="s">
        <v>23420</v>
      </c>
      <c r="G4520" t="s">
        <v>23421</v>
      </c>
      <c r="H4520" t="s">
        <v>437</v>
      </c>
      <c r="J4520" t="s">
        <v>438</v>
      </c>
      <c r="K4520" t="s">
        <v>303</v>
      </c>
      <c r="L4520" t="s">
        <v>229</v>
      </c>
      <c r="M4520" t="s">
        <v>113</v>
      </c>
      <c r="R4520" t="s">
        <v>23422</v>
      </c>
      <c r="S4520" t="s">
        <v>440</v>
      </c>
      <c r="T4520" t="s">
        <v>318</v>
      </c>
      <c r="U4520" t="s">
        <v>117</v>
      </c>
      <c r="V4520" t="str">
        <f>"142254965"</f>
        <v>142254965</v>
      </c>
      <c r="AC4520" t="s">
        <v>119</v>
      </c>
      <c r="AD4520" t="s">
        <v>113</v>
      </c>
      <c r="AE4520" t="s">
        <v>306</v>
      </c>
      <c r="AG4520" t="s">
        <v>121</v>
      </c>
    </row>
    <row r="4521" spans="1:33" x14ac:dyDescent="0.25">
      <c r="A4521" t="str">
        <f>"1861706335"</f>
        <v>1861706335</v>
      </c>
      <c r="B4521" t="str">
        <f>"03351782"</f>
        <v>03351782</v>
      </c>
      <c r="C4521" t="s">
        <v>23423</v>
      </c>
      <c r="D4521" t="s">
        <v>23424</v>
      </c>
      <c r="E4521" t="s">
        <v>23425</v>
      </c>
      <c r="G4521" t="s">
        <v>23426</v>
      </c>
      <c r="H4521" t="s">
        <v>23427</v>
      </c>
      <c r="J4521" t="s">
        <v>23428</v>
      </c>
      <c r="L4521" t="s">
        <v>112</v>
      </c>
      <c r="M4521" t="s">
        <v>113</v>
      </c>
      <c r="R4521" t="s">
        <v>23429</v>
      </c>
      <c r="W4521" t="s">
        <v>23430</v>
      </c>
      <c r="X4521" t="s">
        <v>216</v>
      </c>
      <c r="Y4521" t="s">
        <v>116</v>
      </c>
      <c r="Z4521" t="s">
        <v>117</v>
      </c>
      <c r="AA4521" t="str">
        <f>"14222-2006"</f>
        <v>14222-2006</v>
      </c>
      <c r="AB4521" t="s">
        <v>118</v>
      </c>
      <c r="AC4521" t="s">
        <v>119</v>
      </c>
      <c r="AD4521" t="s">
        <v>113</v>
      </c>
      <c r="AE4521" t="s">
        <v>120</v>
      </c>
      <c r="AG4521" t="s">
        <v>121</v>
      </c>
    </row>
    <row r="4522" spans="1:33" x14ac:dyDescent="0.25">
      <c r="A4522" t="str">
        <f>"1861707309"</f>
        <v>1861707309</v>
      </c>
      <c r="C4522" t="s">
        <v>23431</v>
      </c>
      <c r="G4522" t="s">
        <v>23432</v>
      </c>
      <c r="J4522" t="s">
        <v>352</v>
      </c>
      <c r="K4522" t="s">
        <v>303</v>
      </c>
      <c r="L4522" t="s">
        <v>112</v>
      </c>
      <c r="M4522" t="s">
        <v>113</v>
      </c>
      <c r="R4522" t="s">
        <v>23433</v>
      </c>
      <c r="S4522" t="s">
        <v>13175</v>
      </c>
      <c r="T4522" t="s">
        <v>153</v>
      </c>
      <c r="U4522" t="s">
        <v>117</v>
      </c>
      <c r="V4522" t="str">
        <f>"143012232"</f>
        <v>143012232</v>
      </c>
      <c r="AC4522" t="s">
        <v>119</v>
      </c>
      <c r="AD4522" t="s">
        <v>113</v>
      </c>
      <c r="AE4522" t="s">
        <v>306</v>
      </c>
      <c r="AG4522" t="s">
        <v>121</v>
      </c>
    </row>
    <row r="4523" spans="1:33" x14ac:dyDescent="0.25">
      <c r="A4523" t="str">
        <f>"1861718116"</f>
        <v>1861718116</v>
      </c>
      <c r="B4523" t="str">
        <f>"03836317"</f>
        <v>03836317</v>
      </c>
      <c r="C4523" t="s">
        <v>23434</v>
      </c>
      <c r="D4523" t="s">
        <v>23435</v>
      </c>
      <c r="E4523" t="s">
        <v>23436</v>
      </c>
      <c r="G4523" t="s">
        <v>23437</v>
      </c>
      <c r="H4523" t="s">
        <v>23438</v>
      </c>
      <c r="J4523" t="s">
        <v>23439</v>
      </c>
      <c r="L4523" t="s">
        <v>112</v>
      </c>
      <c r="M4523" t="s">
        <v>113</v>
      </c>
      <c r="R4523" t="s">
        <v>23440</v>
      </c>
      <c r="W4523" t="s">
        <v>23436</v>
      </c>
      <c r="X4523" t="s">
        <v>740</v>
      </c>
      <c r="Y4523" t="s">
        <v>116</v>
      </c>
      <c r="Z4523" t="s">
        <v>117</v>
      </c>
      <c r="AA4523" t="str">
        <f>"14202-1804"</f>
        <v>14202-1804</v>
      </c>
      <c r="AB4523" t="s">
        <v>621</v>
      </c>
      <c r="AC4523" t="s">
        <v>119</v>
      </c>
      <c r="AD4523" t="s">
        <v>113</v>
      </c>
      <c r="AE4523" t="s">
        <v>120</v>
      </c>
      <c r="AG4523" t="s">
        <v>121</v>
      </c>
    </row>
    <row r="4524" spans="1:33" x14ac:dyDescent="0.25">
      <c r="A4524" t="str">
        <f>"1861722019"</f>
        <v>1861722019</v>
      </c>
      <c r="B4524" t="str">
        <f>"01632604"</f>
        <v>01632604</v>
      </c>
      <c r="C4524" t="s">
        <v>23441</v>
      </c>
      <c r="D4524" t="s">
        <v>23442</v>
      </c>
      <c r="E4524" t="s">
        <v>23443</v>
      </c>
      <c r="G4524" t="s">
        <v>23441</v>
      </c>
      <c r="H4524" t="s">
        <v>23444</v>
      </c>
      <c r="J4524" t="s">
        <v>23445</v>
      </c>
      <c r="L4524" t="s">
        <v>150</v>
      </c>
      <c r="M4524" t="s">
        <v>199</v>
      </c>
      <c r="R4524" t="s">
        <v>23446</v>
      </c>
      <c r="W4524" t="s">
        <v>23447</v>
      </c>
      <c r="X4524" t="s">
        <v>23448</v>
      </c>
      <c r="Y4524" t="s">
        <v>958</v>
      </c>
      <c r="Z4524" t="s">
        <v>117</v>
      </c>
      <c r="AA4524" t="str">
        <f>"14226-2004"</f>
        <v>14226-2004</v>
      </c>
      <c r="AB4524" t="s">
        <v>118</v>
      </c>
      <c r="AC4524" t="s">
        <v>119</v>
      </c>
      <c r="AD4524" t="s">
        <v>113</v>
      </c>
      <c r="AE4524" t="s">
        <v>120</v>
      </c>
      <c r="AG4524" t="s">
        <v>121</v>
      </c>
    </row>
    <row r="4525" spans="1:33" x14ac:dyDescent="0.25">
      <c r="A4525" t="str">
        <f>"1861734097"</f>
        <v>1861734097</v>
      </c>
      <c r="C4525" t="s">
        <v>23449</v>
      </c>
      <c r="G4525" t="s">
        <v>23450</v>
      </c>
      <c r="H4525" t="s">
        <v>1115</v>
      </c>
      <c r="J4525" t="s">
        <v>438</v>
      </c>
      <c r="K4525" t="s">
        <v>303</v>
      </c>
      <c r="L4525" t="s">
        <v>229</v>
      </c>
      <c r="M4525" t="s">
        <v>113</v>
      </c>
      <c r="R4525" t="s">
        <v>23451</v>
      </c>
      <c r="S4525" t="s">
        <v>1117</v>
      </c>
      <c r="T4525" t="s">
        <v>318</v>
      </c>
      <c r="U4525" t="s">
        <v>117</v>
      </c>
      <c r="V4525" t="str">
        <f>"142254965"</f>
        <v>142254965</v>
      </c>
      <c r="AC4525" t="s">
        <v>119</v>
      </c>
      <c r="AD4525" t="s">
        <v>113</v>
      </c>
      <c r="AE4525" t="s">
        <v>306</v>
      </c>
      <c r="AG4525" t="s">
        <v>121</v>
      </c>
    </row>
    <row r="4526" spans="1:33" x14ac:dyDescent="0.25">
      <c r="A4526" t="str">
        <f>"1861744740"</f>
        <v>1861744740</v>
      </c>
      <c r="B4526" t="str">
        <f>"03631821"</f>
        <v>03631821</v>
      </c>
      <c r="C4526" t="s">
        <v>23452</v>
      </c>
      <c r="D4526" t="s">
        <v>23453</v>
      </c>
      <c r="E4526" t="s">
        <v>23452</v>
      </c>
      <c r="G4526" t="s">
        <v>23452</v>
      </c>
      <c r="H4526" t="s">
        <v>366</v>
      </c>
      <c r="L4526" t="s">
        <v>69</v>
      </c>
      <c r="M4526" t="s">
        <v>113</v>
      </c>
      <c r="R4526" t="s">
        <v>23452</v>
      </c>
      <c r="W4526" t="s">
        <v>23452</v>
      </c>
      <c r="X4526" t="s">
        <v>1353</v>
      </c>
      <c r="Y4526" t="s">
        <v>663</v>
      </c>
      <c r="Z4526" t="s">
        <v>117</v>
      </c>
      <c r="AA4526" t="str">
        <f>"14094-3201"</f>
        <v>14094-3201</v>
      </c>
      <c r="AB4526" t="s">
        <v>872</v>
      </c>
      <c r="AC4526" t="s">
        <v>119</v>
      </c>
      <c r="AD4526" t="s">
        <v>113</v>
      </c>
      <c r="AE4526" t="s">
        <v>120</v>
      </c>
      <c r="AG4526" t="s">
        <v>121</v>
      </c>
    </row>
    <row r="4527" spans="1:33" x14ac:dyDescent="0.25">
      <c r="A4527" t="str">
        <f>"1861765331"</f>
        <v>1861765331</v>
      </c>
      <c r="B4527" t="str">
        <f>"03427869"</f>
        <v>03427869</v>
      </c>
      <c r="C4527" t="s">
        <v>23454</v>
      </c>
      <c r="D4527" t="s">
        <v>23455</v>
      </c>
      <c r="E4527" t="s">
        <v>23456</v>
      </c>
      <c r="H4527" t="s">
        <v>4594</v>
      </c>
      <c r="L4527" t="s">
        <v>150</v>
      </c>
      <c r="M4527" t="s">
        <v>113</v>
      </c>
      <c r="R4527" t="s">
        <v>23457</v>
      </c>
      <c r="W4527" t="s">
        <v>23456</v>
      </c>
      <c r="X4527" t="s">
        <v>17643</v>
      </c>
      <c r="Y4527" t="s">
        <v>1767</v>
      </c>
      <c r="Z4527" t="s">
        <v>117</v>
      </c>
      <c r="AA4527" t="str">
        <f>"14779-9625"</f>
        <v>14779-9625</v>
      </c>
      <c r="AB4527" t="s">
        <v>118</v>
      </c>
      <c r="AC4527" t="s">
        <v>119</v>
      </c>
      <c r="AD4527" t="s">
        <v>113</v>
      </c>
      <c r="AE4527" t="s">
        <v>120</v>
      </c>
      <c r="AG4527" t="s">
        <v>121</v>
      </c>
    </row>
    <row r="4528" spans="1:33" x14ac:dyDescent="0.25">
      <c r="A4528" t="str">
        <f>"1861773384"</f>
        <v>1861773384</v>
      </c>
      <c r="B4528" t="str">
        <f>"03371666"</f>
        <v>03371666</v>
      </c>
      <c r="C4528" t="s">
        <v>23458</v>
      </c>
      <c r="D4528" t="s">
        <v>23459</v>
      </c>
      <c r="E4528" t="s">
        <v>23460</v>
      </c>
      <c r="G4528" t="s">
        <v>23461</v>
      </c>
      <c r="H4528" t="s">
        <v>4300</v>
      </c>
      <c r="J4528" t="s">
        <v>23462</v>
      </c>
      <c r="L4528" t="s">
        <v>142</v>
      </c>
      <c r="M4528" t="s">
        <v>113</v>
      </c>
      <c r="R4528" t="s">
        <v>23463</v>
      </c>
      <c r="W4528" t="s">
        <v>23460</v>
      </c>
      <c r="X4528" t="s">
        <v>216</v>
      </c>
      <c r="Y4528" t="s">
        <v>116</v>
      </c>
      <c r="Z4528" t="s">
        <v>117</v>
      </c>
      <c r="AA4528" t="str">
        <f>"14222-2006"</f>
        <v>14222-2006</v>
      </c>
      <c r="AB4528" t="s">
        <v>118</v>
      </c>
      <c r="AC4528" t="s">
        <v>119</v>
      </c>
      <c r="AD4528" t="s">
        <v>113</v>
      </c>
      <c r="AE4528" t="s">
        <v>120</v>
      </c>
      <c r="AG4528" t="s">
        <v>121</v>
      </c>
    </row>
    <row r="4529" spans="1:33" x14ac:dyDescent="0.25">
      <c r="C4529" t="s">
        <v>23464</v>
      </c>
      <c r="G4529" t="s">
        <v>23174</v>
      </c>
      <c r="H4529" t="s">
        <v>1115</v>
      </c>
      <c r="J4529" t="s">
        <v>23175</v>
      </c>
      <c r="K4529" t="s">
        <v>303</v>
      </c>
      <c r="L4529" t="s">
        <v>3095</v>
      </c>
      <c r="M4529" t="s">
        <v>113</v>
      </c>
      <c r="N4529" t="s">
        <v>23178</v>
      </c>
      <c r="O4529" t="s">
        <v>21543</v>
      </c>
      <c r="P4529" t="s">
        <v>117</v>
      </c>
      <c r="Q4529" t="str">
        <f t="shared" ref="Q4529:Q4542" si="6">"14225"</f>
        <v>14225</v>
      </c>
      <c r="AC4529" t="s">
        <v>119</v>
      </c>
      <c r="AD4529" t="s">
        <v>113</v>
      </c>
      <c r="AE4529" t="s">
        <v>3098</v>
      </c>
      <c r="AG4529" t="s">
        <v>121</v>
      </c>
    </row>
    <row r="4530" spans="1:33" x14ac:dyDescent="0.25">
      <c r="C4530" t="s">
        <v>23465</v>
      </c>
      <c r="G4530" t="s">
        <v>23174</v>
      </c>
      <c r="H4530" t="s">
        <v>1115</v>
      </c>
      <c r="J4530" t="s">
        <v>23175</v>
      </c>
      <c r="K4530" t="s">
        <v>303</v>
      </c>
      <c r="L4530" t="s">
        <v>3095</v>
      </c>
      <c r="M4530" t="s">
        <v>113</v>
      </c>
      <c r="N4530" t="s">
        <v>23178</v>
      </c>
      <c r="O4530" t="s">
        <v>21543</v>
      </c>
      <c r="P4530" t="s">
        <v>117</v>
      </c>
      <c r="Q4530" t="str">
        <f t="shared" si="6"/>
        <v>14225</v>
      </c>
      <c r="AC4530" t="s">
        <v>119</v>
      </c>
      <c r="AD4530" t="s">
        <v>113</v>
      </c>
      <c r="AE4530" t="s">
        <v>3098</v>
      </c>
      <c r="AG4530" t="s">
        <v>121</v>
      </c>
    </row>
    <row r="4531" spans="1:33" x14ac:dyDescent="0.25">
      <c r="C4531" t="s">
        <v>23466</v>
      </c>
      <c r="G4531" t="s">
        <v>23174</v>
      </c>
      <c r="H4531" t="s">
        <v>1115</v>
      </c>
      <c r="J4531" t="s">
        <v>23175</v>
      </c>
      <c r="K4531" t="s">
        <v>303</v>
      </c>
      <c r="L4531" t="s">
        <v>3095</v>
      </c>
      <c r="M4531" t="s">
        <v>113</v>
      </c>
      <c r="N4531" t="s">
        <v>23178</v>
      </c>
      <c r="O4531" t="s">
        <v>21543</v>
      </c>
      <c r="P4531" t="s">
        <v>117</v>
      </c>
      <c r="Q4531" t="str">
        <f t="shared" si="6"/>
        <v>14225</v>
      </c>
      <c r="AC4531" t="s">
        <v>119</v>
      </c>
      <c r="AD4531" t="s">
        <v>113</v>
      </c>
      <c r="AE4531" t="s">
        <v>3098</v>
      </c>
      <c r="AG4531" t="s">
        <v>121</v>
      </c>
    </row>
    <row r="4532" spans="1:33" x14ac:dyDescent="0.25">
      <c r="C4532" t="s">
        <v>23467</v>
      </c>
      <c r="G4532" t="s">
        <v>23174</v>
      </c>
      <c r="H4532" t="s">
        <v>1115</v>
      </c>
      <c r="J4532" t="s">
        <v>23175</v>
      </c>
      <c r="K4532" t="s">
        <v>303</v>
      </c>
      <c r="L4532" t="s">
        <v>3095</v>
      </c>
      <c r="M4532" t="s">
        <v>113</v>
      </c>
      <c r="N4532" t="s">
        <v>23178</v>
      </c>
      <c r="O4532" t="s">
        <v>21543</v>
      </c>
      <c r="P4532" t="s">
        <v>117</v>
      </c>
      <c r="Q4532" t="str">
        <f t="shared" si="6"/>
        <v>14225</v>
      </c>
      <c r="AC4532" t="s">
        <v>119</v>
      </c>
      <c r="AD4532" t="s">
        <v>113</v>
      </c>
      <c r="AE4532" t="s">
        <v>3098</v>
      </c>
      <c r="AG4532" t="s">
        <v>121</v>
      </c>
    </row>
    <row r="4533" spans="1:33" x14ac:dyDescent="0.25">
      <c r="C4533" t="s">
        <v>23468</v>
      </c>
      <c r="G4533" t="s">
        <v>23174</v>
      </c>
      <c r="H4533" t="s">
        <v>1115</v>
      </c>
      <c r="J4533" t="s">
        <v>23175</v>
      </c>
      <c r="K4533" t="s">
        <v>303</v>
      </c>
      <c r="L4533" t="s">
        <v>3095</v>
      </c>
      <c r="M4533" t="s">
        <v>113</v>
      </c>
      <c r="N4533" t="s">
        <v>23178</v>
      </c>
      <c r="O4533" t="s">
        <v>21543</v>
      </c>
      <c r="P4533" t="s">
        <v>117</v>
      </c>
      <c r="Q4533" t="str">
        <f t="shared" si="6"/>
        <v>14225</v>
      </c>
      <c r="AC4533" t="s">
        <v>119</v>
      </c>
      <c r="AD4533" t="s">
        <v>113</v>
      </c>
      <c r="AE4533" t="s">
        <v>3098</v>
      </c>
      <c r="AG4533" t="s">
        <v>121</v>
      </c>
    </row>
    <row r="4534" spans="1:33" x14ac:dyDescent="0.25">
      <c r="C4534" t="s">
        <v>23469</v>
      </c>
      <c r="G4534" t="s">
        <v>23174</v>
      </c>
      <c r="H4534" t="s">
        <v>1115</v>
      </c>
      <c r="J4534" t="s">
        <v>23175</v>
      </c>
      <c r="K4534" t="s">
        <v>303</v>
      </c>
      <c r="L4534" t="s">
        <v>3095</v>
      </c>
      <c r="M4534" t="s">
        <v>113</v>
      </c>
      <c r="N4534" t="s">
        <v>23178</v>
      </c>
      <c r="O4534" t="s">
        <v>21543</v>
      </c>
      <c r="P4534" t="s">
        <v>117</v>
      </c>
      <c r="Q4534" t="str">
        <f t="shared" si="6"/>
        <v>14225</v>
      </c>
      <c r="AC4534" t="s">
        <v>119</v>
      </c>
      <c r="AD4534" t="s">
        <v>113</v>
      </c>
      <c r="AE4534" t="s">
        <v>3098</v>
      </c>
      <c r="AG4534" t="s">
        <v>121</v>
      </c>
    </row>
    <row r="4535" spans="1:33" x14ac:dyDescent="0.25">
      <c r="C4535" t="s">
        <v>23470</v>
      </c>
      <c r="G4535" t="s">
        <v>23174</v>
      </c>
      <c r="H4535" t="s">
        <v>1115</v>
      </c>
      <c r="J4535" t="s">
        <v>23175</v>
      </c>
      <c r="K4535" t="s">
        <v>303</v>
      </c>
      <c r="L4535" t="s">
        <v>3095</v>
      </c>
      <c r="M4535" t="s">
        <v>113</v>
      </c>
      <c r="N4535" t="s">
        <v>23178</v>
      </c>
      <c r="O4535" t="s">
        <v>21543</v>
      </c>
      <c r="P4535" t="s">
        <v>117</v>
      </c>
      <c r="Q4535" t="str">
        <f t="shared" si="6"/>
        <v>14225</v>
      </c>
      <c r="AC4535" t="s">
        <v>119</v>
      </c>
      <c r="AD4535" t="s">
        <v>113</v>
      </c>
      <c r="AE4535" t="s">
        <v>3098</v>
      </c>
      <c r="AG4535" t="s">
        <v>121</v>
      </c>
    </row>
    <row r="4536" spans="1:33" x14ac:dyDescent="0.25">
      <c r="C4536" t="s">
        <v>23471</v>
      </c>
      <c r="G4536" t="s">
        <v>23174</v>
      </c>
      <c r="H4536" t="s">
        <v>1115</v>
      </c>
      <c r="J4536" t="s">
        <v>23175</v>
      </c>
      <c r="K4536" t="s">
        <v>303</v>
      </c>
      <c r="L4536" t="s">
        <v>3095</v>
      </c>
      <c r="M4536" t="s">
        <v>113</v>
      </c>
      <c r="N4536" t="s">
        <v>23178</v>
      </c>
      <c r="O4536" t="s">
        <v>21543</v>
      </c>
      <c r="P4536" t="s">
        <v>117</v>
      </c>
      <c r="Q4536" t="str">
        <f t="shared" si="6"/>
        <v>14225</v>
      </c>
      <c r="AC4536" t="s">
        <v>119</v>
      </c>
      <c r="AD4536" t="s">
        <v>113</v>
      </c>
      <c r="AE4536" t="s">
        <v>3098</v>
      </c>
      <c r="AG4536" t="s">
        <v>121</v>
      </c>
    </row>
    <row r="4537" spans="1:33" x14ac:dyDescent="0.25">
      <c r="C4537" t="s">
        <v>23472</v>
      </c>
      <c r="G4537" t="s">
        <v>23174</v>
      </c>
      <c r="H4537" t="s">
        <v>1115</v>
      </c>
      <c r="J4537" t="s">
        <v>23175</v>
      </c>
      <c r="K4537" t="s">
        <v>303</v>
      </c>
      <c r="L4537" t="s">
        <v>3095</v>
      </c>
      <c r="M4537" t="s">
        <v>113</v>
      </c>
      <c r="N4537" t="s">
        <v>23178</v>
      </c>
      <c r="O4537" t="s">
        <v>21543</v>
      </c>
      <c r="P4537" t="s">
        <v>117</v>
      </c>
      <c r="Q4537" t="str">
        <f t="shared" si="6"/>
        <v>14225</v>
      </c>
      <c r="AC4537" t="s">
        <v>119</v>
      </c>
      <c r="AD4537" t="s">
        <v>113</v>
      </c>
      <c r="AE4537" t="s">
        <v>3098</v>
      </c>
      <c r="AG4537" t="s">
        <v>121</v>
      </c>
    </row>
    <row r="4538" spans="1:33" x14ac:dyDescent="0.25">
      <c r="C4538" t="s">
        <v>23473</v>
      </c>
      <c r="G4538" t="s">
        <v>23174</v>
      </c>
      <c r="H4538" t="s">
        <v>1115</v>
      </c>
      <c r="J4538" t="s">
        <v>23175</v>
      </c>
      <c r="K4538" t="s">
        <v>303</v>
      </c>
      <c r="L4538" t="s">
        <v>3095</v>
      </c>
      <c r="M4538" t="s">
        <v>113</v>
      </c>
      <c r="N4538" t="s">
        <v>23178</v>
      </c>
      <c r="O4538" t="s">
        <v>21543</v>
      </c>
      <c r="P4538" t="s">
        <v>117</v>
      </c>
      <c r="Q4538" t="str">
        <f t="shared" si="6"/>
        <v>14225</v>
      </c>
      <c r="AC4538" t="s">
        <v>119</v>
      </c>
      <c r="AD4538" t="s">
        <v>113</v>
      </c>
      <c r="AE4538" t="s">
        <v>3098</v>
      </c>
      <c r="AG4538" t="s">
        <v>121</v>
      </c>
    </row>
    <row r="4539" spans="1:33" x14ac:dyDescent="0.25">
      <c r="C4539" t="s">
        <v>23474</v>
      </c>
      <c r="G4539" t="s">
        <v>23174</v>
      </c>
      <c r="H4539" t="s">
        <v>1115</v>
      </c>
      <c r="J4539" t="s">
        <v>23175</v>
      </c>
      <c r="K4539" t="s">
        <v>303</v>
      </c>
      <c r="L4539" t="s">
        <v>3095</v>
      </c>
      <c r="M4539" t="s">
        <v>113</v>
      </c>
      <c r="N4539" t="s">
        <v>23178</v>
      </c>
      <c r="O4539" t="s">
        <v>21543</v>
      </c>
      <c r="P4539" t="s">
        <v>117</v>
      </c>
      <c r="Q4539" t="str">
        <f t="shared" si="6"/>
        <v>14225</v>
      </c>
      <c r="AC4539" t="s">
        <v>119</v>
      </c>
      <c r="AD4539" t="s">
        <v>113</v>
      </c>
      <c r="AE4539" t="s">
        <v>3098</v>
      </c>
      <c r="AG4539" t="s">
        <v>121</v>
      </c>
    </row>
    <row r="4540" spans="1:33" x14ac:dyDescent="0.25">
      <c r="C4540" t="s">
        <v>23475</v>
      </c>
      <c r="G4540" t="s">
        <v>23174</v>
      </c>
      <c r="H4540" t="s">
        <v>1115</v>
      </c>
      <c r="J4540" t="s">
        <v>23175</v>
      </c>
      <c r="K4540" t="s">
        <v>303</v>
      </c>
      <c r="L4540" t="s">
        <v>3095</v>
      </c>
      <c r="M4540" t="s">
        <v>113</v>
      </c>
      <c r="N4540" t="s">
        <v>23178</v>
      </c>
      <c r="O4540" t="s">
        <v>21543</v>
      </c>
      <c r="P4540" t="s">
        <v>117</v>
      </c>
      <c r="Q4540" t="str">
        <f t="shared" si="6"/>
        <v>14225</v>
      </c>
      <c r="AC4540" t="s">
        <v>119</v>
      </c>
      <c r="AD4540" t="s">
        <v>113</v>
      </c>
      <c r="AE4540" t="s">
        <v>3098</v>
      </c>
      <c r="AG4540" t="s">
        <v>121</v>
      </c>
    </row>
    <row r="4541" spans="1:33" x14ac:dyDescent="0.25">
      <c r="C4541" t="s">
        <v>23476</v>
      </c>
      <c r="G4541" t="s">
        <v>23174</v>
      </c>
      <c r="H4541" t="s">
        <v>1115</v>
      </c>
      <c r="J4541" t="s">
        <v>23175</v>
      </c>
      <c r="K4541" t="s">
        <v>303</v>
      </c>
      <c r="L4541" t="s">
        <v>3095</v>
      </c>
      <c r="M4541" t="s">
        <v>113</v>
      </c>
      <c r="N4541" t="s">
        <v>23178</v>
      </c>
      <c r="O4541" t="s">
        <v>21543</v>
      </c>
      <c r="P4541" t="s">
        <v>117</v>
      </c>
      <c r="Q4541" t="str">
        <f t="shared" si="6"/>
        <v>14225</v>
      </c>
      <c r="AC4541" t="s">
        <v>119</v>
      </c>
      <c r="AD4541" t="s">
        <v>113</v>
      </c>
      <c r="AE4541" t="s">
        <v>3098</v>
      </c>
      <c r="AG4541" t="s">
        <v>121</v>
      </c>
    </row>
    <row r="4542" spans="1:33" x14ac:dyDescent="0.25">
      <c r="C4542" t="s">
        <v>23477</v>
      </c>
      <c r="G4542" t="s">
        <v>23174</v>
      </c>
      <c r="H4542" t="s">
        <v>1115</v>
      </c>
      <c r="J4542" t="s">
        <v>23175</v>
      </c>
      <c r="K4542" t="s">
        <v>303</v>
      </c>
      <c r="L4542" t="s">
        <v>3095</v>
      </c>
      <c r="M4542" t="s">
        <v>113</v>
      </c>
      <c r="N4542" t="s">
        <v>23178</v>
      </c>
      <c r="O4542" t="s">
        <v>21543</v>
      </c>
      <c r="P4542" t="s">
        <v>117</v>
      </c>
      <c r="Q4542" t="str">
        <f t="shared" si="6"/>
        <v>14225</v>
      </c>
      <c r="AC4542" t="s">
        <v>119</v>
      </c>
      <c r="AD4542" t="s">
        <v>113</v>
      </c>
      <c r="AE4542" t="s">
        <v>3098</v>
      </c>
      <c r="AG4542" t="s">
        <v>121</v>
      </c>
    </row>
    <row r="4543" spans="1:33" x14ac:dyDescent="0.25">
      <c r="A4543" t="str">
        <f>"1275844136"</f>
        <v>1275844136</v>
      </c>
      <c r="B4543" t="str">
        <f>"03757646"</f>
        <v>03757646</v>
      </c>
      <c r="C4543" t="s">
        <v>23478</v>
      </c>
      <c r="D4543" t="s">
        <v>23479</v>
      </c>
      <c r="E4543" t="s">
        <v>23480</v>
      </c>
      <c r="G4543" t="s">
        <v>23174</v>
      </c>
      <c r="H4543" t="s">
        <v>1115</v>
      </c>
      <c r="J4543" t="s">
        <v>23175</v>
      </c>
      <c r="L4543" t="s">
        <v>1033</v>
      </c>
      <c r="M4543" t="s">
        <v>113</v>
      </c>
      <c r="R4543" t="s">
        <v>23481</v>
      </c>
      <c r="W4543" t="s">
        <v>23480</v>
      </c>
      <c r="X4543" t="s">
        <v>23482</v>
      </c>
      <c r="Y4543" t="s">
        <v>958</v>
      </c>
      <c r="Z4543" t="s">
        <v>117</v>
      </c>
      <c r="AA4543" t="str">
        <f>"14226-2544"</f>
        <v>14226-2544</v>
      </c>
      <c r="AB4543" t="s">
        <v>118</v>
      </c>
      <c r="AC4543" t="s">
        <v>119</v>
      </c>
      <c r="AD4543" t="s">
        <v>113</v>
      </c>
      <c r="AE4543" t="s">
        <v>120</v>
      </c>
      <c r="AG4543" t="s">
        <v>121</v>
      </c>
    </row>
    <row r="4544" spans="1:33" x14ac:dyDescent="0.25">
      <c r="C4544" t="s">
        <v>23483</v>
      </c>
      <c r="G4544" t="s">
        <v>23174</v>
      </c>
      <c r="H4544" t="s">
        <v>1115</v>
      </c>
      <c r="J4544" t="s">
        <v>23175</v>
      </c>
      <c r="K4544" t="s">
        <v>303</v>
      </c>
      <c r="L4544" t="s">
        <v>3095</v>
      </c>
      <c r="M4544" t="s">
        <v>113</v>
      </c>
      <c r="N4544" t="s">
        <v>23178</v>
      </c>
      <c r="O4544" t="s">
        <v>21543</v>
      </c>
      <c r="P4544" t="s">
        <v>117</v>
      </c>
      <c r="Q4544" t="str">
        <f>"14225"</f>
        <v>14225</v>
      </c>
      <c r="AC4544" t="s">
        <v>119</v>
      </c>
      <c r="AD4544" t="s">
        <v>113</v>
      </c>
      <c r="AE4544" t="s">
        <v>3098</v>
      </c>
      <c r="AG4544" t="s">
        <v>121</v>
      </c>
    </row>
    <row r="4545" spans="1:33" x14ac:dyDescent="0.25">
      <c r="C4545" t="s">
        <v>23484</v>
      </c>
      <c r="G4545" t="s">
        <v>23174</v>
      </c>
      <c r="H4545" t="s">
        <v>1115</v>
      </c>
      <c r="J4545" t="s">
        <v>23175</v>
      </c>
      <c r="K4545" t="s">
        <v>303</v>
      </c>
      <c r="L4545" t="s">
        <v>3095</v>
      </c>
      <c r="M4545" t="s">
        <v>113</v>
      </c>
      <c r="N4545" t="s">
        <v>23178</v>
      </c>
      <c r="O4545" t="s">
        <v>21543</v>
      </c>
      <c r="P4545" t="s">
        <v>117</v>
      </c>
      <c r="Q4545" t="str">
        <f>"14225"</f>
        <v>14225</v>
      </c>
      <c r="AC4545" t="s">
        <v>119</v>
      </c>
      <c r="AD4545" t="s">
        <v>113</v>
      </c>
      <c r="AE4545" t="s">
        <v>3098</v>
      </c>
      <c r="AG4545" t="s">
        <v>121</v>
      </c>
    </row>
    <row r="4546" spans="1:33" x14ac:dyDescent="0.25">
      <c r="A4546" t="str">
        <f>"1760548846"</f>
        <v>1760548846</v>
      </c>
      <c r="B4546" t="str">
        <f>"03729164"</f>
        <v>03729164</v>
      </c>
      <c r="C4546" t="s">
        <v>23485</v>
      </c>
      <c r="D4546" t="s">
        <v>23486</v>
      </c>
      <c r="E4546" t="s">
        <v>23487</v>
      </c>
      <c r="G4546" t="s">
        <v>23174</v>
      </c>
      <c r="H4546" t="s">
        <v>1115</v>
      </c>
      <c r="J4546" t="s">
        <v>23175</v>
      </c>
      <c r="L4546" t="s">
        <v>112</v>
      </c>
      <c r="M4546" t="s">
        <v>113</v>
      </c>
      <c r="R4546" t="s">
        <v>23488</v>
      </c>
      <c r="W4546" t="s">
        <v>23487</v>
      </c>
      <c r="X4546" t="s">
        <v>1218</v>
      </c>
      <c r="Y4546" t="s">
        <v>318</v>
      </c>
      <c r="Z4546" t="s">
        <v>117</v>
      </c>
      <c r="AA4546" t="str">
        <f>"14225-4985"</f>
        <v>14225-4985</v>
      </c>
      <c r="AB4546" t="s">
        <v>621</v>
      </c>
      <c r="AC4546" t="s">
        <v>119</v>
      </c>
      <c r="AD4546" t="s">
        <v>113</v>
      </c>
      <c r="AE4546" t="s">
        <v>120</v>
      </c>
      <c r="AG4546" t="s">
        <v>121</v>
      </c>
    </row>
    <row r="4547" spans="1:33" x14ac:dyDescent="0.25">
      <c r="A4547" t="str">
        <f>"1326175019"</f>
        <v>1326175019</v>
      </c>
      <c r="B4547" t="str">
        <f>"03583497"</f>
        <v>03583497</v>
      </c>
      <c r="C4547" t="s">
        <v>23489</v>
      </c>
      <c r="D4547" t="s">
        <v>23490</v>
      </c>
      <c r="E4547" t="s">
        <v>23491</v>
      </c>
      <c r="G4547" t="s">
        <v>18848</v>
      </c>
      <c r="H4547" t="s">
        <v>6042</v>
      </c>
      <c r="J4547" t="s">
        <v>18849</v>
      </c>
      <c r="L4547" t="s">
        <v>112</v>
      </c>
      <c r="M4547" t="s">
        <v>113</v>
      </c>
      <c r="R4547" t="s">
        <v>23492</v>
      </c>
      <c r="W4547" t="s">
        <v>23491</v>
      </c>
      <c r="X4547" t="s">
        <v>1588</v>
      </c>
      <c r="Y4547" t="s">
        <v>153</v>
      </c>
      <c r="Z4547" t="s">
        <v>117</v>
      </c>
      <c r="AA4547" t="str">
        <f>"14304-1114"</f>
        <v>14304-1114</v>
      </c>
      <c r="AB4547" t="s">
        <v>223</v>
      </c>
      <c r="AC4547" t="s">
        <v>119</v>
      </c>
      <c r="AD4547" t="s">
        <v>113</v>
      </c>
      <c r="AE4547" t="s">
        <v>120</v>
      </c>
      <c r="AG4547" t="s">
        <v>121</v>
      </c>
    </row>
    <row r="4548" spans="1:33" x14ac:dyDescent="0.25">
      <c r="A4548" t="str">
        <f>"1518109107"</f>
        <v>1518109107</v>
      </c>
      <c r="C4548" t="s">
        <v>23493</v>
      </c>
      <c r="G4548" t="s">
        <v>18848</v>
      </c>
      <c r="H4548" t="s">
        <v>6042</v>
      </c>
      <c r="J4548" t="s">
        <v>18849</v>
      </c>
      <c r="K4548" t="s">
        <v>303</v>
      </c>
      <c r="L4548" t="s">
        <v>229</v>
      </c>
      <c r="M4548" t="s">
        <v>113</v>
      </c>
      <c r="R4548" t="s">
        <v>23494</v>
      </c>
      <c r="S4548" t="s">
        <v>23495</v>
      </c>
      <c r="T4548" t="s">
        <v>663</v>
      </c>
      <c r="U4548" t="s">
        <v>117</v>
      </c>
      <c r="V4548" t="str">
        <f>"140942543"</f>
        <v>140942543</v>
      </c>
      <c r="AC4548" t="s">
        <v>119</v>
      </c>
      <c r="AD4548" t="s">
        <v>113</v>
      </c>
      <c r="AE4548" t="s">
        <v>306</v>
      </c>
      <c r="AG4548" t="s">
        <v>121</v>
      </c>
    </row>
    <row r="4549" spans="1:33" x14ac:dyDescent="0.25">
      <c r="A4549" t="str">
        <f>"1437412012"</f>
        <v>1437412012</v>
      </c>
      <c r="C4549" t="s">
        <v>23496</v>
      </c>
      <c r="G4549" t="s">
        <v>18848</v>
      </c>
      <c r="H4549" t="s">
        <v>6042</v>
      </c>
      <c r="J4549" t="s">
        <v>18849</v>
      </c>
      <c r="K4549" t="s">
        <v>303</v>
      </c>
      <c r="L4549" t="s">
        <v>229</v>
      </c>
      <c r="M4549" t="s">
        <v>113</v>
      </c>
      <c r="R4549" t="s">
        <v>23497</v>
      </c>
      <c r="S4549" t="s">
        <v>23498</v>
      </c>
      <c r="T4549" t="s">
        <v>3649</v>
      </c>
      <c r="U4549" t="s">
        <v>117</v>
      </c>
      <c r="V4549" t="str">
        <f>"140722175"</f>
        <v>140722175</v>
      </c>
      <c r="AC4549" t="s">
        <v>119</v>
      </c>
      <c r="AD4549" t="s">
        <v>113</v>
      </c>
      <c r="AE4549" t="s">
        <v>306</v>
      </c>
      <c r="AG4549" t="s">
        <v>121</v>
      </c>
    </row>
    <row r="4550" spans="1:33" x14ac:dyDescent="0.25">
      <c r="A4550" t="str">
        <f>"1558623132"</f>
        <v>1558623132</v>
      </c>
      <c r="C4550" t="s">
        <v>23499</v>
      </c>
      <c r="G4550" t="s">
        <v>18848</v>
      </c>
      <c r="H4550" t="s">
        <v>6042</v>
      </c>
      <c r="J4550" t="s">
        <v>18849</v>
      </c>
      <c r="K4550" t="s">
        <v>303</v>
      </c>
      <c r="L4550" t="s">
        <v>229</v>
      </c>
      <c r="M4550" t="s">
        <v>113</v>
      </c>
      <c r="R4550" t="s">
        <v>23500</v>
      </c>
      <c r="S4550" t="s">
        <v>23501</v>
      </c>
      <c r="T4550" t="s">
        <v>663</v>
      </c>
      <c r="U4550" t="s">
        <v>117</v>
      </c>
      <c r="V4550" t="str">
        <f>"140944907"</f>
        <v>140944907</v>
      </c>
      <c r="AC4550" t="s">
        <v>119</v>
      </c>
      <c r="AD4550" t="s">
        <v>113</v>
      </c>
      <c r="AE4550" t="s">
        <v>306</v>
      </c>
      <c r="AG4550" t="s">
        <v>121</v>
      </c>
    </row>
    <row r="4551" spans="1:33" x14ac:dyDescent="0.25">
      <c r="A4551" t="str">
        <f>"1790047116"</f>
        <v>1790047116</v>
      </c>
      <c r="C4551" t="s">
        <v>23502</v>
      </c>
      <c r="G4551" t="s">
        <v>18848</v>
      </c>
      <c r="H4551" t="s">
        <v>6042</v>
      </c>
      <c r="J4551" t="s">
        <v>18849</v>
      </c>
      <c r="K4551" t="s">
        <v>303</v>
      </c>
      <c r="L4551" t="s">
        <v>229</v>
      </c>
      <c r="M4551" t="s">
        <v>113</v>
      </c>
      <c r="R4551" t="s">
        <v>23503</v>
      </c>
      <c r="S4551" t="s">
        <v>23504</v>
      </c>
      <c r="T4551" t="s">
        <v>3649</v>
      </c>
      <c r="U4551" t="s">
        <v>117</v>
      </c>
      <c r="V4551" t="str">
        <f>"140721364"</f>
        <v>140721364</v>
      </c>
      <c r="AC4551" t="s">
        <v>119</v>
      </c>
      <c r="AD4551" t="s">
        <v>113</v>
      </c>
      <c r="AE4551" t="s">
        <v>306</v>
      </c>
      <c r="AG4551" t="s">
        <v>121</v>
      </c>
    </row>
    <row r="4552" spans="1:33" x14ac:dyDescent="0.25">
      <c r="A4552" t="str">
        <f>"1104189703"</f>
        <v>1104189703</v>
      </c>
      <c r="C4552" t="s">
        <v>23505</v>
      </c>
      <c r="G4552" t="s">
        <v>18848</v>
      </c>
      <c r="H4552" t="s">
        <v>6042</v>
      </c>
      <c r="J4552" t="s">
        <v>18849</v>
      </c>
      <c r="K4552" t="s">
        <v>303</v>
      </c>
      <c r="L4552" t="s">
        <v>229</v>
      </c>
      <c r="M4552" t="s">
        <v>113</v>
      </c>
      <c r="R4552" t="s">
        <v>23506</v>
      </c>
      <c r="S4552" t="s">
        <v>23507</v>
      </c>
      <c r="T4552" t="s">
        <v>23508</v>
      </c>
      <c r="U4552" t="s">
        <v>117</v>
      </c>
      <c r="V4552" t="str">
        <f>"141741407"</f>
        <v>141741407</v>
      </c>
      <c r="AC4552" t="s">
        <v>119</v>
      </c>
      <c r="AD4552" t="s">
        <v>113</v>
      </c>
      <c r="AE4552" t="s">
        <v>306</v>
      </c>
      <c r="AG4552" t="s">
        <v>121</v>
      </c>
    </row>
    <row r="4553" spans="1:33" x14ac:dyDescent="0.25">
      <c r="A4553" t="str">
        <f>"1962655688"</f>
        <v>1962655688</v>
      </c>
      <c r="B4553" t="str">
        <f>"03583511"</f>
        <v>03583511</v>
      </c>
      <c r="C4553" t="s">
        <v>23509</v>
      </c>
      <c r="D4553" t="s">
        <v>23510</v>
      </c>
      <c r="E4553" t="s">
        <v>23511</v>
      </c>
      <c r="G4553" t="s">
        <v>18848</v>
      </c>
      <c r="H4553" t="s">
        <v>6042</v>
      </c>
      <c r="J4553" t="s">
        <v>18849</v>
      </c>
      <c r="L4553" t="s">
        <v>112</v>
      </c>
      <c r="M4553" t="s">
        <v>113</v>
      </c>
      <c r="R4553" t="s">
        <v>23512</v>
      </c>
      <c r="W4553" t="s">
        <v>23511</v>
      </c>
      <c r="X4553" t="s">
        <v>1588</v>
      </c>
      <c r="Y4553" t="s">
        <v>153</v>
      </c>
      <c r="Z4553" t="s">
        <v>117</v>
      </c>
      <c r="AA4553" t="str">
        <f>"14304-1114"</f>
        <v>14304-1114</v>
      </c>
      <c r="AB4553" t="s">
        <v>223</v>
      </c>
      <c r="AC4553" t="s">
        <v>119</v>
      </c>
      <c r="AD4553" t="s">
        <v>113</v>
      </c>
      <c r="AE4553" t="s">
        <v>120</v>
      </c>
      <c r="AG4553" t="s">
        <v>121</v>
      </c>
    </row>
    <row r="4554" spans="1:33" x14ac:dyDescent="0.25">
      <c r="A4554" t="str">
        <f>"1639355969"</f>
        <v>1639355969</v>
      </c>
      <c r="C4554" t="s">
        <v>23513</v>
      </c>
      <c r="G4554" t="s">
        <v>18848</v>
      </c>
      <c r="H4554" t="s">
        <v>6042</v>
      </c>
      <c r="J4554" t="s">
        <v>18849</v>
      </c>
      <c r="K4554" t="s">
        <v>303</v>
      </c>
      <c r="L4554" t="s">
        <v>112</v>
      </c>
      <c r="M4554" t="s">
        <v>113</v>
      </c>
      <c r="R4554" t="s">
        <v>23514</v>
      </c>
      <c r="S4554" t="s">
        <v>18873</v>
      </c>
      <c r="T4554" t="s">
        <v>326</v>
      </c>
      <c r="U4554" t="s">
        <v>117</v>
      </c>
      <c r="V4554" t="str">
        <f>"141272640"</f>
        <v>141272640</v>
      </c>
      <c r="AC4554" t="s">
        <v>119</v>
      </c>
      <c r="AD4554" t="s">
        <v>113</v>
      </c>
      <c r="AE4554" t="s">
        <v>306</v>
      </c>
      <c r="AG4554" t="s">
        <v>121</v>
      </c>
    </row>
    <row r="4555" spans="1:33" x14ac:dyDescent="0.25">
      <c r="A4555" t="str">
        <f>"1730442351"</f>
        <v>1730442351</v>
      </c>
      <c r="C4555" t="s">
        <v>23515</v>
      </c>
      <c r="G4555" t="s">
        <v>18848</v>
      </c>
      <c r="H4555" t="s">
        <v>6042</v>
      </c>
      <c r="J4555" t="s">
        <v>18849</v>
      </c>
      <c r="K4555" t="s">
        <v>303</v>
      </c>
      <c r="L4555" t="s">
        <v>229</v>
      </c>
      <c r="M4555" t="s">
        <v>113</v>
      </c>
      <c r="R4555" t="s">
        <v>23516</v>
      </c>
      <c r="S4555" t="s">
        <v>23517</v>
      </c>
      <c r="T4555" t="s">
        <v>268</v>
      </c>
      <c r="U4555" t="s">
        <v>117</v>
      </c>
      <c r="V4555" t="str">
        <f>"142231304"</f>
        <v>142231304</v>
      </c>
      <c r="AC4555" t="s">
        <v>119</v>
      </c>
      <c r="AD4555" t="s">
        <v>113</v>
      </c>
      <c r="AE4555" t="s">
        <v>306</v>
      </c>
      <c r="AG4555" t="s">
        <v>121</v>
      </c>
    </row>
    <row r="4556" spans="1:33" x14ac:dyDescent="0.25">
      <c r="A4556" t="str">
        <f>"1558623728"</f>
        <v>1558623728</v>
      </c>
      <c r="C4556" t="s">
        <v>23518</v>
      </c>
      <c r="G4556" t="s">
        <v>18848</v>
      </c>
      <c r="H4556" t="s">
        <v>6042</v>
      </c>
      <c r="J4556" t="s">
        <v>18849</v>
      </c>
      <c r="K4556" t="s">
        <v>303</v>
      </c>
      <c r="L4556" t="s">
        <v>229</v>
      </c>
      <c r="M4556" t="s">
        <v>113</v>
      </c>
      <c r="R4556" t="s">
        <v>23519</v>
      </c>
      <c r="S4556" t="s">
        <v>23520</v>
      </c>
      <c r="T4556" t="s">
        <v>4695</v>
      </c>
      <c r="U4556" t="s">
        <v>117</v>
      </c>
      <c r="V4556" t="str">
        <f>"141059629"</f>
        <v>141059629</v>
      </c>
      <c r="AC4556" t="s">
        <v>119</v>
      </c>
      <c r="AD4556" t="s">
        <v>113</v>
      </c>
      <c r="AE4556" t="s">
        <v>306</v>
      </c>
      <c r="AG4556" t="s">
        <v>121</v>
      </c>
    </row>
    <row r="4557" spans="1:33" x14ac:dyDescent="0.25">
      <c r="A4557" t="str">
        <f>"1356603708"</f>
        <v>1356603708</v>
      </c>
      <c r="C4557" t="s">
        <v>23521</v>
      </c>
      <c r="G4557" t="s">
        <v>18848</v>
      </c>
      <c r="H4557" t="s">
        <v>6042</v>
      </c>
      <c r="J4557" t="s">
        <v>18849</v>
      </c>
      <c r="K4557" t="s">
        <v>303</v>
      </c>
      <c r="L4557" t="s">
        <v>229</v>
      </c>
      <c r="M4557" t="s">
        <v>113</v>
      </c>
      <c r="R4557" t="s">
        <v>23522</v>
      </c>
      <c r="S4557" t="s">
        <v>23523</v>
      </c>
      <c r="T4557" t="s">
        <v>3649</v>
      </c>
      <c r="U4557" t="s">
        <v>117</v>
      </c>
      <c r="V4557" t="str">
        <f>"140721660"</f>
        <v>140721660</v>
      </c>
      <c r="AC4557" t="s">
        <v>119</v>
      </c>
      <c r="AD4557" t="s">
        <v>113</v>
      </c>
      <c r="AE4557" t="s">
        <v>306</v>
      </c>
      <c r="AG4557" t="s">
        <v>121</v>
      </c>
    </row>
    <row r="4558" spans="1:33" x14ac:dyDescent="0.25">
      <c r="A4558" t="str">
        <f>"1306094156"</f>
        <v>1306094156</v>
      </c>
      <c r="C4558" t="s">
        <v>23524</v>
      </c>
      <c r="G4558" t="s">
        <v>18848</v>
      </c>
      <c r="H4558" t="s">
        <v>6042</v>
      </c>
      <c r="J4558" t="s">
        <v>18849</v>
      </c>
      <c r="K4558" t="s">
        <v>303</v>
      </c>
      <c r="L4558" t="s">
        <v>229</v>
      </c>
      <c r="M4558" t="s">
        <v>113</v>
      </c>
      <c r="R4558" t="s">
        <v>23525</v>
      </c>
      <c r="S4558" t="s">
        <v>23526</v>
      </c>
      <c r="T4558" t="s">
        <v>153</v>
      </c>
      <c r="U4558" t="s">
        <v>117</v>
      </c>
      <c r="V4558" t="str">
        <f>"143031443"</f>
        <v>143031443</v>
      </c>
      <c r="AC4558" t="s">
        <v>119</v>
      </c>
      <c r="AD4558" t="s">
        <v>113</v>
      </c>
      <c r="AE4558" t="s">
        <v>306</v>
      </c>
      <c r="AG4558" t="s">
        <v>121</v>
      </c>
    </row>
    <row r="4559" spans="1:33" x14ac:dyDescent="0.25">
      <c r="A4559" t="str">
        <f>"1891058426"</f>
        <v>1891058426</v>
      </c>
      <c r="C4559" t="s">
        <v>23527</v>
      </c>
      <c r="G4559" t="s">
        <v>18848</v>
      </c>
      <c r="H4559" t="s">
        <v>6042</v>
      </c>
      <c r="J4559" t="s">
        <v>18849</v>
      </c>
      <c r="K4559" t="s">
        <v>303</v>
      </c>
      <c r="L4559" t="s">
        <v>229</v>
      </c>
      <c r="M4559" t="s">
        <v>113</v>
      </c>
      <c r="R4559" t="s">
        <v>23528</v>
      </c>
      <c r="S4559" t="s">
        <v>23529</v>
      </c>
      <c r="T4559" t="s">
        <v>816</v>
      </c>
      <c r="U4559" t="s">
        <v>117</v>
      </c>
      <c r="V4559" t="str">
        <f>"141201410"</f>
        <v>141201410</v>
      </c>
      <c r="AC4559" t="s">
        <v>119</v>
      </c>
      <c r="AD4559" t="s">
        <v>113</v>
      </c>
      <c r="AE4559" t="s">
        <v>306</v>
      </c>
      <c r="AG4559" t="s">
        <v>121</v>
      </c>
    </row>
    <row r="4560" spans="1:33" x14ac:dyDescent="0.25">
      <c r="C4560" t="s">
        <v>23530</v>
      </c>
      <c r="G4560" t="s">
        <v>23531</v>
      </c>
      <c r="H4560" t="s">
        <v>23532</v>
      </c>
      <c r="J4560" t="s">
        <v>23533</v>
      </c>
      <c r="K4560" t="s">
        <v>303</v>
      </c>
      <c r="L4560" t="s">
        <v>3095</v>
      </c>
      <c r="M4560" t="s">
        <v>113</v>
      </c>
      <c r="N4560" t="s">
        <v>23534</v>
      </c>
      <c r="O4560" t="s">
        <v>3097</v>
      </c>
      <c r="P4560" t="s">
        <v>117</v>
      </c>
      <c r="Q4560" t="str">
        <f>"14224"</f>
        <v>14224</v>
      </c>
      <c r="AC4560" t="s">
        <v>119</v>
      </c>
      <c r="AD4560" t="s">
        <v>113</v>
      </c>
      <c r="AE4560" t="s">
        <v>3098</v>
      </c>
      <c r="AG4560" t="s">
        <v>121</v>
      </c>
    </row>
    <row r="4561" spans="1:33" x14ac:dyDescent="0.25">
      <c r="C4561" t="s">
        <v>23535</v>
      </c>
      <c r="G4561" t="s">
        <v>23536</v>
      </c>
      <c r="H4561" t="s">
        <v>23537</v>
      </c>
      <c r="J4561" t="s">
        <v>23538</v>
      </c>
      <c r="K4561" t="s">
        <v>303</v>
      </c>
      <c r="L4561" t="s">
        <v>3095</v>
      </c>
      <c r="M4561" t="s">
        <v>113</v>
      </c>
      <c r="N4561" t="s">
        <v>23539</v>
      </c>
      <c r="O4561" t="s">
        <v>23540</v>
      </c>
      <c r="P4561" t="s">
        <v>117</v>
      </c>
      <c r="Q4561" t="str">
        <f>"14081"</f>
        <v>14081</v>
      </c>
      <c r="AC4561" t="s">
        <v>119</v>
      </c>
      <c r="AD4561" t="s">
        <v>113</v>
      </c>
      <c r="AE4561" t="s">
        <v>3098</v>
      </c>
      <c r="AG4561" t="s">
        <v>121</v>
      </c>
    </row>
    <row r="4562" spans="1:33" x14ac:dyDescent="0.25">
      <c r="C4562" t="s">
        <v>23541</v>
      </c>
      <c r="G4562" t="s">
        <v>23542</v>
      </c>
      <c r="H4562" t="s">
        <v>1607</v>
      </c>
      <c r="J4562" t="s">
        <v>23543</v>
      </c>
      <c r="K4562" t="s">
        <v>303</v>
      </c>
      <c r="L4562" t="s">
        <v>3095</v>
      </c>
      <c r="M4562" t="s">
        <v>113</v>
      </c>
      <c r="N4562" t="s">
        <v>23544</v>
      </c>
      <c r="O4562" t="s">
        <v>23545</v>
      </c>
      <c r="P4562" t="s">
        <v>117</v>
      </c>
      <c r="Q4562" t="str">
        <f>"14173"</f>
        <v>14173</v>
      </c>
      <c r="AC4562" t="s">
        <v>119</v>
      </c>
      <c r="AD4562" t="s">
        <v>113</v>
      </c>
      <c r="AE4562" t="s">
        <v>3098</v>
      </c>
      <c r="AG4562" t="s">
        <v>121</v>
      </c>
    </row>
    <row r="4563" spans="1:33" x14ac:dyDescent="0.25">
      <c r="A4563" t="str">
        <f>"1508101353"</f>
        <v>1508101353</v>
      </c>
      <c r="C4563" t="s">
        <v>23546</v>
      </c>
      <c r="G4563" t="s">
        <v>22521</v>
      </c>
      <c r="H4563" t="s">
        <v>23547</v>
      </c>
      <c r="I4563">
        <v>3320</v>
      </c>
      <c r="J4563" t="s">
        <v>22522</v>
      </c>
      <c r="K4563" t="s">
        <v>303</v>
      </c>
      <c r="L4563" t="s">
        <v>229</v>
      </c>
      <c r="M4563" t="s">
        <v>113</v>
      </c>
      <c r="R4563" t="s">
        <v>23548</v>
      </c>
      <c r="S4563" t="s">
        <v>1994</v>
      </c>
      <c r="T4563" t="s">
        <v>116</v>
      </c>
      <c r="U4563" t="s">
        <v>117</v>
      </c>
      <c r="V4563" t="str">
        <f>"142041811"</f>
        <v>142041811</v>
      </c>
      <c r="AC4563" t="s">
        <v>119</v>
      </c>
      <c r="AD4563" t="s">
        <v>113</v>
      </c>
      <c r="AE4563" t="s">
        <v>306</v>
      </c>
      <c r="AG4563" t="s">
        <v>121</v>
      </c>
    </row>
    <row r="4564" spans="1:33" x14ac:dyDescent="0.25">
      <c r="A4564" t="str">
        <f>"1790015105"</f>
        <v>1790015105</v>
      </c>
      <c r="C4564" t="s">
        <v>23549</v>
      </c>
      <c r="G4564" t="s">
        <v>22521</v>
      </c>
      <c r="H4564" t="s">
        <v>23550</v>
      </c>
      <c r="I4564">
        <v>3321</v>
      </c>
      <c r="J4564" t="s">
        <v>22522</v>
      </c>
      <c r="K4564" t="s">
        <v>303</v>
      </c>
      <c r="L4564" t="s">
        <v>112</v>
      </c>
      <c r="M4564" t="s">
        <v>113</v>
      </c>
      <c r="R4564" t="s">
        <v>23551</v>
      </c>
      <c r="S4564" t="s">
        <v>22563</v>
      </c>
      <c r="T4564" t="s">
        <v>1767</v>
      </c>
      <c r="U4564" t="s">
        <v>117</v>
      </c>
      <c r="V4564" t="str">
        <f>"147791529"</f>
        <v>147791529</v>
      </c>
      <c r="AC4564" t="s">
        <v>119</v>
      </c>
      <c r="AD4564" t="s">
        <v>113</v>
      </c>
      <c r="AE4564" t="s">
        <v>306</v>
      </c>
      <c r="AG4564" t="s">
        <v>121</v>
      </c>
    </row>
    <row r="4565" spans="1:33" x14ac:dyDescent="0.25">
      <c r="A4565" t="str">
        <f>"1699108134"</f>
        <v>1699108134</v>
      </c>
      <c r="C4565" t="s">
        <v>23552</v>
      </c>
      <c r="G4565" t="s">
        <v>22521</v>
      </c>
      <c r="H4565" t="s">
        <v>23553</v>
      </c>
      <c r="I4565">
        <v>3322</v>
      </c>
      <c r="J4565" t="s">
        <v>22522</v>
      </c>
      <c r="K4565" t="s">
        <v>303</v>
      </c>
      <c r="L4565" t="s">
        <v>229</v>
      </c>
      <c r="M4565" t="s">
        <v>113</v>
      </c>
      <c r="R4565" t="s">
        <v>23554</v>
      </c>
      <c r="S4565" t="s">
        <v>12666</v>
      </c>
      <c r="T4565" t="s">
        <v>305</v>
      </c>
      <c r="U4565" t="s">
        <v>117</v>
      </c>
      <c r="V4565" t="str">
        <f>"147601100"</f>
        <v>147601100</v>
      </c>
      <c r="AC4565" t="s">
        <v>119</v>
      </c>
      <c r="AD4565" t="s">
        <v>113</v>
      </c>
      <c r="AE4565" t="s">
        <v>306</v>
      </c>
      <c r="AG4565" t="s">
        <v>121</v>
      </c>
    </row>
    <row r="4566" spans="1:33" x14ac:dyDescent="0.25">
      <c r="A4566" t="str">
        <f>"1225381676"</f>
        <v>1225381676</v>
      </c>
      <c r="C4566" t="s">
        <v>23555</v>
      </c>
      <c r="G4566" t="s">
        <v>22521</v>
      </c>
      <c r="H4566" t="s">
        <v>23556</v>
      </c>
      <c r="I4566">
        <v>3323</v>
      </c>
      <c r="J4566" t="s">
        <v>22522</v>
      </c>
      <c r="K4566" t="s">
        <v>303</v>
      </c>
      <c r="L4566" t="s">
        <v>112</v>
      </c>
      <c r="M4566" t="s">
        <v>113</v>
      </c>
      <c r="R4566" t="s">
        <v>23557</v>
      </c>
      <c r="S4566" t="s">
        <v>12666</v>
      </c>
      <c r="T4566" t="s">
        <v>305</v>
      </c>
      <c r="U4566" t="s">
        <v>117</v>
      </c>
      <c r="V4566" t="str">
        <f>"147601100"</f>
        <v>147601100</v>
      </c>
      <c r="AC4566" t="s">
        <v>119</v>
      </c>
      <c r="AD4566" t="s">
        <v>113</v>
      </c>
      <c r="AE4566" t="s">
        <v>306</v>
      </c>
      <c r="AG4566" t="s">
        <v>121</v>
      </c>
    </row>
    <row r="4567" spans="1:33" x14ac:dyDescent="0.25">
      <c r="A4567" t="str">
        <f>"1982888673"</f>
        <v>1982888673</v>
      </c>
      <c r="C4567" t="s">
        <v>23558</v>
      </c>
      <c r="G4567" t="s">
        <v>22521</v>
      </c>
      <c r="H4567" t="s">
        <v>23559</v>
      </c>
      <c r="I4567">
        <v>3324</v>
      </c>
      <c r="J4567" t="s">
        <v>22522</v>
      </c>
      <c r="K4567" t="s">
        <v>303</v>
      </c>
      <c r="L4567" t="s">
        <v>229</v>
      </c>
      <c r="M4567" t="s">
        <v>113</v>
      </c>
      <c r="R4567" t="s">
        <v>23560</v>
      </c>
      <c r="S4567" t="s">
        <v>22208</v>
      </c>
      <c r="T4567" t="s">
        <v>305</v>
      </c>
      <c r="U4567" t="s">
        <v>117</v>
      </c>
      <c r="V4567" t="str">
        <f>"147602511"</f>
        <v>147602511</v>
      </c>
      <c r="AC4567" t="s">
        <v>119</v>
      </c>
      <c r="AD4567" t="s">
        <v>113</v>
      </c>
      <c r="AE4567" t="s">
        <v>306</v>
      </c>
      <c r="AG4567" t="s">
        <v>121</v>
      </c>
    </row>
    <row r="4568" spans="1:33" x14ac:dyDescent="0.25">
      <c r="A4568" t="str">
        <f>"1265782569"</f>
        <v>1265782569</v>
      </c>
      <c r="C4568" t="s">
        <v>23561</v>
      </c>
      <c r="G4568" t="s">
        <v>22521</v>
      </c>
      <c r="H4568" t="s">
        <v>23562</v>
      </c>
      <c r="I4568">
        <v>3325</v>
      </c>
      <c r="J4568" t="s">
        <v>22522</v>
      </c>
      <c r="K4568" t="s">
        <v>303</v>
      </c>
      <c r="L4568" t="s">
        <v>112</v>
      </c>
      <c r="M4568" t="s">
        <v>113</v>
      </c>
      <c r="R4568" t="s">
        <v>23563</v>
      </c>
      <c r="S4568" t="s">
        <v>22524</v>
      </c>
      <c r="T4568" t="s">
        <v>305</v>
      </c>
      <c r="U4568" t="s">
        <v>117</v>
      </c>
      <c r="V4568" t="str">
        <f>"147601100"</f>
        <v>147601100</v>
      </c>
      <c r="AC4568" t="s">
        <v>119</v>
      </c>
      <c r="AD4568" t="s">
        <v>113</v>
      </c>
      <c r="AE4568" t="s">
        <v>306</v>
      </c>
      <c r="AG4568" t="s">
        <v>121</v>
      </c>
    </row>
    <row r="4569" spans="1:33" x14ac:dyDescent="0.25">
      <c r="A4569" t="str">
        <f>"1538347828"</f>
        <v>1538347828</v>
      </c>
      <c r="C4569" t="s">
        <v>23564</v>
      </c>
      <c r="G4569" t="s">
        <v>22521</v>
      </c>
      <c r="H4569" t="s">
        <v>23565</v>
      </c>
      <c r="I4569">
        <v>3326</v>
      </c>
      <c r="J4569" t="s">
        <v>22522</v>
      </c>
      <c r="K4569" t="s">
        <v>303</v>
      </c>
      <c r="L4569" t="s">
        <v>112</v>
      </c>
      <c r="M4569" t="s">
        <v>113</v>
      </c>
      <c r="R4569" t="s">
        <v>23566</v>
      </c>
      <c r="S4569" t="s">
        <v>22208</v>
      </c>
      <c r="T4569" t="s">
        <v>305</v>
      </c>
      <c r="U4569" t="s">
        <v>117</v>
      </c>
      <c r="V4569" t="str">
        <f>"147602511"</f>
        <v>147602511</v>
      </c>
      <c r="AC4569" t="s">
        <v>119</v>
      </c>
      <c r="AD4569" t="s">
        <v>113</v>
      </c>
      <c r="AE4569" t="s">
        <v>306</v>
      </c>
      <c r="AG4569" t="s">
        <v>121</v>
      </c>
    </row>
    <row r="4570" spans="1:33" x14ac:dyDescent="0.25">
      <c r="A4570" t="str">
        <f>"1740476324"</f>
        <v>1740476324</v>
      </c>
      <c r="C4570" t="s">
        <v>23567</v>
      </c>
      <c r="G4570" t="s">
        <v>22521</v>
      </c>
      <c r="H4570" t="s">
        <v>23568</v>
      </c>
      <c r="I4570">
        <v>3327</v>
      </c>
      <c r="J4570" t="s">
        <v>22522</v>
      </c>
      <c r="K4570" t="s">
        <v>303</v>
      </c>
      <c r="L4570" t="s">
        <v>112</v>
      </c>
      <c r="M4570" t="s">
        <v>113</v>
      </c>
      <c r="R4570" t="s">
        <v>23569</v>
      </c>
      <c r="S4570" t="s">
        <v>22563</v>
      </c>
      <c r="T4570" t="s">
        <v>1767</v>
      </c>
      <c r="U4570" t="s">
        <v>117</v>
      </c>
      <c r="V4570" t="str">
        <f>"147791529"</f>
        <v>147791529</v>
      </c>
      <c r="AC4570" t="s">
        <v>119</v>
      </c>
      <c r="AD4570" t="s">
        <v>113</v>
      </c>
      <c r="AE4570" t="s">
        <v>306</v>
      </c>
      <c r="AG4570" t="s">
        <v>121</v>
      </c>
    </row>
    <row r="4571" spans="1:33" x14ac:dyDescent="0.25">
      <c r="A4571" t="str">
        <f>"1790092021"</f>
        <v>1790092021</v>
      </c>
      <c r="C4571" t="s">
        <v>23570</v>
      </c>
      <c r="G4571" t="s">
        <v>22521</v>
      </c>
      <c r="H4571" t="s">
        <v>23571</v>
      </c>
      <c r="I4571">
        <v>3328</v>
      </c>
      <c r="J4571" t="s">
        <v>22522</v>
      </c>
      <c r="K4571" t="s">
        <v>303</v>
      </c>
      <c r="L4571" t="s">
        <v>112</v>
      </c>
      <c r="M4571" t="s">
        <v>113</v>
      </c>
      <c r="R4571" t="s">
        <v>23572</v>
      </c>
      <c r="S4571" t="s">
        <v>22524</v>
      </c>
      <c r="T4571" t="s">
        <v>305</v>
      </c>
      <c r="U4571" t="s">
        <v>117</v>
      </c>
      <c r="V4571" t="str">
        <f>"147601100"</f>
        <v>147601100</v>
      </c>
      <c r="AC4571" t="s">
        <v>119</v>
      </c>
      <c r="AD4571" t="s">
        <v>113</v>
      </c>
      <c r="AE4571" t="s">
        <v>306</v>
      </c>
      <c r="AG4571" t="s">
        <v>121</v>
      </c>
    </row>
    <row r="4572" spans="1:33" x14ac:dyDescent="0.25">
      <c r="A4572" t="str">
        <f>"1275801979"</f>
        <v>1275801979</v>
      </c>
      <c r="B4572" t="str">
        <f>"03759831"</f>
        <v>03759831</v>
      </c>
      <c r="C4572" t="s">
        <v>23573</v>
      </c>
      <c r="D4572" t="s">
        <v>23574</v>
      </c>
      <c r="E4572" t="s">
        <v>23575</v>
      </c>
      <c r="G4572" t="s">
        <v>22521</v>
      </c>
      <c r="H4572" t="s">
        <v>23576</v>
      </c>
      <c r="I4572">
        <v>3329</v>
      </c>
      <c r="J4572" t="s">
        <v>22522</v>
      </c>
      <c r="L4572" t="s">
        <v>1033</v>
      </c>
      <c r="M4572" t="s">
        <v>113</v>
      </c>
      <c r="R4572" t="s">
        <v>23577</v>
      </c>
      <c r="W4572" t="s">
        <v>23578</v>
      </c>
      <c r="X4572" t="s">
        <v>2405</v>
      </c>
      <c r="Y4572" t="s">
        <v>116</v>
      </c>
      <c r="Z4572" t="s">
        <v>117</v>
      </c>
      <c r="AA4572" t="str">
        <f>"14215-3021"</f>
        <v>14215-3021</v>
      </c>
      <c r="AB4572" t="s">
        <v>118</v>
      </c>
      <c r="AC4572" t="s">
        <v>119</v>
      </c>
      <c r="AD4572" t="s">
        <v>113</v>
      </c>
      <c r="AE4572" t="s">
        <v>120</v>
      </c>
      <c r="AG4572" t="s">
        <v>121</v>
      </c>
    </row>
    <row r="4573" spans="1:33" x14ac:dyDescent="0.25">
      <c r="A4573" t="str">
        <f>"1003058520"</f>
        <v>1003058520</v>
      </c>
      <c r="B4573" t="str">
        <f>"03922525"</f>
        <v>03922525</v>
      </c>
      <c r="C4573" t="s">
        <v>23579</v>
      </c>
      <c r="D4573" t="s">
        <v>23580</v>
      </c>
      <c r="E4573" t="s">
        <v>23581</v>
      </c>
      <c r="G4573" t="s">
        <v>19078</v>
      </c>
      <c r="H4573" t="s">
        <v>23582</v>
      </c>
      <c r="J4573" t="s">
        <v>19080</v>
      </c>
      <c r="L4573" t="s">
        <v>142</v>
      </c>
      <c r="M4573" t="s">
        <v>113</v>
      </c>
      <c r="R4573" t="s">
        <v>23581</v>
      </c>
      <c r="W4573" t="s">
        <v>23581</v>
      </c>
      <c r="X4573" t="s">
        <v>2886</v>
      </c>
      <c r="Y4573" t="s">
        <v>129</v>
      </c>
      <c r="Z4573" t="s">
        <v>117</v>
      </c>
      <c r="AA4573" t="str">
        <f>"14224-2654"</f>
        <v>14224-2654</v>
      </c>
      <c r="AB4573" t="s">
        <v>118</v>
      </c>
      <c r="AC4573" t="s">
        <v>119</v>
      </c>
      <c r="AD4573" t="s">
        <v>113</v>
      </c>
      <c r="AE4573" t="s">
        <v>120</v>
      </c>
      <c r="AG4573" t="s">
        <v>121</v>
      </c>
    </row>
    <row r="4574" spans="1:33" x14ac:dyDescent="0.25">
      <c r="C4574" t="s">
        <v>23583</v>
      </c>
      <c r="G4574" t="s">
        <v>19078</v>
      </c>
      <c r="H4574" t="s">
        <v>23584</v>
      </c>
      <c r="J4574" t="s">
        <v>19080</v>
      </c>
      <c r="K4574" t="s">
        <v>303</v>
      </c>
      <c r="L4574" t="s">
        <v>3095</v>
      </c>
      <c r="M4574" t="s">
        <v>113</v>
      </c>
      <c r="N4574" t="s">
        <v>19101</v>
      </c>
      <c r="O4574" t="s">
        <v>18794</v>
      </c>
      <c r="P4574" t="s">
        <v>117</v>
      </c>
      <c r="Q4574" t="str">
        <f>"14225"</f>
        <v>14225</v>
      </c>
      <c r="AC4574" t="s">
        <v>119</v>
      </c>
      <c r="AD4574" t="s">
        <v>113</v>
      </c>
      <c r="AE4574" t="s">
        <v>3098</v>
      </c>
      <c r="AG4574" t="s">
        <v>121</v>
      </c>
    </row>
    <row r="4575" spans="1:33" x14ac:dyDescent="0.25">
      <c r="A4575" t="str">
        <f>"1710999594"</f>
        <v>1710999594</v>
      </c>
      <c r="C4575" t="s">
        <v>23585</v>
      </c>
      <c r="G4575" t="s">
        <v>19078</v>
      </c>
      <c r="H4575" t="s">
        <v>23586</v>
      </c>
      <c r="J4575" t="s">
        <v>19080</v>
      </c>
      <c r="K4575" t="s">
        <v>303</v>
      </c>
      <c r="L4575" t="s">
        <v>229</v>
      </c>
      <c r="M4575" t="s">
        <v>113</v>
      </c>
      <c r="R4575" t="s">
        <v>23587</v>
      </c>
      <c r="S4575" t="s">
        <v>23588</v>
      </c>
      <c r="T4575" t="s">
        <v>23589</v>
      </c>
      <c r="U4575" t="s">
        <v>7848</v>
      </c>
      <c r="V4575" t="str">
        <f>"93257"</f>
        <v>93257</v>
      </c>
      <c r="AC4575" t="s">
        <v>119</v>
      </c>
      <c r="AD4575" t="s">
        <v>113</v>
      </c>
      <c r="AE4575" t="s">
        <v>306</v>
      </c>
      <c r="AG4575" t="s">
        <v>121</v>
      </c>
    </row>
    <row r="4576" spans="1:33" x14ac:dyDescent="0.25">
      <c r="A4576" t="str">
        <f>"1013996131"</f>
        <v>1013996131</v>
      </c>
      <c r="B4576" t="str">
        <f>"01572816"</f>
        <v>01572816</v>
      </c>
      <c r="C4576" t="s">
        <v>23590</v>
      </c>
      <c r="D4576" t="s">
        <v>23591</v>
      </c>
      <c r="E4576" t="s">
        <v>23592</v>
      </c>
      <c r="G4576" t="s">
        <v>19078</v>
      </c>
      <c r="H4576" t="s">
        <v>23593</v>
      </c>
      <c r="J4576" t="s">
        <v>19080</v>
      </c>
      <c r="L4576" t="s">
        <v>142</v>
      </c>
      <c r="M4576" t="s">
        <v>113</v>
      </c>
      <c r="R4576" t="s">
        <v>23594</v>
      </c>
      <c r="W4576" t="s">
        <v>23592</v>
      </c>
      <c r="X4576" t="s">
        <v>23595</v>
      </c>
      <c r="Y4576" t="s">
        <v>116</v>
      </c>
      <c r="Z4576" t="s">
        <v>117</v>
      </c>
      <c r="AA4576" t="str">
        <f>"14206-1125"</f>
        <v>14206-1125</v>
      </c>
      <c r="AB4576" t="s">
        <v>118</v>
      </c>
      <c r="AC4576" t="s">
        <v>119</v>
      </c>
      <c r="AD4576" t="s">
        <v>113</v>
      </c>
      <c r="AE4576" t="s">
        <v>120</v>
      </c>
      <c r="AG4576" t="s">
        <v>121</v>
      </c>
    </row>
    <row r="4577" spans="1:33" x14ac:dyDescent="0.25">
      <c r="A4577" t="str">
        <f>"1124068184"</f>
        <v>1124068184</v>
      </c>
      <c r="B4577" t="str">
        <f>"01988572"</f>
        <v>01988572</v>
      </c>
      <c r="C4577" t="s">
        <v>23596</v>
      </c>
      <c r="D4577" t="s">
        <v>23597</v>
      </c>
      <c r="E4577" t="s">
        <v>23598</v>
      </c>
      <c r="G4577" t="s">
        <v>19078</v>
      </c>
      <c r="H4577" t="s">
        <v>23599</v>
      </c>
      <c r="J4577" t="s">
        <v>19080</v>
      </c>
      <c r="L4577" t="s">
        <v>142</v>
      </c>
      <c r="M4577" t="s">
        <v>113</v>
      </c>
      <c r="R4577" t="s">
        <v>23600</v>
      </c>
      <c r="W4577" t="s">
        <v>23598</v>
      </c>
      <c r="X4577" t="s">
        <v>23600</v>
      </c>
      <c r="Y4577" t="s">
        <v>129</v>
      </c>
      <c r="Z4577" t="s">
        <v>117</v>
      </c>
      <c r="AA4577" t="str">
        <f>"14224-3452"</f>
        <v>14224-3452</v>
      </c>
      <c r="AB4577" t="s">
        <v>118</v>
      </c>
      <c r="AC4577" t="s">
        <v>119</v>
      </c>
      <c r="AD4577" t="s">
        <v>113</v>
      </c>
      <c r="AE4577" t="s">
        <v>120</v>
      </c>
      <c r="AG4577" t="s">
        <v>121</v>
      </c>
    </row>
    <row r="4578" spans="1:33" x14ac:dyDescent="0.25">
      <c r="A4578" t="str">
        <f>"1689818601"</f>
        <v>1689818601</v>
      </c>
      <c r="B4578" t="str">
        <f>"04036908"</f>
        <v>04036908</v>
      </c>
      <c r="C4578" t="s">
        <v>23601</v>
      </c>
      <c r="D4578" t="s">
        <v>23602</v>
      </c>
      <c r="E4578" t="s">
        <v>23603</v>
      </c>
      <c r="G4578" t="s">
        <v>19078</v>
      </c>
      <c r="H4578" t="s">
        <v>23604</v>
      </c>
      <c r="J4578" t="s">
        <v>19080</v>
      </c>
      <c r="L4578" t="s">
        <v>142</v>
      </c>
      <c r="M4578" t="s">
        <v>113</v>
      </c>
      <c r="R4578" t="s">
        <v>23605</v>
      </c>
      <c r="W4578" t="s">
        <v>23603</v>
      </c>
      <c r="X4578" t="s">
        <v>2474</v>
      </c>
      <c r="Y4578" t="s">
        <v>116</v>
      </c>
      <c r="Z4578" t="s">
        <v>117</v>
      </c>
      <c r="AA4578" t="str">
        <f>"14215-3021"</f>
        <v>14215-3021</v>
      </c>
      <c r="AB4578" t="s">
        <v>118</v>
      </c>
      <c r="AC4578" t="s">
        <v>119</v>
      </c>
      <c r="AD4578" t="s">
        <v>113</v>
      </c>
      <c r="AE4578" t="s">
        <v>120</v>
      </c>
      <c r="AG4578" t="s">
        <v>121</v>
      </c>
    </row>
    <row r="4579" spans="1:33" x14ac:dyDescent="0.25">
      <c r="C4579" t="s">
        <v>23606</v>
      </c>
      <c r="G4579" t="s">
        <v>19078</v>
      </c>
      <c r="H4579" t="s">
        <v>23607</v>
      </c>
      <c r="J4579" t="s">
        <v>19080</v>
      </c>
      <c r="K4579" t="s">
        <v>303</v>
      </c>
      <c r="L4579" t="s">
        <v>3095</v>
      </c>
      <c r="M4579" t="s">
        <v>113</v>
      </c>
      <c r="N4579" t="s">
        <v>19101</v>
      </c>
      <c r="O4579" t="s">
        <v>18794</v>
      </c>
      <c r="P4579" t="s">
        <v>117</v>
      </c>
      <c r="Q4579" t="str">
        <f>"14230"</f>
        <v>14230</v>
      </c>
      <c r="AC4579" t="s">
        <v>119</v>
      </c>
      <c r="AD4579" t="s">
        <v>113</v>
      </c>
      <c r="AE4579" t="s">
        <v>3098</v>
      </c>
      <c r="AG4579" t="s">
        <v>121</v>
      </c>
    </row>
    <row r="4580" spans="1:33" x14ac:dyDescent="0.25">
      <c r="A4580" t="str">
        <f>"1891723797"</f>
        <v>1891723797</v>
      </c>
      <c r="B4580" t="str">
        <f>"01078115"</f>
        <v>01078115</v>
      </c>
      <c r="C4580" t="s">
        <v>23608</v>
      </c>
      <c r="D4580" t="s">
        <v>23609</v>
      </c>
      <c r="E4580" t="s">
        <v>23610</v>
      </c>
      <c r="G4580" t="s">
        <v>19078</v>
      </c>
      <c r="H4580" t="s">
        <v>23611</v>
      </c>
      <c r="J4580" t="s">
        <v>19080</v>
      </c>
      <c r="L4580" t="s">
        <v>142</v>
      </c>
      <c r="M4580" t="s">
        <v>113</v>
      </c>
      <c r="R4580" t="s">
        <v>23612</v>
      </c>
      <c r="W4580" t="s">
        <v>23610</v>
      </c>
      <c r="X4580" t="s">
        <v>23613</v>
      </c>
      <c r="Y4580" t="s">
        <v>2762</v>
      </c>
      <c r="Z4580" t="s">
        <v>117</v>
      </c>
      <c r="AA4580" t="str">
        <f>"14607-4002"</f>
        <v>14607-4002</v>
      </c>
      <c r="AB4580" t="s">
        <v>118</v>
      </c>
      <c r="AC4580" t="s">
        <v>119</v>
      </c>
      <c r="AD4580" t="s">
        <v>113</v>
      </c>
      <c r="AE4580" t="s">
        <v>120</v>
      </c>
      <c r="AG4580" t="s">
        <v>121</v>
      </c>
    </row>
    <row r="4581" spans="1:33" x14ac:dyDescent="0.25">
      <c r="A4581" t="str">
        <f>"1588735203"</f>
        <v>1588735203</v>
      </c>
      <c r="B4581" t="str">
        <f>"01171920"</f>
        <v>01171920</v>
      </c>
      <c r="C4581" t="s">
        <v>23614</v>
      </c>
      <c r="D4581" t="s">
        <v>23615</v>
      </c>
      <c r="E4581" t="s">
        <v>23616</v>
      </c>
      <c r="G4581" t="s">
        <v>19078</v>
      </c>
      <c r="H4581" t="s">
        <v>23617</v>
      </c>
      <c r="J4581" t="s">
        <v>19080</v>
      </c>
      <c r="L4581" t="s">
        <v>142</v>
      </c>
      <c r="M4581" t="s">
        <v>113</v>
      </c>
      <c r="R4581" t="s">
        <v>23618</v>
      </c>
      <c r="W4581" t="s">
        <v>23616</v>
      </c>
      <c r="X4581" t="s">
        <v>23619</v>
      </c>
      <c r="Y4581" t="s">
        <v>318</v>
      </c>
      <c r="Z4581" t="s">
        <v>117</v>
      </c>
      <c r="AA4581" t="str">
        <f>"14215-2013"</f>
        <v>14215-2013</v>
      </c>
      <c r="AB4581" t="s">
        <v>118</v>
      </c>
      <c r="AC4581" t="s">
        <v>119</v>
      </c>
      <c r="AD4581" t="s">
        <v>113</v>
      </c>
      <c r="AE4581" t="s">
        <v>120</v>
      </c>
      <c r="AG4581" t="s">
        <v>121</v>
      </c>
    </row>
    <row r="4582" spans="1:33" x14ac:dyDescent="0.25">
      <c r="A4582" t="str">
        <f>"1144334079"</f>
        <v>1144334079</v>
      </c>
      <c r="B4582" t="str">
        <f>"01744187"</f>
        <v>01744187</v>
      </c>
      <c r="C4582" t="s">
        <v>23620</v>
      </c>
      <c r="D4582" t="s">
        <v>23621</v>
      </c>
      <c r="E4582" t="s">
        <v>23622</v>
      </c>
      <c r="G4582" t="s">
        <v>19078</v>
      </c>
      <c r="H4582" t="s">
        <v>23623</v>
      </c>
      <c r="J4582" t="s">
        <v>19080</v>
      </c>
      <c r="L4582" t="s">
        <v>142</v>
      </c>
      <c r="M4582" t="s">
        <v>113</v>
      </c>
      <c r="R4582" t="s">
        <v>23624</v>
      </c>
      <c r="W4582" t="s">
        <v>23622</v>
      </c>
      <c r="X4582" t="s">
        <v>8346</v>
      </c>
      <c r="Y4582" t="s">
        <v>116</v>
      </c>
      <c r="Z4582" t="s">
        <v>117</v>
      </c>
      <c r="AA4582" t="str">
        <f>"14203-1154"</f>
        <v>14203-1154</v>
      </c>
      <c r="AB4582" t="s">
        <v>118</v>
      </c>
      <c r="AC4582" t="s">
        <v>119</v>
      </c>
      <c r="AD4582" t="s">
        <v>113</v>
      </c>
      <c r="AE4582" t="s">
        <v>120</v>
      </c>
      <c r="AG4582" t="s">
        <v>121</v>
      </c>
    </row>
    <row r="4583" spans="1:33" x14ac:dyDescent="0.25">
      <c r="A4583" t="str">
        <f>"1174634976"</f>
        <v>1174634976</v>
      </c>
      <c r="B4583" t="str">
        <f>"01422742"</f>
        <v>01422742</v>
      </c>
      <c r="C4583" t="s">
        <v>23625</v>
      </c>
      <c r="D4583" t="s">
        <v>23626</v>
      </c>
      <c r="E4583" t="s">
        <v>23627</v>
      </c>
      <c r="G4583" t="s">
        <v>19078</v>
      </c>
      <c r="H4583" t="s">
        <v>23628</v>
      </c>
      <c r="J4583" t="s">
        <v>19080</v>
      </c>
      <c r="L4583" t="s">
        <v>142</v>
      </c>
      <c r="M4583" t="s">
        <v>113</v>
      </c>
      <c r="R4583" t="s">
        <v>23629</v>
      </c>
      <c r="W4583" t="s">
        <v>23627</v>
      </c>
      <c r="X4583" t="s">
        <v>253</v>
      </c>
      <c r="Y4583" t="s">
        <v>116</v>
      </c>
      <c r="Z4583" t="s">
        <v>117</v>
      </c>
      <c r="AA4583" t="str">
        <f>"14215-3021"</f>
        <v>14215-3021</v>
      </c>
      <c r="AB4583" t="s">
        <v>118</v>
      </c>
      <c r="AC4583" t="s">
        <v>119</v>
      </c>
      <c r="AD4583" t="s">
        <v>113</v>
      </c>
      <c r="AE4583" t="s">
        <v>120</v>
      </c>
      <c r="AG4583" t="s">
        <v>121</v>
      </c>
    </row>
    <row r="4584" spans="1:33" x14ac:dyDescent="0.25">
      <c r="A4584" t="str">
        <f>"1851331839"</f>
        <v>1851331839</v>
      </c>
      <c r="B4584" t="str">
        <f>"01864846"</f>
        <v>01864846</v>
      </c>
      <c r="C4584" t="s">
        <v>23630</v>
      </c>
      <c r="D4584" t="s">
        <v>23631</v>
      </c>
      <c r="E4584" t="s">
        <v>23632</v>
      </c>
      <c r="G4584" t="s">
        <v>19078</v>
      </c>
      <c r="H4584" t="s">
        <v>23633</v>
      </c>
      <c r="J4584" t="s">
        <v>19080</v>
      </c>
      <c r="L4584" t="s">
        <v>112</v>
      </c>
      <c r="M4584" t="s">
        <v>113</v>
      </c>
      <c r="R4584" t="s">
        <v>23634</v>
      </c>
      <c r="W4584" t="s">
        <v>23632</v>
      </c>
      <c r="X4584" t="s">
        <v>23635</v>
      </c>
      <c r="Y4584" t="s">
        <v>129</v>
      </c>
      <c r="Z4584" t="s">
        <v>117</v>
      </c>
      <c r="AA4584" t="str">
        <f>"14224-2655"</f>
        <v>14224-2655</v>
      </c>
      <c r="AB4584" t="s">
        <v>118</v>
      </c>
      <c r="AC4584" t="s">
        <v>119</v>
      </c>
      <c r="AD4584" t="s">
        <v>113</v>
      </c>
      <c r="AE4584" t="s">
        <v>120</v>
      </c>
      <c r="AG4584" t="s">
        <v>121</v>
      </c>
    </row>
    <row r="4585" spans="1:33" x14ac:dyDescent="0.25">
      <c r="A4585" t="str">
        <f>"1083711170"</f>
        <v>1083711170</v>
      </c>
      <c r="B4585" t="str">
        <f>"02429472"</f>
        <v>02429472</v>
      </c>
      <c r="C4585" t="s">
        <v>23636</v>
      </c>
      <c r="D4585" t="s">
        <v>23637</v>
      </c>
      <c r="E4585" t="s">
        <v>23638</v>
      </c>
      <c r="G4585" t="s">
        <v>19078</v>
      </c>
      <c r="H4585" t="s">
        <v>23639</v>
      </c>
      <c r="J4585" t="s">
        <v>19080</v>
      </c>
      <c r="L4585" t="s">
        <v>142</v>
      </c>
      <c r="M4585" t="s">
        <v>113</v>
      </c>
      <c r="R4585" t="s">
        <v>23640</v>
      </c>
      <c r="W4585" t="s">
        <v>23638</v>
      </c>
      <c r="X4585" t="s">
        <v>19417</v>
      </c>
      <c r="Y4585" t="s">
        <v>326</v>
      </c>
      <c r="Z4585" t="s">
        <v>117</v>
      </c>
      <c r="AA4585" t="str">
        <f>"14127-1740"</f>
        <v>14127-1740</v>
      </c>
      <c r="AB4585" t="s">
        <v>118</v>
      </c>
      <c r="AC4585" t="s">
        <v>119</v>
      </c>
      <c r="AD4585" t="s">
        <v>113</v>
      </c>
      <c r="AE4585" t="s">
        <v>120</v>
      </c>
      <c r="AG4585" t="s">
        <v>121</v>
      </c>
    </row>
    <row r="4586" spans="1:33" x14ac:dyDescent="0.25">
      <c r="A4586" t="str">
        <f>"1144278664"</f>
        <v>1144278664</v>
      </c>
      <c r="B4586" t="str">
        <f>"02089605"</f>
        <v>02089605</v>
      </c>
      <c r="C4586" t="s">
        <v>23641</v>
      </c>
      <c r="D4586" t="s">
        <v>23642</v>
      </c>
      <c r="E4586" t="s">
        <v>23643</v>
      </c>
      <c r="G4586" t="s">
        <v>19078</v>
      </c>
      <c r="H4586" t="s">
        <v>23644</v>
      </c>
      <c r="J4586" t="s">
        <v>19080</v>
      </c>
      <c r="L4586" t="s">
        <v>142</v>
      </c>
      <c r="M4586" t="s">
        <v>113</v>
      </c>
      <c r="R4586" t="s">
        <v>23645</v>
      </c>
      <c r="W4586" t="s">
        <v>23643</v>
      </c>
      <c r="X4586" t="s">
        <v>15820</v>
      </c>
      <c r="Y4586" t="s">
        <v>348</v>
      </c>
      <c r="Z4586" t="s">
        <v>117</v>
      </c>
      <c r="AA4586" t="str">
        <f>"14043-4884"</f>
        <v>14043-4884</v>
      </c>
      <c r="AB4586" t="s">
        <v>118</v>
      </c>
      <c r="AC4586" t="s">
        <v>119</v>
      </c>
      <c r="AD4586" t="s">
        <v>113</v>
      </c>
      <c r="AE4586" t="s">
        <v>120</v>
      </c>
      <c r="AG4586" t="s">
        <v>121</v>
      </c>
    </row>
    <row r="4587" spans="1:33" x14ac:dyDescent="0.25">
      <c r="A4587" t="str">
        <f>"1982694717"</f>
        <v>1982694717</v>
      </c>
      <c r="B4587" t="str">
        <f>"00886879"</f>
        <v>00886879</v>
      </c>
      <c r="C4587" t="s">
        <v>23646</v>
      </c>
      <c r="D4587" t="s">
        <v>23647</v>
      </c>
      <c r="E4587" t="s">
        <v>23648</v>
      </c>
      <c r="G4587" t="s">
        <v>19078</v>
      </c>
      <c r="H4587" t="s">
        <v>8058</v>
      </c>
      <c r="J4587" t="s">
        <v>19080</v>
      </c>
      <c r="L4587" t="s">
        <v>112</v>
      </c>
      <c r="M4587" t="s">
        <v>113</v>
      </c>
      <c r="R4587" t="s">
        <v>23649</v>
      </c>
      <c r="W4587" t="s">
        <v>23648</v>
      </c>
      <c r="X4587" t="s">
        <v>23650</v>
      </c>
      <c r="Y4587" t="s">
        <v>129</v>
      </c>
      <c r="Z4587" t="s">
        <v>117</v>
      </c>
      <c r="AA4587" t="str">
        <f>"14224-2655"</f>
        <v>14224-2655</v>
      </c>
      <c r="AB4587" t="s">
        <v>118</v>
      </c>
      <c r="AC4587" t="s">
        <v>119</v>
      </c>
      <c r="AD4587" t="s">
        <v>113</v>
      </c>
      <c r="AE4587" t="s">
        <v>120</v>
      </c>
      <c r="AG4587" t="s">
        <v>121</v>
      </c>
    </row>
    <row r="4588" spans="1:33" x14ac:dyDescent="0.25">
      <c r="A4588" t="str">
        <f>"1992856397"</f>
        <v>1992856397</v>
      </c>
      <c r="B4588" t="str">
        <f>"02324532"</f>
        <v>02324532</v>
      </c>
      <c r="C4588" t="s">
        <v>23651</v>
      </c>
      <c r="D4588" t="s">
        <v>23652</v>
      </c>
      <c r="E4588" t="s">
        <v>23653</v>
      </c>
      <c r="G4588" t="s">
        <v>19078</v>
      </c>
      <c r="H4588" t="s">
        <v>23654</v>
      </c>
      <c r="J4588" t="s">
        <v>19080</v>
      </c>
      <c r="L4588" t="s">
        <v>142</v>
      </c>
      <c r="M4588" t="s">
        <v>113</v>
      </c>
      <c r="R4588" t="s">
        <v>23655</v>
      </c>
      <c r="W4588" t="s">
        <v>23653</v>
      </c>
      <c r="X4588" t="s">
        <v>23656</v>
      </c>
      <c r="Y4588" t="s">
        <v>129</v>
      </c>
      <c r="Z4588" t="s">
        <v>117</v>
      </c>
      <c r="AA4588" t="str">
        <f>"14224-3445"</f>
        <v>14224-3445</v>
      </c>
      <c r="AB4588" t="s">
        <v>1755</v>
      </c>
      <c r="AC4588" t="s">
        <v>119</v>
      </c>
      <c r="AD4588" t="s">
        <v>113</v>
      </c>
      <c r="AE4588" t="s">
        <v>120</v>
      </c>
      <c r="AG4588" t="s">
        <v>121</v>
      </c>
    </row>
    <row r="4589" spans="1:33" x14ac:dyDescent="0.25">
      <c r="A4589" t="str">
        <f>"1508000670"</f>
        <v>1508000670</v>
      </c>
      <c r="B4589" t="str">
        <f>"03575862"</f>
        <v>03575862</v>
      </c>
      <c r="C4589" t="s">
        <v>23657</v>
      </c>
      <c r="D4589" t="s">
        <v>23658</v>
      </c>
      <c r="E4589" t="s">
        <v>23659</v>
      </c>
      <c r="G4589" t="s">
        <v>19078</v>
      </c>
      <c r="H4589" t="s">
        <v>23660</v>
      </c>
      <c r="J4589" t="s">
        <v>19080</v>
      </c>
      <c r="L4589" t="s">
        <v>142</v>
      </c>
      <c r="M4589" t="s">
        <v>113</v>
      </c>
      <c r="R4589" t="s">
        <v>23661</v>
      </c>
      <c r="W4589" t="s">
        <v>23659</v>
      </c>
      <c r="AB4589" t="s">
        <v>118</v>
      </c>
      <c r="AC4589" t="s">
        <v>119</v>
      </c>
      <c r="AD4589" t="s">
        <v>113</v>
      </c>
      <c r="AE4589" t="s">
        <v>120</v>
      </c>
      <c r="AG4589" t="s">
        <v>121</v>
      </c>
    </row>
    <row r="4590" spans="1:33" x14ac:dyDescent="0.25">
      <c r="C4590" t="s">
        <v>23662</v>
      </c>
      <c r="G4590" t="s">
        <v>19078</v>
      </c>
      <c r="H4590" t="s">
        <v>23663</v>
      </c>
      <c r="J4590" t="s">
        <v>19080</v>
      </c>
      <c r="K4590" t="s">
        <v>303</v>
      </c>
      <c r="L4590" t="s">
        <v>3095</v>
      </c>
      <c r="M4590" t="s">
        <v>113</v>
      </c>
      <c r="N4590" t="s">
        <v>19101</v>
      </c>
      <c r="O4590" t="s">
        <v>18794</v>
      </c>
      <c r="P4590" t="s">
        <v>117</v>
      </c>
      <c r="Q4590" t="str">
        <f>"14241"</f>
        <v>14241</v>
      </c>
      <c r="AC4590" t="s">
        <v>119</v>
      </c>
      <c r="AD4590" t="s">
        <v>113</v>
      </c>
      <c r="AE4590" t="s">
        <v>3098</v>
      </c>
      <c r="AG4590" t="s">
        <v>121</v>
      </c>
    </row>
    <row r="4591" spans="1:33" x14ac:dyDescent="0.25">
      <c r="A4591" t="str">
        <f>"1023113537"</f>
        <v>1023113537</v>
      </c>
      <c r="B4591" t="str">
        <f>"03129682"</f>
        <v>03129682</v>
      </c>
      <c r="C4591" t="s">
        <v>23664</v>
      </c>
      <c r="D4591" t="s">
        <v>23665</v>
      </c>
      <c r="E4591" t="s">
        <v>23666</v>
      </c>
      <c r="G4591" t="s">
        <v>19078</v>
      </c>
      <c r="H4591" t="s">
        <v>23667</v>
      </c>
      <c r="J4591" t="s">
        <v>19080</v>
      </c>
      <c r="L4591" t="s">
        <v>142</v>
      </c>
      <c r="M4591" t="s">
        <v>113</v>
      </c>
      <c r="R4591" t="s">
        <v>23668</v>
      </c>
      <c r="W4591" t="s">
        <v>23666</v>
      </c>
      <c r="X4591" t="s">
        <v>253</v>
      </c>
      <c r="Y4591" t="s">
        <v>116</v>
      </c>
      <c r="Z4591" t="s">
        <v>117</v>
      </c>
      <c r="AA4591" t="str">
        <f>"14215-3021"</f>
        <v>14215-3021</v>
      </c>
      <c r="AB4591" t="s">
        <v>118</v>
      </c>
      <c r="AC4591" t="s">
        <v>119</v>
      </c>
      <c r="AD4591" t="s">
        <v>113</v>
      </c>
      <c r="AE4591" t="s">
        <v>120</v>
      </c>
      <c r="AG4591" t="s">
        <v>121</v>
      </c>
    </row>
    <row r="4592" spans="1:33" x14ac:dyDescent="0.25">
      <c r="A4592" t="str">
        <f>"1265502546"</f>
        <v>1265502546</v>
      </c>
      <c r="B4592" t="str">
        <f>"01872999"</f>
        <v>01872999</v>
      </c>
      <c r="C4592" t="s">
        <v>23669</v>
      </c>
      <c r="D4592" t="s">
        <v>23670</v>
      </c>
      <c r="E4592" t="s">
        <v>23671</v>
      </c>
      <c r="G4592" t="s">
        <v>19078</v>
      </c>
      <c r="H4592" t="s">
        <v>23672</v>
      </c>
      <c r="J4592" t="s">
        <v>19080</v>
      </c>
      <c r="L4592" t="s">
        <v>142</v>
      </c>
      <c r="M4592" t="s">
        <v>113</v>
      </c>
      <c r="R4592" t="s">
        <v>23673</v>
      </c>
      <c r="W4592" t="s">
        <v>23671</v>
      </c>
      <c r="X4592" t="s">
        <v>422</v>
      </c>
      <c r="Y4592" t="s">
        <v>129</v>
      </c>
      <c r="Z4592" t="s">
        <v>117</v>
      </c>
      <c r="AA4592" t="str">
        <f>"14224-4658"</f>
        <v>14224-4658</v>
      </c>
      <c r="AB4592" t="s">
        <v>118</v>
      </c>
      <c r="AC4592" t="s">
        <v>119</v>
      </c>
      <c r="AD4592" t="s">
        <v>113</v>
      </c>
      <c r="AE4592" t="s">
        <v>120</v>
      </c>
      <c r="AG4592" t="s">
        <v>121</v>
      </c>
    </row>
    <row r="4593" spans="1:33" x14ac:dyDescent="0.25">
      <c r="A4593" t="str">
        <f>"1316140296"</f>
        <v>1316140296</v>
      </c>
      <c r="B4593" t="str">
        <f>"02870657"</f>
        <v>02870657</v>
      </c>
      <c r="C4593" t="s">
        <v>23674</v>
      </c>
      <c r="D4593" t="s">
        <v>23675</v>
      </c>
      <c r="E4593" t="s">
        <v>23676</v>
      </c>
      <c r="G4593" t="s">
        <v>19078</v>
      </c>
      <c r="H4593" t="s">
        <v>23677</v>
      </c>
      <c r="J4593" t="s">
        <v>19080</v>
      </c>
      <c r="L4593" t="s">
        <v>142</v>
      </c>
      <c r="M4593" t="s">
        <v>113</v>
      </c>
      <c r="R4593" t="s">
        <v>23678</v>
      </c>
      <c r="W4593" t="s">
        <v>23676</v>
      </c>
      <c r="X4593" t="s">
        <v>253</v>
      </c>
      <c r="Y4593" t="s">
        <v>116</v>
      </c>
      <c r="Z4593" t="s">
        <v>117</v>
      </c>
      <c r="AA4593" t="str">
        <f>"14215-3021"</f>
        <v>14215-3021</v>
      </c>
      <c r="AB4593" t="s">
        <v>118</v>
      </c>
      <c r="AC4593" t="s">
        <v>119</v>
      </c>
      <c r="AD4593" t="s">
        <v>113</v>
      </c>
      <c r="AE4593" t="s">
        <v>120</v>
      </c>
      <c r="AG4593" t="s">
        <v>121</v>
      </c>
    </row>
    <row r="4594" spans="1:33" x14ac:dyDescent="0.25">
      <c r="A4594" t="str">
        <f>"1003047309"</f>
        <v>1003047309</v>
      </c>
      <c r="B4594" t="str">
        <f>"03983819"</f>
        <v>03983819</v>
      </c>
      <c r="C4594" t="s">
        <v>23679</v>
      </c>
      <c r="D4594" t="s">
        <v>23680</v>
      </c>
      <c r="E4594" t="s">
        <v>23681</v>
      </c>
      <c r="G4594" t="s">
        <v>18582</v>
      </c>
      <c r="H4594" t="s">
        <v>18583</v>
      </c>
      <c r="J4594" t="s">
        <v>18584</v>
      </c>
      <c r="L4594" t="s">
        <v>112</v>
      </c>
      <c r="M4594" t="s">
        <v>113</v>
      </c>
      <c r="R4594" t="s">
        <v>23682</v>
      </c>
      <c r="W4594" t="s">
        <v>23681</v>
      </c>
      <c r="X4594" t="s">
        <v>8739</v>
      </c>
      <c r="Y4594" t="s">
        <v>116</v>
      </c>
      <c r="Z4594" t="s">
        <v>117</v>
      </c>
      <c r="AA4594" t="str">
        <f>"14203-2209"</f>
        <v>14203-2209</v>
      </c>
      <c r="AB4594" t="s">
        <v>634</v>
      </c>
      <c r="AC4594" t="s">
        <v>119</v>
      </c>
      <c r="AD4594" t="s">
        <v>113</v>
      </c>
      <c r="AE4594" t="s">
        <v>120</v>
      </c>
      <c r="AG4594" t="s">
        <v>121</v>
      </c>
    </row>
    <row r="4595" spans="1:33" x14ac:dyDescent="0.25">
      <c r="A4595" t="str">
        <f>"1427257971"</f>
        <v>1427257971</v>
      </c>
      <c r="B4595" t="str">
        <f>"02926218"</f>
        <v>02926218</v>
      </c>
      <c r="C4595" t="s">
        <v>23683</v>
      </c>
      <c r="D4595" t="s">
        <v>23684</v>
      </c>
      <c r="E4595" t="s">
        <v>23685</v>
      </c>
      <c r="G4595" t="s">
        <v>18582</v>
      </c>
      <c r="H4595" t="s">
        <v>18583</v>
      </c>
      <c r="J4595" t="s">
        <v>18584</v>
      </c>
      <c r="L4595" t="s">
        <v>112</v>
      </c>
      <c r="M4595" t="s">
        <v>199</v>
      </c>
      <c r="R4595" t="s">
        <v>23686</v>
      </c>
      <c r="W4595" t="s">
        <v>23687</v>
      </c>
      <c r="X4595" t="s">
        <v>23688</v>
      </c>
      <c r="Y4595" t="s">
        <v>9661</v>
      </c>
      <c r="Z4595" t="s">
        <v>117</v>
      </c>
      <c r="AA4595" t="str">
        <f>"11217-1101"</f>
        <v>11217-1101</v>
      </c>
      <c r="AB4595" t="s">
        <v>634</v>
      </c>
      <c r="AC4595" t="s">
        <v>119</v>
      </c>
      <c r="AD4595" t="s">
        <v>113</v>
      </c>
      <c r="AE4595" t="s">
        <v>120</v>
      </c>
      <c r="AG4595" t="s">
        <v>121</v>
      </c>
    </row>
    <row r="4596" spans="1:33" x14ac:dyDescent="0.25">
      <c r="A4596" t="str">
        <f>"1669690327"</f>
        <v>1669690327</v>
      </c>
      <c r="B4596" t="str">
        <f>"03585260"</f>
        <v>03585260</v>
      </c>
      <c r="C4596" t="s">
        <v>23689</v>
      </c>
      <c r="D4596" t="s">
        <v>23690</v>
      </c>
      <c r="E4596" t="s">
        <v>23691</v>
      </c>
      <c r="G4596" t="s">
        <v>18582</v>
      </c>
      <c r="H4596" t="s">
        <v>18583</v>
      </c>
      <c r="J4596" t="s">
        <v>18584</v>
      </c>
      <c r="L4596" t="s">
        <v>112</v>
      </c>
      <c r="M4596" t="s">
        <v>113</v>
      </c>
      <c r="R4596" t="s">
        <v>23692</v>
      </c>
      <c r="W4596" t="s">
        <v>23691</v>
      </c>
      <c r="X4596" t="s">
        <v>23693</v>
      </c>
      <c r="Y4596" t="s">
        <v>116</v>
      </c>
      <c r="Z4596" t="s">
        <v>117</v>
      </c>
      <c r="AA4596" t="str">
        <f>"14220-1700"</f>
        <v>14220-1700</v>
      </c>
      <c r="AB4596" t="s">
        <v>634</v>
      </c>
      <c r="AC4596" t="s">
        <v>119</v>
      </c>
      <c r="AD4596" t="s">
        <v>113</v>
      </c>
      <c r="AE4596" t="s">
        <v>120</v>
      </c>
      <c r="AG4596" t="s">
        <v>121</v>
      </c>
    </row>
    <row r="4597" spans="1:33" x14ac:dyDescent="0.25">
      <c r="A4597" t="str">
        <f>"1871933036"</f>
        <v>1871933036</v>
      </c>
      <c r="B4597" t="str">
        <f>"03876900"</f>
        <v>03876900</v>
      </c>
      <c r="C4597" t="s">
        <v>23694</v>
      </c>
      <c r="D4597" t="s">
        <v>23695</v>
      </c>
      <c r="E4597" t="s">
        <v>23696</v>
      </c>
      <c r="G4597" t="s">
        <v>18582</v>
      </c>
      <c r="H4597" t="s">
        <v>18583</v>
      </c>
      <c r="J4597" t="s">
        <v>18584</v>
      </c>
      <c r="L4597" t="s">
        <v>112</v>
      </c>
      <c r="M4597" t="s">
        <v>113</v>
      </c>
      <c r="R4597" t="s">
        <v>23697</v>
      </c>
      <c r="W4597" t="s">
        <v>23696</v>
      </c>
      <c r="X4597" t="s">
        <v>16282</v>
      </c>
      <c r="Y4597" t="s">
        <v>116</v>
      </c>
      <c r="Z4597" t="s">
        <v>117</v>
      </c>
      <c r="AA4597" t="str">
        <f>"14209-2308"</f>
        <v>14209-2308</v>
      </c>
      <c r="AB4597" t="s">
        <v>634</v>
      </c>
      <c r="AC4597" t="s">
        <v>119</v>
      </c>
      <c r="AD4597" t="s">
        <v>113</v>
      </c>
      <c r="AE4597" t="s">
        <v>120</v>
      </c>
      <c r="AG4597" t="s">
        <v>121</v>
      </c>
    </row>
    <row r="4598" spans="1:33" x14ac:dyDescent="0.25">
      <c r="A4598" t="str">
        <f>"1780723296"</f>
        <v>1780723296</v>
      </c>
      <c r="B4598" t="str">
        <f>"03773957"</f>
        <v>03773957</v>
      </c>
      <c r="C4598" t="s">
        <v>23698</v>
      </c>
      <c r="D4598" t="s">
        <v>23699</v>
      </c>
      <c r="E4598" t="s">
        <v>23700</v>
      </c>
      <c r="G4598" t="s">
        <v>21591</v>
      </c>
      <c r="H4598" t="s">
        <v>23701</v>
      </c>
      <c r="J4598" t="s">
        <v>21592</v>
      </c>
      <c r="L4598" t="s">
        <v>1033</v>
      </c>
      <c r="M4598" t="s">
        <v>113</v>
      </c>
      <c r="R4598" t="s">
        <v>23702</v>
      </c>
      <c r="W4598" t="s">
        <v>23700</v>
      </c>
      <c r="X4598" t="s">
        <v>21601</v>
      </c>
      <c r="Y4598" t="s">
        <v>986</v>
      </c>
      <c r="Z4598" t="s">
        <v>117</v>
      </c>
      <c r="AA4598" t="str">
        <f>"14701-5433"</f>
        <v>14701-5433</v>
      </c>
      <c r="AB4598" t="s">
        <v>621</v>
      </c>
      <c r="AC4598" t="s">
        <v>119</v>
      </c>
      <c r="AD4598" t="s">
        <v>113</v>
      </c>
      <c r="AE4598" t="s">
        <v>120</v>
      </c>
      <c r="AG4598" t="s">
        <v>121</v>
      </c>
    </row>
    <row r="4599" spans="1:33" x14ac:dyDescent="0.25">
      <c r="A4599" t="str">
        <f>"1427197946"</f>
        <v>1427197946</v>
      </c>
      <c r="B4599" t="str">
        <f>"02776772"</f>
        <v>02776772</v>
      </c>
      <c r="C4599" t="s">
        <v>23703</v>
      </c>
      <c r="D4599" t="s">
        <v>23704</v>
      </c>
      <c r="E4599" t="s">
        <v>23705</v>
      </c>
      <c r="G4599" t="s">
        <v>21591</v>
      </c>
      <c r="H4599" t="s">
        <v>23706</v>
      </c>
      <c r="J4599" t="s">
        <v>21592</v>
      </c>
      <c r="L4599" t="s">
        <v>1033</v>
      </c>
      <c r="M4599" t="s">
        <v>113</v>
      </c>
      <c r="R4599" t="s">
        <v>23707</v>
      </c>
      <c r="W4599" t="s">
        <v>23705</v>
      </c>
      <c r="X4599" t="s">
        <v>21601</v>
      </c>
      <c r="Y4599" t="s">
        <v>986</v>
      </c>
      <c r="Z4599" t="s">
        <v>117</v>
      </c>
      <c r="AA4599" t="str">
        <f>"14701-5433"</f>
        <v>14701-5433</v>
      </c>
      <c r="AB4599" t="s">
        <v>621</v>
      </c>
      <c r="AC4599" t="s">
        <v>119</v>
      </c>
      <c r="AD4599" t="s">
        <v>113</v>
      </c>
      <c r="AE4599" t="s">
        <v>120</v>
      </c>
      <c r="AG4599" t="s">
        <v>121</v>
      </c>
    </row>
    <row r="4600" spans="1:33" x14ac:dyDescent="0.25">
      <c r="A4600" t="str">
        <f>"1720057599"</f>
        <v>1720057599</v>
      </c>
      <c r="B4600" t="str">
        <f>"00723491"</f>
        <v>00723491</v>
      </c>
      <c r="C4600" t="s">
        <v>23708</v>
      </c>
      <c r="D4600" t="s">
        <v>23709</v>
      </c>
      <c r="E4600" t="s">
        <v>23710</v>
      </c>
      <c r="G4600" t="s">
        <v>23711</v>
      </c>
      <c r="H4600" t="s">
        <v>23712</v>
      </c>
      <c r="J4600" t="s">
        <v>23713</v>
      </c>
      <c r="L4600" t="s">
        <v>150</v>
      </c>
      <c r="M4600" t="s">
        <v>199</v>
      </c>
      <c r="R4600" t="s">
        <v>23714</v>
      </c>
      <c r="W4600" t="s">
        <v>23715</v>
      </c>
      <c r="X4600" t="s">
        <v>23716</v>
      </c>
      <c r="Y4600" t="s">
        <v>1557</v>
      </c>
      <c r="Z4600" t="s">
        <v>117</v>
      </c>
      <c r="AA4600" t="str">
        <f>"14757-0000"</f>
        <v>14757-0000</v>
      </c>
      <c r="AB4600" t="s">
        <v>118</v>
      </c>
      <c r="AC4600" t="s">
        <v>119</v>
      </c>
      <c r="AD4600" t="s">
        <v>113</v>
      </c>
      <c r="AE4600" t="s">
        <v>120</v>
      </c>
      <c r="AG4600" t="s">
        <v>121</v>
      </c>
    </row>
    <row r="4601" spans="1:33" x14ac:dyDescent="0.25">
      <c r="A4601" t="str">
        <f>"1396038550"</f>
        <v>1396038550</v>
      </c>
      <c r="B4601" t="str">
        <f>"03519757"</f>
        <v>03519757</v>
      </c>
      <c r="C4601" t="s">
        <v>23717</v>
      </c>
      <c r="D4601" t="s">
        <v>23718</v>
      </c>
      <c r="E4601" t="s">
        <v>23719</v>
      </c>
      <c r="G4601" t="s">
        <v>23711</v>
      </c>
      <c r="H4601" t="s">
        <v>23712</v>
      </c>
      <c r="J4601" t="s">
        <v>23713</v>
      </c>
      <c r="L4601" t="s">
        <v>142</v>
      </c>
      <c r="M4601" t="s">
        <v>113</v>
      </c>
      <c r="R4601" t="s">
        <v>23720</v>
      </c>
      <c r="W4601" t="s">
        <v>23721</v>
      </c>
      <c r="X4601" t="s">
        <v>1145</v>
      </c>
      <c r="Y4601" t="s">
        <v>541</v>
      </c>
      <c r="Z4601" t="s">
        <v>117</v>
      </c>
      <c r="AA4601" t="str">
        <f>"14048-2137"</f>
        <v>14048-2137</v>
      </c>
      <c r="AB4601" t="s">
        <v>118</v>
      </c>
      <c r="AC4601" t="s">
        <v>119</v>
      </c>
      <c r="AD4601" t="s">
        <v>113</v>
      </c>
      <c r="AE4601" t="s">
        <v>120</v>
      </c>
      <c r="AG4601" t="s">
        <v>121</v>
      </c>
    </row>
    <row r="4602" spans="1:33" x14ac:dyDescent="0.25">
      <c r="A4602" t="str">
        <f>"1073771614"</f>
        <v>1073771614</v>
      </c>
      <c r="C4602" t="s">
        <v>23722</v>
      </c>
      <c r="G4602" t="s">
        <v>23711</v>
      </c>
      <c r="H4602" t="s">
        <v>23712</v>
      </c>
      <c r="J4602" t="s">
        <v>23713</v>
      </c>
      <c r="K4602" t="s">
        <v>303</v>
      </c>
      <c r="L4602" t="s">
        <v>229</v>
      </c>
      <c r="M4602" t="s">
        <v>113</v>
      </c>
      <c r="R4602" t="s">
        <v>23723</v>
      </c>
      <c r="S4602" t="s">
        <v>23724</v>
      </c>
      <c r="T4602" t="s">
        <v>541</v>
      </c>
      <c r="U4602" t="s">
        <v>117</v>
      </c>
      <c r="V4602" t="str">
        <f>"140482137"</f>
        <v>140482137</v>
      </c>
      <c r="AC4602" t="s">
        <v>119</v>
      </c>
      <c r="AD4602" t="s">
        <v>113</v>
      </c>
      <c r="AE4602" t="s">
        <v>306</v>
      </c>
      <c r="AG4602" t="s">
        <v>121</v>
      </c>
    </row>
    <row r="4603" spans="1:33" x14ac:dyDescent="0.25">
      <c r="A4603" t="str">
        <f>"1124247648"</f>
        <v>1124247648</v>
      </c>
      <c r="B4603" t="str">
        <f>"02429101"</f>
        <v>02429101</v>
      </c>
      <c r="C4603" t="s">
        <v>23725</v>
      </c>
      <c r="D4603" t="s">
        <v>23726</v>
      </c>
      <c r="E4603" t="s">
        <v>23727</v>
      </c>
      <c r="G4603" t="s">
        <v>23711</v>
      </c>
      <c r="H4603" t="s">
        <v>23712</v>
      </c>
      <c r="J4603" t="s">
        <v>23713</v>
      </c>
      <c r="L4603" t="s">
        <v>112</v>
      </c>
      <c r="M4603" t="s">
        <v>113</v>
      </c>
      <c r="R4603" t="s">
        <v>23728</v>
      </c>
      <c r="W4603" t="s">
        <v>23727</v>
      </c>
      <c r="X4603" t="s">
        <v>23727</v>
      </c>
      <c r="Y4603" t="s">
        <v>986</v>
      </c>
      <c r="Z4603" t="s">
        <v>117</v>
      </c>
      <c r="AA4603" t="str">
        <f>"14701"</f>
        <v>14701</v>
      </c>
      <c r="AB4603" t="s">
        <v>118</v>
      </c>
      <c r="AC4603" t="s">
        <v>119</v>
      </c>
      <c r="AD4603" t="s">
        <v>113</v>
      </c>
      <c r="AE4603" t="s">
        <v>120</v>
      </c>
      <c r="AG4603" t="s">
        <v>121</v>
      </c>
    </row>
    <row r="4604" spans="1:33" x14ac:dyDescent="0.25">
      <c r="A4604" t="str">
        <f>"1336587690"</f>
        <v>1336587690</v>
      </c>
      <c r="C4604" t="s">
        <v>23729</v>
      </c>
      <c r="G4604" t="s">
        <v>23711</v>
      </c>
      <c r="H4604" t="s">
        <v>23712</v>
      </c>
      <c r="J4604" t="s">
        <v>23713</v>
      </c>
      <c r="K4604" t="s">
        <v>303</v>
      </c>
      <c r="L4604" t="s">
        <v>229</v>
      </c>
      <c r="M4604" t="s">
        <v>113</v>
      </c>
      <c r="R4604" t="s">
        <v>23730</v>
      </c>
      <c r="S4604" t="s">
        <v>23731</v>
      </c>
      <c r="T4604" t="s">
        <v>986</v>
      </c>
      <c r="U4604" t="s">
        <v>117</v>
      </c>
      <c r="V4604" t="str">
        <f>"147015340"</f>
        <v>147015340</v>
      </c>
      <c r="AC4604" t="s">
        <v>119</v>
      </c>
      <c r="AD4604" t="s">
        <v>113</v>
      </c>
      <c r="AE4604" t="s">
        <v>306</v>
      </c>
      <c r="AG4604" t="s">
        <v>121</v>
      </c>
    </row>
    <row r="4605" spans="1:33" x14ac:dyDescent="0.25">
      <c r="A4605" t="str">
        <f>"1083960066"</f>
        <v>1083960066</v>
      </c>
      <c r="B4605" t="str">
        <f>"01218991"</f>
        <v>01218991</v>
      </c>
      <c r="C4605" t="s">
        <v>23732</v>
      </c>
      <c r="D4605" t="s">
        <v>23733</v>
      </c>
      <c r="E4605" t="s">
        <v>23734</v>
      </c>
      <c r="G4605" t="s">
        <v>23711</v>
      </c>
      <c r="H4605" t="s">
        <v>23712</v>
      </c>
      <c r="J4605" t="s">
        <v>23713</v>
      </c>
      <c r="L4605" t="s">
        <v>142</v>
      </c>
      <c r="M4605" t="s">
        <v>113</v>
      </c>
      <c r="R4605" t="s">
        <v>23735</v>
      </c>
      <c r="W4605" t="s">
        <v>23736</v>
      </c>
      <c r="X4605" t="s">
        <v>23731</v>
      </c>
      <c r="Y4605" t="s">
        <v>986</v>
      </c>
      <c r="Z4605" t="s">
        <v>117</v>
      </c>
      <c r="AA4605" t="str">
        <f>"14701-5340"</f>
        <v>14701-5340</v>
      </c>
      <c r="AB4605" t="s">
        <v>118</v>
      </c>
      <c r="AC4605" t="s">
        <v>119</v>
      </c>
      <c r="AD4605" t="s">
        <v>113</v>
      </c>
      <c r="AE4605" t="s">
        <v>120</v>
      </c>
      <c r="AG4605" t="s">
        <v>121</v>
      </c>
    </row>
    <row r="4606" spans="1:33" x14ac:dyDescent="0.25">
      <c r="A4606" t="str">
        <f>"1902219645"</f>
        <v>1902219645</v>
      </c>
      <c r="C4606" t="s">
        <v>23737</v>
      </c>
      <c r="G4606" t="s">
        <v>23738</v>
      </c>
      <c r="H4606" t="s">
        <v>11926</v>
      </c>
      <c r="J4606" t="s">
        <v>23739</v>
      </c>
      <c r="K4606" t="s">
        <v>303</v>
      </c>
      <c r="L4606" t="s">
        <v>112</v>
      </c>
      <c r="M4606" t="s">
        <v>113</v>
      </c>
      <c r="R4606" t="s">
        <v>23740</v>
      </c>
      <c r="S4606" t="s">
        <v>6506</v>
      </c>
      <c r="T4606" t="s">
        <v>1562</v>
      </c>
      <c r="U4606" t="s">
        <v>117</v>
      </c>
      <c r="V4606" t="str">
        <f>"140479670"</f>
        <v>140479670</v>
      </c>
      <c r="AC4606" t="s">
        <v>119</v>
      </c>
      <c r="AD4606" t="s">
        <v>113</v>
      </c>
      <c r="AE4606" t="s">
        <v>306</v>
      </c>
      <c r="AG4606" t="s">
        <v>121</v>
      </c>
    </row>
    <row r="4607" spans="1:33" x14ac:dyDescent="0.25">
      <c r="C4607" t="s">
        <v>23741</v>
      </c>
      <c r="G4607" t="s">
        <v>23738</v>
      </c>
      <c r="H4607" t="s">
        <v>11926</v>
      </c>
      <c r="J4607" t="s">
        <v>23739</v>
      </c>
      <c r="K4607" t="s">
        <v>303</v>
      </c>
      <c r="L4607" t="s">
        <v>3095</v>
      </c>
      <c r="M4607" t="s">
        <v>113</v>
      </c>
      <c r="N4607" t="s">
        <v>23742</v>
      </c>
      <c r="O4607" t="s">
        <v>19943</v>
      </c>
      <c r="P4607" t="s">
        <v>117</v>
      </c>
      <c r="Q4607" t="str">
        <f>"14760"</f>
        <v>14760</v>
      </c>
      <c r="AC4607" t="s">
        <v>119</v>
      </c>
      <c r="AD4607" t="s">
        <v>113</v>
      </c>
      <c r="AE4607" t="s">
        <v>3098</v>
      </c>
      <c r="AG4607" t="s">
        <v>121</v>
      </c>
    </row>
    <row r="4608" spans="1:33" x14ac:dyDescent="0.25">
      <c r="A4608" t="str">
        <f>"1912919291"</f>
        <v>1912919291</v>
      </c>
      <c r="B4608" t="str">
        <f>"02792372"</f>
        <v>02792372</v>
      </c>
      <c r="C4608" t="s">
        <v>23743</v>
      </c>
      <c r="D4608" t="s">
        <v>23744</v>
      </c>
      <c r="E4608" t="s">
        <v>23745</v>
      </c>
      <c r="G4608" t="s">
        <v>23738</v>
      </c>
      <c r="H4608" t="s">
        <v>11926</v>
      </c>
      <c r="J4608" t="s">
        <v>23739</v>
      </c>
      <c r="L4608" t="s">
        <v>1033</v>
      </c>
      <c r="M4608" t="s">
        <v>113</v>
      </c>
      <c r="R4608" t="s">
        <v>23746</v>
      </c>
      <c r="W4608" t="s">
        <v>23745</v>
      </c>
      <c r="X4608" t="s">
        <v>6506</v>
      </c>
      <c r="Y4608" t="s">
        <v>1562</v>
      </c>
      <c r="Z4608" t="s">
        <v>117</v>
      </c>
      <c r="AA4608" t="str">
        <f>"14047-9670"</f>
        <v>14047-9670</v>
      </c>
      <c r="AB4608" t="s">
        <v>118</v>
      </c>
      <c r="AC4608" t="s">
        <v>119</v>
      </c>
      <c r="AD4608" t="s">
        <v>113</v>
      </c>
      <c r="AE4608" t="s">
        <v>120</v>
      </c>
      <c r="AG4608" t="s">
        <v>121</v>
      </c>
    </row>
    <row r="4609" spans="1:33" x14ac:dyDescent="0.25">
      <c r="A4609" t="str">
        <f>"1376784199"</f>
        <v>1376784199</v>
      </c>
      <c r="C4609" t="s">
        <v>23747</v>
      </c>
      <c r="G4609" t="s">
        <v>23738</v>
      </c>
      <c r="H4609" t="s">
        <v>11926</v>
      </c>
      <c r="J4609" t="s">
        <v>23739</v>
      </c>
      <c r="K4609" t="s">
        <v>303</v>
      </c>
      <c r="L4609" t="s">
        <v>112</v>
      </c>
      <c r="M4609" t="s">
        <v>113</v>
      </c>
      <c r="R4609" t="s">
        <v>23748</v>
      </c>
      <c r="S4609" t="s">
        <v>6506</v>
      </c>
      <c r="T4609" t="s">
        <v>1562</v>
      </c>
      <c r="U4609" t="s">
        <v>117</v>
      </c>
      <c r="V4609" t="str">
        <f>"140479670"</f>
        <v>140479670</v>
      </c>
      <c r="AC4609" t="s">
        <v>119</v>
      </c>
      <c r="AD4609" t="s">
        <v>113</v>
      </c>
      <c r="AE4609" t="s">
        <v>306</v>
      </c>
      <c r="AG4609" t="s">
        <v>121</v>
      </c>
    </row>
    <row r="4610" spans="1:33" x14ac:dyDescent="0.25">
      <c r="A4610" t="str">
        <f>"1477626539"</f>
        <v>1477626539</v>
      </c>
      <c r="B4610" t="str">
        <f>"01967871"</f>
        <v>01967871</v>
      </c>
      <c r="C4610" t="s">
        <v>23749</v>
      </c>
      <c r="D4610" t="s">
        <v>23750</v>
      </c>
      <c r="E4610" t="s">
        <v>23751</v>
      </c>
      <c r="G4610" t="s">
        <v>23738</v>
      </c>
      <c r="H4610" t="s">
        <v>11926</v>
      </c>
      <c r="J4610" t="s">
        <v>23739</v>
      </c>
      <c r="L4610" t="s">
        <v>1033</v>
      </c>
      <c r="M4610" t="s">
        <v>113</v>
      </c>
      <c r="R4610" t="s">
        <v>23751</v>
      </c>
      <c r="W4610" t="s">
        <v>23752</v>
      </c>
      <c r="X4610" t="s">
        <v>23753</v>
      </c>
      <c r="Y4610" t="s">
        <v>2946</v>
      </c>
      <c r="Z4610" t="s">
        <v>117</v>
      </c>
      <c r="AA4610" t="str">
        <f>"14075-4755"</f>
        <v>14075-4755</v>
      </c>
      <c r="AB4610" t="s">
        <v>621</v>
      </c>
      <c r="AC4610" t="s">
        <v>119</v>
      </c>
      <c r="AD4610" t="s">
        <v>113</v>
      </c>
      <c r="AE4610" t="s">
        <v>120</v>
      </c>
      <c r="AG4610" t="s">
        <v>121</v>
      </c>
    </row>
    <row r="4611" spans="1:33" x14ac:dyDescent="0.25">
      <c r="C4611" t="s">
        <v>23754</v>
      </c>
      <c r="G4611" t="s">
        <v>23738</v>
      </c>
      <c r="H4611" t="s">
        <v>11926</v>
      </c>
      <c r="J4611" t="s">
        <v>23739</v>
      </c>
      <c r="K4611" t="s">
        <v>303</v>
      </c>
      <c r="L4611" t="s">
        <v>3095</v>
      </c>
      <c r="M4611" t="s">
        <v>113</v>
      </c>
      <c r="N4611" t="s">
        <v>23742</v>
      </c>
      <c r="O4611" t="s">
        <v>19943</v>
      </c>
      <c r="P4611" t="s">
        <v>117</v>
      </c>
      <c r="Q4611" t="str">
        <f>"14760"</f>
        <v>14760</v>
      </c>
      <c r="AC4611" t="s">
        <v>119</v>
      </c>
      <c r="AD4611" t="s">
        <v>113</v>
      </c>
      <c r="AE4611" t="s">
        <v>3098</v>
      </c>
      <c r="AG4611" t="s">
        <v>121</v>
      </c>
    </row>
    <row r="4612" spans="1:33" x14ac:dyDescent="0.25">
      <c r="A4612" t="str">
        <f>"1083645535"</f>
        <v>1083645535</v>
      </c>
      <c r="B4612" t="str">
        <f>"02523128"</f>
        <v>02523128</v>
      </c>
      <c r="C4612" t="s">
        <v>23755</v>
      </c>
      <c r="D4612" t="s">
        <v>23756</v>
      </c>
      <c r="E4612" t="s">
        <v>23757</v>
      </c>
      <c r="G4612" t="s">
        <v>23758</v>
      </c>
      <c r="H4612" t="s">
        <v>23759</v>
      </c>
      <c r="J4612" t="s">
        <v>23760</v>
      </c>
      <c r="L4612" t="s">
        <v>112</v>
      </c>
      <c r="M4612" t="s">
        <v>199</v>
      </c>
      <c r="R4612" t="s">
        <v>23761</v>
      </c>
      <c r="W4612" t="s">
        <v>23762</v>
      </c>
      <c r="X4612" t="s">
        <v>23763</v>
      </c>
      <c r="Y4612" t="s">
        <v>23764</v>
      </c>
      <c r="Z4612" t="s">
        <v>117</v>
      </c>
      <c r="AA4612" t="str">
        <f>"11366-1950"</f>
        <v>11366-1950</v>
      </c>
      <c r="AB4612" t="s">
        <v>118</v>
      </c>
      <c r="AC4612" t="s">
        <v>119</v>
      </c>
      <c r="AD4612" t="s">
        <v>113</v>
      </c>
      <c r="AE4612" t="s">
        <v>120</v>
      </c>
      <c r="AG4612" t="s">
        <v>121</v>
      </c>
    </row>
    <row r="4613" spans="1:33" x14ac:dyDescent="0.25">
      <c r="C4613" t="s">
        <v>23765</v>
      </c>
      <c r="G4613" t="s">
        <v>23766</v>
      </c>
      <c r="H4613" t="s">
        <v>23767</v>
      </c>
      <c r="J4613" t="s">
        <v>23768</v>
      </c>
      <c r="K4613" t="s">
        <v>303</v>
      </c>
      <c r="L4613" t="s">
        <v>3095</v>
      </c>
      <c r="M4613" t="s">
        <v>113</v>
      </c>
      <c r="N4613" t="s">
        <v>23769</v>
      </c>
      <c r="O4613" t="s">
        <v>22730</v>
      </c>
      <c r="P4613" t="s">
        <v>117</v>
      </c>
      <c r="Q4613" t="str">
        <f>"14620"</f>
        <v>14620</v>
      </c>
      <c r="AC4613" t="s">
        <v>119</v>
      </c>
      <c r="AD4613" t="s">
        <v>113</v>
      </c>
      <c r="AE4613" t="s">
        <v>3098</v>
      </c>
      <c r="AG4613" t="s">
        <v>121</v>
      </c>
    </row>
    <row r="4614" spans="1:33" x14ac:dyDescent="0.25">
      <c r="A4614" t="str">
        <f>"1326037466"</f>
        <v>1326037466</v>
      </c>
      <c r="B4614" t="str">
        <f>"02461347"</f>
        <v>02461347</v>
      </c>
      <c r="C4614" t="s">
        <v>23770</v>
      </c>
      <c r="D4614" t="s">
        <v>23771</v>
      </c>
      <c r="E4614" t="s">
        <v>23772</v>
      </c>
      <c r="G4614" t="s">
        <v>19259</v>
      </c>
      <c r="H4614" t="s">
        <v>19260</v>
      </c>
      <c r="J4614" t="s">
        <v>19261</v>
      </c>
      <c r="L4614" t="s">
        <v>112</v>
      </c>
      <c r="M4614" t="s">
        <v>113</v>
      </c>
      <c r="R4614" t="s">
        <v>23772</v>
      </c>
      <c r="W4614" t="s">
        <v>23772</v>
      </c>
      <c r="X4614" t="s">
        <v>1620</v>
      </c>
      <c r="Y4614" t="s">
        <v>116</v>
      </c>
      <c r="Z4614" t="s">
        <v>117</v>
      </c>
      <c r="AA4614" t="str">
        <f>"14203-2233"</f>
        <v>14203-2233</v>
      </c>
      <c r="AB4614" t="s">
        <v>223</v>
      </c>
      <c r="AC4614" t="s">
        <v>119</v>
      </c>
      <c r="AD4614" t="s">
        <v>113</v>
      </c>
      <c r="AE4614" t="s">
        <v>120</v>
      </c>
      <c r="AG4614" t="s">
        <v>121</v>
      </c>
    </row>
    <row r="4615" spans="1:33" x14ac:dyDescent="0.25">
      <c r="A4615" t="str">
        <f>"1548412281"</f>
        <v>1548412281</v>
      </c>
      <c r="B4615" t="str">
        <f>"02190518"</f>
        <v>02190518</v>
      </c>
      <c r="C4615" t="s">
        <v>23773</v>
      </c>
      <c r="D4615" t="s">
        <v>23774</v>
      </c>
      <c r="E4615" t="s">
        <v>23775</v>
      </c>
      <c r="G4615" t="s">
        <v>19259</v>
      </c>
      <c r="H4615" t="s">
        <v>19260</v>
      </c>
      <c r="J4615" t="s">
        <v>19261</v>
      </c>
      <c r="L4615" t="s">
        <v>112</v>
      </c>
      <c r="M4615" t="s">
        <v>113</v>
      </c>
      <c r="R4615" t="s">
        <v>23776</v>
      </c>
      <c r="W4615" t="s">
        <v>23775</v>
      </c>
      <c r="X4615" t="s">
        <v>23777</v>
      </c>
      <c r="Y4615" t="s">
        <v>1545</v>
      </c>
      <c r="Z4615" t="s">
        <v>117</v>
      </c>
      <c r="AA4615" t="str">
        <f>"14218-1500"</f>
        <v>14218-1500</v>
      </c>
      <c r="AB4615" t="s">
        <v>223</v>
      </c>
      <c r="AC4615" t="s">
        <v>119</v>
      </c>
      <c r="AD4615" t="s">
        <v>113</v>
      </c>
      <c r="AE4615" t="s">
        <v>120</v>
      </c>
      <c r="AG4615" t="s">
        <v>121</v>
      </c>
    </row>
    <row r="4616" spans="1:33" x14ac:dyDescent="0.25">
      <c r="A4616" t="str">
        <f>"1922319862"</f>
        <v>1922319862</v>
      </c>
      <c r="C4616" t="s">
        <v>23778</v>
      </c>
      <c r="G4616" t="s">
        <v>19259</v>
      </c>
      <c r="H4616" t="s">
        <v>19260</v>
      </c>
      <c r="J4616" t="s">
        <v>19261</v>
      </c>
      <c r="K4616" t="s">
        <v>303</v>
      </c>
      <c r="L4616" t="s">
        <v>112</v>
      </c>
      <c r="M4616" t="s">
        <v>113</v>
      </c>
      <c r="R4616" t="s">
        <v>23779</v>
      </c>
      <c r="S4616" t="s">
        <v>1620</v>
      </c>
      <c r="T4616" t="s">
        <v>116</v>
      </c>
      <c r="U4616" t="s">
        <v>117</v>
      </c>
      <c r="V4616" t="str">
        <f>"142032233"</f>
        <v>142032233</v>
      </c>
      <c r="AC4616" t="s">
        <v>119</v>
      </c>
      <c r="AD4616" t="s">
        <v>113</v>
      </c>
      <c r="AE4616" t="s">
        <v>306</v>
      </c>
      <c r="AG4616" t="s">
        <v>121</v>
      </c>
    </row>
    <row r="4617" spans="1:33" x14ac:dyDescent="0.25">
      <c r="A4617" t="str">
        <f>"1598963316"</f>
        <v>1598963316</v>
      </c>
      <c r="C4617" t="s">
        <v>23780</v>
      </c>
      <c r="G4617" t="s">
        <v>19259</v>
      </c>
      <c r="H4617" t="s">
        <v>19260</v>
      </c>
      <c r="J4617" t="s">
        <v>19261</v>
      </c>
      <c r="K4617" t="s">
        <v>303</v>
      </c>
      <c r="L4617" t="s">
        <v>112</v>
      </c>
      <c r="M4617" t="s">
        <v>113</v>
      </c>
      <c r="R4617" t="s">
        <v>23781</v>
      </c>
      <c r="S4617" t="s">
        <v>19581</v>
      </c>
      <c r="T4617" t="s">
        <v>318</v>
      </c>
      <c r="U4617" t="s">
        <v>117</v>
      </c>
      <c r="V4617" t="str">
        <f>"142252712"</f>
        <v>142252712</v>
      </c>
      <c r="AC4617" t="s">
        <v>119</v>
      </c>
      <c r="AD4617" t="s">
        <v>113</v>
      </c>
      <c r="AE4617" t="s">
        <v>306</v>
      </c>
      <c r="AG4617" t="s">
        <v>121</v>
      </c>
    </row>
    <row r="4618" spans="1:33" x14ac:dyDescent="0.25">
      <c r="A4618" t="str">
        <f>"1518115831"</f>
        <v>1518115831</v>
      </c>
      <c r="C4618" t="s">
        <v>23782</v>
      </c>
      <c r="G4618" t="s">
        <v>19259</v>
      </c>
      <c r="H4618" t="s">
        <v>19260</v>
      </c>
      <c r="J4618" t="s">
        <v>19261</v>
      </c>
      <c r="K4618" t="s">
        <v>303</v>
      </c>
      <c r="L4618" t="s">
        <v>112</v>
      </c>
      <c r="M4618" t="s">
        <v>113</v>
      </c>
      <c r="R4618" t="s">
        <v>23783</v>
      </c>
      <c r="S4618" t="s">
        <v>23784</v>
      </c>
      <c r="T4618" t="s">
        <v>377</v>
      </c>
      <c r="U4618" t="s">
        <v>117</v>
      </c>
      <c r="V4618" t="str">
        <f>"14217"</f>
        <v>14217</v>
      </c>
      <c r="AC4618" t="s">
        <v>119</v>
      </c>
      <c r="AD4618" t="s">
        <v>113</v>
      </c>
      <c r="AE4618" t="s">
        <v>306</v>
      </c>
      <c r="AG4618" t="s">
        <v>121</v>
      </c>
    </row>
    <row r="4619" spans="1:33" x14ac:dyDescent="0.25">
      <c r="A4619" t="str">
        <f>"1972757854"</f>
        <v>1972757854</v>
      </c>
      <c r="B4619" t="str">
        <f>"03068242"</f>
        <v>03068242</v>
      </c>
      <c r="C4619" t="s">
        <v>23785</v>
      </c>
      <c r="D4619" t="s">
        <v>23786</v>
      </c>
      <c r="E4619" t="s">
        <v>23787</v>
      </c>
      <c r="G4619" t="s">
        <v>19259</v>
      </c>
      <c r="H4619" t="s">
        <v>19260</v>
      </c>
      <c r="J4619" t="s">
        <v>19261</v>
      </c>
      <c r="L4619" t="s">
        <v>112</v>
      </c>
      <c r="M4619" t="s">
        <v>113</v>
      </c>
      <c r="R4619" t="s">
        <v>23787</v>
      </c>
      <c r="W4619" t="s">
        <v>23787</v>
      </c>
      <c r="X4619" t="s">
        <v>1620</v>
      </c>
      <c r="Y4619" t="s">
        <v>116</v>
      </c>
      <c r="Z4619" t="s">
        <v>117</v>
      </c>
      <c r="AA4619" t="str">
        <f>"14203-2233"</f>
        <v>14203-2233</v>
      </c>
      <c r="AB4619" t="s">
        <v>223</v>
      </c>
      <c r="AC4619" t="s">
        <v>119</v>
      </c>
      <c r="AD4619" t="s">
        <v>113</v>
      </c>
      <c r="AE4619" t="s">
        <v>120</v>
      </c>
      <c r="AG4619" t="s">
        <v>121</v>
      </c>
    </row>
    <row r="4620" spans="1:33" x14ac:dyDescent="0.25">
      <c r="A4620" t="str">
        <f>"1972814812"</f>
        <v>1972814812</v>
      </c>
      <c r="C4620" t="s">
        <v>23788</v>
      </c>
      <c r="G4620" t="s">
        <v>19259</v>
      </c>
      <c r="H4620" t="s">
        <v>19260</v>
      </c>
      <c r="J4620" t="s">
        <v>19261</v>
      </c>
      <c r="K4620" t="s">
        <v>303</v>
      </c>
      <c r="L4620" t="s">
        <v>112</v>
      </c>
      <c r="M4620" t="s">
        <v>113</v>
      </c>
      <c r="R4620" t="s">
        <v>23789</v>
      </c>
      <c r="S4620" t="s">
        <v>1620</v>
      </c>
      <c r="T4620" t="s">
        <v>116</v>
      </c>
      <c r="U4620" t="s">
        <v>117</v>
      </c>
      <c r="V4620" t="str">
        <f>"142032233"</f>
        <v>142032233</v>
      </c>
      <c r="AC4620" t="s">
        <v>119</v>
      </c>
      <c r="AD4620" t="s">
        <v>113</v>
      </c>
      <c r="AE4620" t="s">
        <v>306</v>
      </c>
      <c r="AG4620" t="s">
        <v>121</v>
      </c>
    </row>
    <row r="4621" spans="1:33" x14ac:dyDescent="0.25">
      <c r="A4621" t="str">
        <f>"1851541007"</f>
        <v>1851541007</v>
      </c>
      <c r="B4621" t="str">
        <f>"03807590"</f>
        <v>03807590</v>
      </c>
      <c r="C4621" t="s">
        <v>23790</v>
      </c>
      <c r="D4621" t="s">
        <v>23791</v>
      </c>
      <c r="E4621" t="s">
        <v>23792</v>
      </c>
      <c r="G4621" t="s">
        <v>19259</v>
      </c>
      <c r="H4621" t="s">
        <v>19260</v>
      </c>
      <c r="J4621" t="s">
        <v>19261</v>
      </c>
      <c r="L4621" t="s">
        <v>112</v>
      </c>
      <c r="M4621" t="s">
        <v>113</v>
      </c>
      <c r="R4621" t="s">
        <v>23793</v>
      </c>
      <c r="W4621" t="s">
        <v>23792</v>
      </c>
      <c r="X4621" t="s">
        <v>19610</v>
      </c>
      <c r="Y4621" t="s">
        <v>116</v>
      </c>
      <c r="Z4621" t="s">
        <v>117</v>
      </c>
      <c r="AA4621" t="str">
        <f>"14203-1002"</f>
        <v>14203-1002</v>
      </c>
      <c r="AB4621" t="s">
        <v>223</v>
      </c>
      <c r="AC4621" t="s">
        <v>119</v>
      </c>
      <c r="AD4621" t="s">
        <v>113</v>
      </c>
      <c r="AE4621" t="s">
        <v>120</v>
      </c>
      <c r="AG4621" t="s">
        <v>121</v>
      </c>
    </row>
    <row r="4622" spans="1:33" x14ac:dyDescent="0.25">
      <c r="A4622" t="str">
        <f>"1639328842"</f>
        <v>1639328842</v>
      </c>
      <c r="B4622" t="str">
        <f>"03644319"</f>
        <v>03644319</v>
      </c>
      <c r="C4622" t="s">
        <v>23794</v>
      </c>
      <c r="D4622" t="s">
        <v>23795</v>
      </c>
      <c r="E4622" t="s">
        <v>23796</v>
      </c>
      <c r="G4622" t="s">
        <v>19259</v>
      </c>
      <c r="H4622" t="s">
        <v>19260</v>
      </c>
      <c r="J4622" t="s">
        <v>19261</v>
      </c>
      <c r="L4622" t="s">
        <v>112</v>
      </c>
      <c r="M4622" t="s">
        <v>113</v>
      </c>
      <c r="R4622" t="s">
        <v>23797</v>
      </c>
      <c r="W4622" t="s">
        <v>23796</v>
      </c>
      <c r="X4622" t="s">
        <v>19628</v>
      </c>
      <c r="Y4622" t="s">
        <v>268</v>
      </c>
      <c r="Z4622" t="s">
        <v>117</v>
      </c>
      <c r="AA4622" t="str">
        <f>"14150-8350"</f>
        <v>14150-8350</v>
      </c>
      <c r="AB4622" t="s">
        <v>223</v>
      </c>
      <c r="AC4622" t="s">
        <v>119</v>
      </c>
      <c r="AD4622" t="s">
        <v>113</v>
      </c>
      <c r="AE4622" t="s">
        <v>120</v>
      </c>
      <c r="AG4622" t="s">
        <v>121</v>
      </c>
    </row>
    <row r="4623" spans="1:33" x14ac:dyDescent="0.25">
      <c r="A4623" t="str">
        <f>"1073763579"</f>
        <v>1073763579</v>
      </c>
      <c r="B4623" t="str">
        <f>"03292519"</f>
        <v>03292519</v>
      </c>
      <c r="C4623" t="s">
        <v>23798</v>
      </c>
      <c r="D4623" t="s">
        <v>23799</v>
      </c>
      <c r="E4623" t="s">
        <v>23800</v>
      </c>
      <c r="G4623" t="s">
        <v>19259</v>
      </c>
      <c r="H4623" t="s">
        <v>19260</v>
      </c>
      <c r="J4623" t="s">
        <v>19261</v>
      </c>
      <c r="L4623" t="s">
        <v>112</v>
      </c>
      <c r="M4623" t="s">
        <v>113</v>
      </c>
      <c r="R4623" t="s">
        <v>23800</v>
      </c>
      <c r="W4623" t="s">
        <v>23800</v>
      </c>
      <c r="X4623" t="s">
        <v>19605</v>
      </c>
      <c r="Y4623" t="s">
        <v>958</v>
      </c>
      <c r="Z4623" t="s">
        <v>117</v>
      </c>
      <c r="AA4623" t="str">
        <f>"14226-5122"</f>
        <v>14226-5122</v>
      </c>
      <c r="AB4623" t="s">
        <v>223</v>
      </c>
      <c r="AC4623" t="s">
        <v>119</v>
      </c>
      <c r="AD4623" t="s">
        <v>113</v>
      </c>
      <c r="AE4623" t="s">
        <v>120</v>
      </c>
      <c r="AG4623" t="s">
        <v>121</v>
      </c>
    </row>
    <row r="4624" spans="1:33" x14ac:dyDescent="0.25">
      <c r="A4624" t="str">
        <f>"1043453665"</f>
        <v>1043453665</v>
      </c>
      <c r="B4624" t="str">
        <f>"03917764"</f>
        <v>03917764</v>
      </c>
      <c r="C4624" t="s">
        <v>23801</v>
      </c>
      <c r="D4624" t="s">
        <v>23802</v>
      </c>
      <c r="E4624" t="s">
        <v>23803</v>
      </c>
      <c r="G4624" t="s">
        <v>19259</v>
      </c>
      <c r="H4624" t="s">
        <v>19260</v>
      </c>
      <c r="J4624" t="s">
        <v>19261</v>
      </c>
      <c r="L4624" t="s">
        <v>112</v>
      </c>
      <c r="M4624" t="s">
        <v>113</v>
      </c>
      <c r="R4624" t="s">
        <v>23803</v>
      </c>
      <c r="W4624" t="s">
        <v>23803</v>
      </c>
      <c r="X4624" t="s">
        <v>1620</v>
      </c>
      <c r="Y4624" t="s">
        <v>116</v>
      </c>
      <c r="Z4624" t="s">
        <v>117</v>
      </c>
      <c r="AA4624" t="str">
        <f>"14203-2233"</f>
        <v>14203-2233</v>
      </c>
      <c r="AB4624" t="s">
        <v>223</v>
      </c>
      <c r="AC4624" t="s">
        <v>119</v>
      </c>
      <c r="AD4624" t="s">
        <v>113</v>
      </c>
      <c r="AE4624" t="s">
        <v>120</v>
      </c>
      <c r="AG4624" t="s">
        <v>121</v>
      </c>
    </row>
    <row r="4625" spans="1:33" x14ac:dyDescent="0.25">
      <c r="A4625" t="str">
        <f>"1124386230"</f>
        <v>1124386230</v>
      </c>
      <c r="B4625" t="str">
        <f>"03471969"</f>
        <v>03471969</v>
      </c>
      <c r="C4625" t="s">
        <v>23804</v>
      </c>
      <c r="D4625" t="s">
        <v>23805</v>
      </c>
      <c r="E4625" t="s">
        <v>23806</v>
      </c>
      <c r="G4625" t="s">
        <v>19259</v>
      </c>
      <c r="H4625" t="s">
        <v>19260</v>
      </c>
      <c r="J4625" t="s">
        <v>19261</v>
      </c>
      <c r="L4625" t="s">
        <v>112</v>
      </c>
      <c r="M4625" t="s">
        <v>113</v>
      </c>
      <c r="R4625" t="s">
        <v>23806</v>
      </c>
      <c r="W4625" t="s">
        <v>23806</v>
      </c>
      <c r="X4625" t="s">
        <v>1620</v>
      </c>
      <c r="Y4625" t="s">
        <v>116</v>
      </c>
      <c r="Z4625" t="s">
        <v>117</v>
      </c>
      <c r="AA4625" t="str">
        <f>"14203-2233"</f>
        <v>14203-2233</v>
      </c>
      <c r="AB4625" t="s">
        <v>223</v>
      </c>
      <c r="AC4625" t="s">
        <v>119</v>
      </c>
      <c r="AD4625" t="s">
        <v>113</v>
      </c>
      <c r="AE4625" t="s">
        <v>120</v>
      </c>
      <c r="AG4625" t="s">
        <v>121</v>
      </c>
    </row>
    <row r="4626" spans="1:33" x14ac:dyDescent="0.25">
      <c r="A4626" t="str">
        <f>"1083922892"</f>
        <v>1083922892</v>
      </c>
      <c r="C4626" t="s">
        <v>23807</v>
      </c>
      <c r="G4626" t="s">
        <v>19259</v>
      </c>
      <c r="H4626" t="s">
        <v>19260</v>
      </c>
      <c r="J4626" t="s">
        <v>19261</v>
      </c>
      <c r="K4626" t="s">
        <v>303</v>
      </c>
      <c r="L4626" t="s">
        <v>112</v>
      </c>
      <c r="M4626" t="s">
        <v>113</v>
      </c>
      <c r="R4626" t="s">
        <v>23808</v>
      </c>
      <c r="S4626" t="s">
        <v>23809</v>
      </c>
      <c r="T4626" t="s">
        <v>348</v>
      </c>
      <c r="U4626" t="s">
        <v>117</v>
      </c>
      <c r="V4626" t="str">
        <f>"140432212"</f>
        <v>140432212</v>
      </c>
      <c r="AC4626" t="s">
        <v>119</v>
      </c>
      <c r="AD4626" t="s">
        <v>113</v>
      </c>
      <c r="AE4626" t="s">
        <v>306</v>
      </c>
      <c r="AG4626" t="s">
        <v>121</v>
      </c>
    </row>
    <row r="4627" spans="1:33" x14ac:dyDescent="0.25">
      <c r="A4627" t="str">
        <f>"1427370840"</f>
        <v>1427370840</v>
      </c>
      <c r="C4627" t="s">
        <v>23810</v>
      </c>
      <c r="G4627" t="s">
        <v>19259</v>
      </c>
      <c r="H4627" t="s">
        <v>19260</v>
      </c>
      <c r="J4627" t="s">
        <v>19261</v>
      </c>
      <c r="K4627" t="s">
        <v>303</v>
      </c>
      <c r="L4627" t="s">
        <v>112</v>
      </c>
      <c r="M4627" t="s">
        <v>113</v>
      </c>
      <c r="R4627" t="s">
        <v>23811</v>
      </c>
      <c r="S4627" t="s">
        <v>1620</v>
      </c>
      <c r="T4627" t="s">
        <v>116</v>
      </c>
      <c r="U4627" t="s">
        <v>117</v>
      </c>
      <c r="V4627" t="str">
        <f>"142032233"</f>
        <v>142032233</v>
      </c>
      <c r="AC4627" t="s">
        <v>119</v>
      </c>
      <c r="AD4627" t="s">
        <v>113</v>
      </c>
      <c r="AE4627" t="s">
        <v>306</v>
      </c>
      <c r="AG4627" t="s">
        <v>121</v>
      </c>
    </row>
    <row r="4628" spans="1:33" x14ac:dyDescent="0.25">
      <c r="A4628" t="str">
        <f>"1700034634"</f>
        <v>1700034634</v>
      </c>
      <c r="C4628" t="s">
        <v>23812</v>
      </c>
      <c r="G4628" t="s">
        <v>19259</v>
      </c>
      <c r="H4628" t="s">
        <v>19260</v>
      </c>
      <c r="J4628" t="s">
        <v>19261</v>
      </c>
      <c r="K4628" t="s">
        <v>303</v>
      </c>
      <c r="L4628" t="s">
        <v>112</v>
      </c>
      <c r="M4628" t="s">
        <v>113</v>
      </c>
      <c r="R4628" t="s">
        <v>23813</v>
      </c>
      <c r="S4628" t="s">
        <v>23784</v>
      </c>
      <c r="T4628" t="s">
        <v>377</v>
      </c>
      <c r="U4628" t="s">
        <v>117</v>
      </c>
      <c r="V4628" t="str">
        <f>"142172743"</f>
        <v>142172743</v>
      </c>
      <c r="AC4628" t="s">
        <v>119</v>
      </c>
      <c r="AD4628" t="s">
        <v>113</v>
      </c>
      <c r="AE4628" t="s">
        <v>306</v>
      </c>
      <c r="AG4628" t="s">
        <v>121</v>
      </c>
    </row>
    <row r="4629" spans="1:33" x14ac:dyDescent="0.25">
      <c r="A4629" t="str">
        <f>"1588813984"</f>
        <v>1588813984</v>
      </c>
      <c r="C4629" t="s">
        <v>23814</v>
      </c>
      <c r="G4629" t="s">
        <v>19259</v>
      </c>
      <c r="H4629" t="s">
        <v>19260</v>
      </c>
      <c r="J4629" t="s">
        <v>19261</v>
      </c>
      <c r="K4629" t="s">
        <v>303</v>
      </c>
      <c r="L4629" t="s">
        <v>112</v>
      </c>
      <c r="M4629" t="s">
        <v>113</v>
      </c>
      <c r="R4629" t="s">
        <v>23815</v>
      </c>
      <c r="S4629" t="s">
        <v>23816</v>
      </c>
      <c r="T4629" t="s">
        <v>2946</v>
      </c>
      <c r="U4629" t="s">
        <v>117</v>
      </c>
      <c r="V4629" t="str">
        <f>"140755528"</f>
        <v>140755528</v>
      </c>
      <c r="AC4629" t="s">
        <v>119</v>
      </c>
      <c r="AD4629" t="s">
        <v>113</v>
      </c>
      <c r="AE4629" t="s">
        <v>306</v>
      </c>
      <c r="AG4629" t="s">
        <v>121</v>
      </c>
    </row>
    <row r="4630" spans="1:33" x14ac:dyDescent="0.25">
      <c r="A4630" t="str">
        <f>"1306118203"</f>
        <v>1306118203</v>
      </c>
      <c r="B4630" t="str">
        <f>"04234979"</f>
        <v>04234979</v>
      </c>
      <c r="C4630" t="s">
        <v>23817</v>
      </c>
      <c r="D4630" t="s">
        <v>23818</v>
      </c>
      <c r="E4630" t="s">
        <v>23819</v>
      </c>
      <c r="G4630" t="s">
        <v>19259</v>
      </c>
      <c r="H4630" t="s">
        <v>19260</v>
      </c>
      <c r="J4630" t="s">
        <v>19261</v>
      </c>
      <c r="L4630" t="s">
        <v>112</v>
      </c>
      <c r="M4630" t="s">
        <v>113</v>
      </c>
      <c r="R4630" t="s">
        <v>23819</v>
      </c>
      <c r="W4630" t="s">
        <v>23819</v>
      </c>
      <c r="X4630" t="s">
        <v>19600</v>
      </c>
      <c r="Y4630" t="s">
        <v>268</v>
      </c>
      <c r="Z4630" t="s">
        <v>117</v>
      </c>
      <c r="AA4630" t="str">
        <f>"14150-9478"</f>
        <v>14150-9478</v>
      </c>
      <c r="AB4630" t="s">
        <v>223</v>
      </c>
      <c r="AC4630" t="s">
        <v>119</v>
      </c>
      <c r="AD4630" t="s">
        <v>113</v>
      </c>
      <c r="AE4630" t="s">
        <v>120</v>
      </c>
      <c r="AG4630" t="s">
        <v>121</v>
      </c>
    </row>
    <row r="4631" spans="1:33" x14ac:dyDescent="0.25">
      <c r="A4631" t="str">
        <f>"1124336094"</f>
        <v>1124336094</v>
      </c>
      <c r="C4631" t="s">
        <v>23820</v>
      </c>
      <c r="G4631" t="s">
        <v>19259</v>
      </c>
      <c r="H4631" t="s">
        <v>19260</v>
      </c>
      <c r="J4631" t="s">
        <v>19261</v>
      </c>
      <c r="K4631" t="s">
        <v>303</v>
      </c>
      <c r="L4631" t="s">
        <v>112</v>
      </c>
      <c r="M4631" t="s">
        <v>113</v>
      </c>
      <c r="R4631" t="s">
        <v>23821</v>
      </c>
      <c r="S4631" t="s">
        <v>23822</v>
      </c>
      <c r="T4631" t="s">
        <v>129</v>
      </c>
      <c r="U4631" t="s">
        <v>117</v>
      </c>
      <c r="V4631" t="str">
        <f>"142243604"</f>
        <v>142243604</v>
      </c>
      <c r="AC4631" t="s">
        <v>119</v>
      </c>
      <c r="AD4631" t="s">
        <v>113</v>
      </c>
      <c r="AE4631" t="s">
        <v>306</v>
      </c>
      <c r="AG4631" t="s">
        <v>121</v>
      </c>
    </row>
    <row r="4632" spans="1:33" x14ac:dyDescent="0.25">
      <c r="C4632" t="s">
        <v>23823</v>
      </c>
      <c r="G4632" t="s">
        <v>23824</v>
      </c>
      <c r="H4632" t="s">
        <v>22200</v>
      </c>
      <c r="J4632" t="s">
        <v>23825</v>
      </c>
      <c r="K4632" t="s">
        <v>303</v>
      </c>
      <c r="L4632" t="s">
        <v>3095</v>
      </c>
      <c r="M4632" t="s">
        <v>113</v>
      </c>
      <c r="N4632" t="s">
        <v>23826</v>
      </c>
      <c r="O4632" t="s">
        <v>23827</v>
      </c>
      <c r="P4632" t="s">
        <v>117</v>
      </c>
      <c r="Q4632" t="str">
        <f>"14750"</f>
        <v>14750</v>
      </c>
      <c r="AC4632" t="s">
        <v>119</v>
      </c>
      <c r="AD4632" t="s">
        <v>113</v>
      </c>
      <c r="AE4632" t="s">
        <v>3098</v>
      </c>
      <c r="AG4632" t="s">
        <v>121</v>
      </c>
    </row>
    <row r="4633" spans="1:33" x14ac:dyDescent="0.25">
      <c r="C4633" t="s">
        <v>23828</v>
      </c>
      <c r="G4633" t="s">
        <v>23829</v>
      </c>
      <c r="H4633" t="s">
        <v>23830</v>
      </c>
      <c r="J4633" t="s">
        <v>23831</v>
      </c>
      <c r="K4633" t="s">
        <v>303</v>
      </c>
      <c r="L4633" t="s">
        <v>3095</v>
      </c>
      <c r="M4633" t="s">
        <v>113</v>
      </c>
      <c r="N4633" t="s">
        <v>23832</v>
      </c>
      <c r="O4633" t="s">
        <v>23833</v>
      </c>
      <c r="P4633" t="s">
        <v>117</v>
      </c>
      <c r="Q4633" t="str">
        <f>"14470"</f>
        <v>14470</v>
      </c>
      <c r="AC4633" t="s">
        <v>119</v>
      </c>
      <c r="AD4633" t="s">
        <v>113</v>
      </c>
      <c r="AE4633" t="s">
        <v>3098</v>
      </c>
      <c r="AG4633" t="s">
        <v>121</v>
      </c>
    </row>
    <row r="4634" spans="1:33" x14ac:dyDescent="0.25">
      <c r="A4634" t="str">
        <f>"1841208410"</f>
        <v>1841208410</v>
      </c>
      <c r="B4634" t="str">
        <f>"02438879"</f>
        <v>02438879</v>
      </c>
      <c r="C4634" t="s">
        <v>23834</v>
      </c>
      <c r="D4634" t="s">
        <v>23835</v>
      </c>
      <c r="E4634" t="s">
        <v>23836</v>
      </c>
      <c r="G4634" t="s">
        <v>23837</v>
      </c>
      <c r="H4634" t="s">
        <v>205</v>
      </c>
      <c r="J4634" t="s">
        <v>23838</v>
      </c>
      <c r="L4634" t="s">
        <v>142</v>
      </c>
      <c r="M4634" t="s">
        <v>113</v>
      </c>
      <c r="R4634" t="s">
        <v>23836</v>
      </c>
      <c r="W4634" t="s">
        <v>23836</v>
      </c>
      <c r="X4634" t="s">
        <v>2607</v>
      </c>
      <c r="Y4634" t="s">
        <v>116</v>
      </c>
      <c r="Z4634" t="s">
        <v>117</v>
      </c>
      <c r="AA4634" t="str">
        <f>"14203-1194"</f>
        <v>14203-1194</v>
      </c>
      <c r="AB4634" t="s">
        <v>118</v>
      </c>
      <c r="AC4634" t="s">
        <v>119</v>
      </c>
      <c r="AD4634" t="s">
        <v>113</v>
      </c>
      <c r="AE4634" t="s">
        <v>120</v>
      </c>
      <c r="AG4634" t="s">
        <v>121</v>
      </c>
    </row>
    <row r="4635" spans="1:33" x14ac:dyDescent="0.25">
      <c r="A4635" t="str">
        <f>"1841215381"</f>
        <v>1841215381</v>
      </c>
      <c r="B4635" t="str">
        <f>"01013065"</f>
        <v>01013065</v>
      </c>
      <c r="C4635" t="s">
        <v>23839</v>
      </c>
      <c r="D4635" t="s">
        <v>23840</v>
      </c>
      <c r="E4635" t="s">
        <v>23841</v>
      </c>
      <c r="G4635" t="s">
        <v>23839</v>
      </c>
      <c r="H4635" t="s">
        <v>23842</v>
      </c>
      <c r="J4635" t="s">
        <v>23843</v>
      </c>
      <c r="L4635" t="s">
        <v>112</v>
      </c>
      <c r="M4635" t="s">
        <v>113</v>
      </c>
      <c r="R4635" t="s">
        <v>23844</v>
      </c>
      <c r="W4635" t="s">
        <v>23841</v>
      </c>
      <c r="X4635" t="s">
        <v>23845</v>
      </c>
      <c r="Y4635" t="s">
        <v>116</v>
      </c>
      <c r="Z4635" t="s">
        <v>117</v>
      </c>
      <c r="AA4635" t="str">
        <f>"14203-1126"</f>
        <v>14203-1126</v>
      </c>
      <c r="AB4635" t="s">
        <v>118</v>
      </c>
      <c r="AC4635" t="s">
        <v>119</v>
      </c>
      <c r="AD4635" t="s">
        <v>113</v>
      </c>
      <c r="AE4635" t="s">
        <v>120</v>
      </c>
      <c r="AG4635" t="s">
        <v>121</v>
      </c>
    </row>
    <row r="4636" spans="1:33" x14ac:dyDescent="0.25">
      <c r="A4636" t="str">
        <f>"1841231511"</f>
        <v>1841231511</v>
      </c>
      <c r="B4636" t="str">
        <f>"01564438"</f>
        <v>01564438</v>
      </c>
      <c r="C4636" t="s">
        <v>23846</v>
      </c>
      <c r="D4636" t="s">
        <v>23847</v>
      </c>
      <c r="E4636" t="s">
        <v>23848</v>
      </c>
      <c r="G4636" t="s">
        <v>23846</v>
      </c>
      <c r="H4636" t="s">
        <v>1109</v>
      </c>
      <c r="J4636" t="s">
        <v>23849</v>
      </c>
      <c r="L4636" t="s">
        <v>112</v>
      </c>
      <c r="M4636" t="s">
        <v>113</v>
      </c>
      <c r="R4636" t="s">
        <v>23850</v>
      </c>
      <c r="W4636" t="s">
        <v>23851</v>
      </c>
      <c r="X4636" t="s">
        <v>2607</v>
      </c>
      <c r="Y4636" t="s">
        <v>116</v>
      </c>
      <c r="Z4636" t="s">
        <v>117</v>
      </c>
      <c r="AA4636" t="str">
        <f>"14203-1149"</f>
        <v>14203-1149</v>
      </c>
      <c r="AB4636" t="s">
        <v>118</v>
      </c>
      <c r="AC4636" t="s">
        <v>119</v>
      </c>
      <c r="AD4636" t="s">
        <v>113</v>
      </c>
      <c r="AE4636" t="s">
        <v>120</v>
      </c>
      <c r="AG4636" t="s">
        <v>121</v>
      </c>
    </row>
    <row r="4637" spans="1:33" x14ac:dyDescent="0.25">
      <c r="A4637" t="str">
        <f>"1841233442"</f>
        <v>1841233442</v>
      </c>
      <c r="B4637" t="str">
        <f>"01647685"</f>
        <v>01647685</v>
      </c>
      <c r="C4637" t="s">
        <v>23852</v>
      </c>
      <c r="D4637" t="s">
        <v>23853</v>
      </c>
      <c r="E4637" t="s">
        <v>23854</v>
      </c>
      <c r="G4637" t="s">
        <v>859</v>
      </c>
      <c r="H4637" t="s">
        <v>23855</v>
      </c>
      <c r="J4637" t="s">
        <v>861</v>
      </c>
      <c r="L4637" t="s">
        <v>142</v>
      </c>
      <c r="M4637" t="s">
        <v>113</v>
      </c>
      <c r="R4637" t="s">
        <v>23856</v>
      </c>
      <c r="W4637" t="s">
        <v>23854</v>
      </c>
      <c r="X4637" t="s">
        <v>136</v>
      </c>
      <c r="Y4637" t="s">
        <v>116</v>
      </c>
      <c r="Z4637" t="s">
        <v>117</v>
      </c>
      <c r="AA4637" t="str">
        <f>"14209-1120"</f>
        <v>14209-1120</v>
      </c>
      <c r="AB4637" t="s">
        <v>118</v>
      </c>
      <c r="AC4637" t="s">
        <v>119</v>
      </c>
      <c r="AD4637" t="s">
        <v>113</v>
      </c>
      <c r="AE4637" t="s">
        <v>120</v>
      </c>
      <c r="AG4637" t="s">
        <v>121</v>
      </c>
    </row>
    <row r="4638" spans="1:33" x14ac:dyDescent="0.25">
      <c r="A4638" t="str">
        <f>"1841241361"</f>
        <v>1841241361</v>
      </c>
      <c r="B4638" t="str">
        <f>"02598121"</f>
        <v>02598121</v>
      </c>
      <c r="C4638" t="s">
        <v>23857</v>
      </c>
      <c r="D4638" t="s">
        <v>23858</v>
      </c>
      <c r="E4638" t="s">
        <v>23859</v>
      </c>
      <c r="G4638" t="s">
        <v>1393</v>
      </c>
      <c r="H4638" t="s">
        <v>23860</v>
      </c>
      <c r="J4638" t="s">
        <v>1395</v>
      </c>
      <c r="L4638" t="s">
        <v>150</v>
      </c>
      <c r="M4638" t="s">
        <v>113</v>
      </c>
      <c r="R4638" t="s">
        <v>23861</v>
      </c>
      <c r="W4638" t="s">
        <v>23859</v>
      </c>
      <c r="X4638" t="s">
        <v>23862</v>
      </c>
      <c r="Y4638" t="s">
        <v>192</v>
      </c>
      <c r="Z4638" t="s">
        <v>117</v>
      </c>
      <c r="AA4638" t="str">
        <f>"14020-3110"</f>
        <v>14020-3110</v>
      </c>
      <c r="AB4638" t="s">
        <v>118</v>
      </c>
      <c r="AC4638" t="s">
        <v>119</v>
      </c>
      <c r="AD4638" t="s">
        <v>113</v>
      </c>
      <c r="AE4638" t="s">
        <v>120</v>
      </c>
      <c r="AG4638" t="s">
        <v>121</v>
      </c>
    </row>
    <row r="4639" spans="1:33" x14ac:dyDescent="0.25">
      <c r="A4639" t="str">
        <f>"1841241791"</f>
        <v>1841241791</v>
      </c>
      <c r="B4639" t="str">
        <f>"02428513"</f>
        <v>02428513</v>
      </c>
      <c r="C4639" t="s">
        <v>23863</v>
      </c>
      <c r="D4639" t="s">
        <v>23864</v>
      </c>
      <c r="E4639" t="s">
        <v>23865</v>
      </c>
      <c r="G4639" t="s">
        <v>23866</v>
      </c>
      <c r="H4639" t="s">
        <v>10057</v>
      </c>
      <c r="J4639" t="s">
        <v>23867</v>
      </c>
      <c r="L4639" t="s">
        <v>150</v>
      </c>
      <c r="M4639" t="s">
        <v>199</v>
      </c>
      <c r="R4639" t="s">
        <v>23868</v>
      </c>
      <c r="W4639" t="s">
        <v>23865</v>
      </c>
      <c r="X4639" t="s">
        <v>23869</v>
      </c>
      <c r="Y4639" t="s">
        <v>116</v>
      </c>
      <c r="Z4639" t="s">
        <v>117</v>
      </c>
      <c r="AA4639" t="str">
        <f>"14222-2099"</f>
        <v>14222-2099</v>
      </c>
      <c r="AB4639" t="s">
        <v>118</v>
      </c>
      <c r="AC4639" t="s">
        <v>119</v>
      </c>
      <c r="AD4639" t="s">
        <v>113</v>
      </c>
      <c r="AE4639" t="s">
        <v>120</v>
      </c>
      <c r="AG4639" t="s">
        <v>121</v>
      </c>
    </row>
    <row r="4640" spans="1:33" x14ac:dyDescent="0.25">
      <c r="A4640" t="str">
        <f>"1952488041"</f>
        <v>1952488041</v>
      </c>
      <c r="C4640" t="s">
        <v>23870</v>
      </c>
      <c r="G4640" t="s">
        <v>23871</v>
      </c>
      <c r="H4640" t="s">
        <v>1538</v>
      </c>
      <c r="K4640" t="s">
        <v>303</v>
      </c>
      <c r="L4640" t="s">
        <v>229</v>
      </c>
      <c r="M4640" t="s">
        <v>113</v>
      </c>
      <c r="R4640" t="s">
        <v>23872</v>
      </c>
      <c r="S4640" t="s">
        <v>409</v>
      </c>
      <c r="T4640" t="s">
        <v>116</v>
      </c>
      <c r="U4640" t="s">
        <v>117</v>
      </c>
      <c r="V4640" t="str">
        <f>"142152814"</f>
        <v>142152814</v>
      </c>
      <c r="AC4640" t="s">
        <v>119</v>
      </c>
      <c r="AD4640" t="s">
        <v>113</v>
      </c>
      <c r="AE4640" t="s">
        <v>306</v>
      </c>
      <c r="AG4640" t="s">
        <v>121</v>
      </c>
    </row>
    <row r="4641" spans="1:33" x14ac:dyDescent="0.25">
      <c r="A4641" t="str">
        <f>"1952499204"</f>
        <v>1952499204</v>
      </c>
      <c r="B4641" t="str">
        <f>"02298800"</f>
        <v>02298800</v>
      </c>
      <c r="C4641" t="s">
        <v>23873</v>
      </c>
      <c r="D4641" t="s">
        <v>23874</v>
      </c>
      <c r="E4641" t="s">
        <v>23875</v>
      </c>
      <c r="G4641" t="s">
        <v>23873</v>
      </c>
      <c r="H4641" t="s">
        <v>7096</v>
      </c>
      <c r="J4641" t="s">
        <v>23876</v>
      </c>
      <c r="L4641" t="s">
        <v>142</v>
      </c>
      <c r="M4641" t="s">
        <v>113</v>
      </c>
      <c r="R4641" t="s">
        <v>23877</v>
      </c>
      <c r="W4641" t="s">
        <v>23875</v>
      </c>
      <c r="X4641" t="s">
        <v>216</v>
      </c>
      <c r="Y4641" t="s">
        <v>116</v>
      </c>
      <c r="Z4641" t="s">
        <v>117</v>
      </c>
      <c r="AA4641" t="str">
        <f>"14222-2006"</f>
        <v>14222-2006</v>
      </c>
      <c r="AB4641" t="s">
        <v>118</v>
      </c>
      <c r="AC4641" t="s">
        <v>119</v>
      </c>
      <c r="AD4641" t="s">
        <v>113</v>
      </c>
      <c r="AE4641" t="s">
        <v>120</v>
      </c>
      <c r="AG4641" t="s">
        <v>121</v>
      </c>
    </row>
    <row r="4642" spans="1:33" x14ac:dyDescent="0.25">
      <c r="A4642" t="str">
        <f>"1952535932"</f>
        <v>1952535932</v>
      </c>
      <c r="B4642" t="str">
        <f>"03267049"</f>
        <v>03267049</v>
      </c>
      <c r="C4642" t="s">
        <v>23878</v>
      </c>
      <c r="D4642" t="s">
        <v>23879</v>
      </c>
      <c r="E4642" t="s">
        <v>23880</v>
      </c>
      <c r="G4642" t="s">
        <v>23878</v>
      </c>
      <c r="H4642" t="s">
        <v>23881</v>
      </c>
      <c r="J4642" t="s">
        <v>23882</v>
      </c>
      <c r="L4642" t="s">
        <v>142</v>
      </c>
      <c r="M4642" t="s">
        <v>113</v>
      </c>
      <c r="R4642" t="s">
        <v>23883</v>
      </c>
      <c r="W4642" t="s">
        <v>23880</v>
      </c>
      <c r="X4642" t="s">
        <v>176</v>
      </c>
      <c r="Y4642" t="s">
        <v>116</v>
      </c>
      <c r="Z4642" t="s">
        <v>117</v>
      </c>
      <c r="AA4642" t="str">
        <f>"14203-1126"</f>
        <v>14203-1126</v>
      </c>
      <c r="AB4642" t="s">
        <v>118</v>
      </c>
      <c r="AC4642" t="s">
        <v>119</v>
      </c>
      <c r="AD4642" t="s">
        <v>113</v>
      </c>
      <c r="AE4642" t="s">
        <v>120</v>
      </c>
      <c r="AG4642" t="s">
        <v>121</v>
      </c>
    </row>
    <row r="4643" spans="1:33" x14ac:dyDescent="0.25">
      <c r="A4643" t="str">
        <f>"1952537151"</f>
        <v>1952537151</v>
      </c>
      <c r="B4643" t="str">
        <f>"03413352"</f>
        <v>03413352</v>
      </c>
      <c r="C4643" t="s">
        <v>23884</v>
      </c>
      <c r="D4643" t="s">
        <v>23885</v>
      </c>
      <c r="E4643" t="s">
        <v>23886</v>
      </c>
      <c r="G4643" t="s">
        <v>23887</v>
      </c>
      <c r="H4643" t="s">
        <v>23888</v>
      </c>
      <c r="J4643" t="s">
        <v>23889</v>
      </c>
      <c r="L4643" t="s">
        <v>142</v>
      </c>
      <c r="M4643" t="s">
        <v>113</v>
      </c>
      <c r="R4643" t="s">
        <v>23886</v>
      </c>
      <c r="W4643" t="s">
        <v>23890</v>
      </c>
      <c r="X4643" t="s">
        <v>8916</v>
      </c>
      <c r="Y4643" t="s">
        <v>116</v>
      </c>
      <c r="Z4643" t="s">
        <v>117</v>
      </c>
      <c r="AA4643" t="str">
        <f>"14222-2006"</f>
        <v>14222-2006</v>
      </c>
      <c r="AB4643" t="s">
        <v>118</v>
      </c>
      <c r="AC4643" t="s">
        <v>119</v>
      </c>
      <c r="AD4643" t="s">
        <v>113</v>
      </c>
      <c r="AE4643" t="s">
        <v>120</v>
      </c>
      <c r="AG4643" t="s">
        <v>121</v>
      </c>
    </row>
    <row r="4644" spans="1:33" x14ac:dyDescent="0.25">
      <c r="A4644" t="str">
        <f>"1952552325"</f>
        <v>1952552325</v>
      </c>
      <c r="B4644" t="str">
        <f>"03242202"</f>
        <v>03242202</v>
      </c>
      <c r="C4644" t="s">
        <v>23891</v>
      </c>
      <c r="D4644" t="s">
        <v>23892</v>
      </c>
      <c r="E4644" t="s">
        <v>23893</v>
      </c>
      <c r="G4644" t="s">
        <v>23891</v>
      </c>
      <c r="H4644" t="s">
        <v>23894</v>
      </c>
      <c r="J4644" t="s">
        <v>23895</v>
      </c>
      <c r="L4644" t="s">
        <v>142</v>
      </c>
      <c r="M4644" t="s">
        <v>113</v>
      </c>
      <c r="R4644" t="s">
        <v>23896</v>
      </c>
      <c r="W4644" t="s">
        <v>23897</v>
      </c>
      <c r="X4644" t="s">
        <v>838</v>
      </c>
      <c r="Y4644" t="s">
        <v>240</v>
      </c>
      <c r="Z4644" t="s">
        <v>117</v>
      </c>
      <c r="AA4644" t="str">
        <f>"14221-3647"</f>
        <v>14221-3647</v>
      </c>
      <c r="AB4644" t="s">
        <v>118</v>
      </c>
      <c r="AC4644" t="s">
        <v>119</v>
      </c>
      <c r="AD4644" t="s">
        <v>113</v>
      </c>
      <c r="AE4644" t="s">
        <v>120</v>
      </c>
      <c r="AG4644" t="s">
        <v>121</v>
      </c>
    </row>
    <row r="4645" spans="1:33" x14ac:dyDescent="0.25">
      <c r="A4645" t="str">
        <f>"1952563363"</f>
        <v>1952563363</v>
      </c>
      <c r="B4645" t="str">
        <f>"02989980"</f>
        <v>02989980</v>
      </c>
      <c r="C4645" t="s">
        <v>23898</v>
      </c>
      <c r="D4645" t="s">
        <v>23899</v>
      </c>
      <c r="E4645" t="s">
        <v>23900</v>
      </c>
      <c r="H4645" t="s">
        <v>7348</v>
      </c>
      <c r="L4645" t="s">
        <v>142</v>
      </c>
      <c r="M4645" t="s">
        <v>113</v>
      </c>
      <c r="R4645" t="s">
        <v>23900</v>
      </c>
      <c r="W4645" t="s">
        <v>23901</v>
      </c>
      <c r="X4645" t="s">
        <v>6680</v>
      </c>
      <c r="Y4645" t="s">
        <v>512</v>
      </c>
      <c r="Z4645" t="s">
        <v>117</v>
      </c>
      <c r="AA4645" t="str">
        <f>"14092-2218"</f>
        <v>14092-2218</v>
      </c>
      <c r="AB4645" t="s">
        <v>118</v>
      </c>
      <c r="AC4645" t="s">
        <v>119</v>
      </c>
      <c r="AD4645" t="s">
        <v>113</v>
      </c>
      <c r="AE4645" t="s">
        <v>120</v>
      </c>
      <c r="AG4645" t="s">
        <v>121</v>
      </c>
    </row>
    <row r="4646" spans="1:33" x14ac:dyDescent="0.25">
      <c r="A4646" t="str">
        <f>"1952563439"</f>
        <v>1952563439</v>
      </c>
      <c r="B4646" t="str">
        <f>"03013590"</f>
        <v>03013590</v>
      </c>
      <c r="C4646" t="s">
        <v>23902</v>
      </c>
      <c r="D4646" t="s">
        <v>23903</v>
      </c>
      <c r="E4646" t="s">
        <v>23904</v>
      </c>
      <c r="G4646" t="s">
        <v>330</v>
      </c>
      <c r="H4646" t="s">
        <v>23905</v>
      </c>
      <c r="J4646" t="s">
        <v>332</v>
      </c>
      <c r="L4646" t="s">
        <v>150</v>
      </c>
      <c r="M4646" t="s">
        <v>113</v>
      </c>
      <c r="R4646" t="s">
        <v>23906</v>
      </c>
      <c r="W4646" t="s">
        <v>23907</v>
      </c>
      <c r="X4646" t="s">
        <v>1304</v>
      </c>
      <c r="Y4646" t="s">
        <v>116</v>
      </c>
      <c r="Z4646" t="s">
        <v>117</v>
      </c>
      <c r="AA4646" t="str">
        <f>"14220-2039"</f>
        <v>14220-2039</v>
      </c>
      <c r="AB4646" t="s">
        <v>118</v>
      </c>
      <c r="AC4646" t="s">
        <v>119</v>
      </c>
      <c r="AD4646" t="s">
        <v>113</v>
      </c>
      <c r="AE4646" t="s">
        <v>120</v>
      </c>
      <c r="AG4646" t="s">
        <v>121</v>
      </c>
    </row>
    <row r="4647" spans="1:33" x14ac:dyDescent="0.25">
      <c r="A4647" t="str">
        <f>"1952588873"</f>
        <v>1952588873</v>
      </c>
      <c r="B4647" t="str">
        <f>"04464568"</f>
        <v>04464568</v>
      </c>
      <c r="C4647" t="s">
        <v>23908</v>
      </c>
      <c r="D4647" t="s">
        <v>23909</v>
      </c>
      <c r="E4647" t="s">
        <v>23910</v>
      </c>
      <c r="G4647" t="s">
        <v>23911</v>
      </c>
      <c r="H4647" t="s">
        <v>2252</v>
      </c>
      <c r="J4647" t="s">
        <v>23912</v>
      </c>
      <c r="L4647" t="s">
        <v>112</v>
      </c>
      <c r="M4647" t="s">
        <v>113</v>
      </c>
      <c r="R4647" t="s">
        <v>23913</v>
      </c>
      <c r="W4647" t="s">
        <v>23910</v>
      </c>
      <c r="AB4647" t="s">
        <v>118</v>
      </c>
      <c r="AC4647" t="s">
        <v>119</v>
      </c>
      <c r="AD4647" t="s">
        <v>113</v>
      </c>
      <c r="AE4647" t="s">
        <v>120</v>
      </c>
      <c r="AG4647" t="s">
        <v>121</v>
      </c>
    </row>
    <row r="4648" spans="1:33" x14ac:dyDescent="0.25">
      <c r="B4648" t="str">
        <f>"02915873"</f>
        <v>02915873</v>
      </c>
      <c r="C4648" t="s">
        <v>23916</v>
      </c>
      <c r="D4648" t="s">
        <v>23917</v>
      </c>
      <c r="E4648" t="s">
        <v>23916</v>
      </c>
      <c r="F4648">
        <v>161146128</v>
      </c>
      <c r="L4648" t="s">
        <v>69</v>
      </c>
      <c r="M4648" t="s">
        <v>199</v>
      </c>
      <c r="W4648" t="s">
        <v>23916</v>
      </c>
      <c r="X4648" t="s">
        <v>19277</v>
      </c>
      <c r="Y4648" t="s">
        <v>512</v>
      </c>
      <c r="Z4648" t="s">
        <v>117</v>
      </c>
      <c r="AA4648" t="str">
        <f>"14092-1726"</f>
        <v>14092-1726</v>
      </c>
      <c r="AB4648" t="s">
        <v>291</v>
      </c>
      <c r="AC4648" t="s">
        <v>119</v>
      </c>
      <c r="AD4648" t="s">
        <v>113</v>
      </c>
      <c r="AE4648" t="s">
        <v>120</v>
      </c>
      <c r="AG4648" t="s">
        <v>121</v>
      </c>
    </row>
    <row r="4649" spans="1:33" x14ac:dyDescent="0.25">
      <c r="B4649" t="str">
        <f>"02901751"</f>
        <v>02901751</v>
      </c>
      <c r="C4649" t="s">
        <v>7682</v>
      </c>
      <c r="D4649" t="s">
        <v>7683</v>
      </c>
      <c r="E4649" t="s">
        <v>7682</v>
      </c>
      <c r="H4649" t="s">
        <v>925</v>
      </c>
      <c r="L4649" t="s">
        <v>69</v>
      </c>
      <c r="M4649" t="s">
        <v>199</v>
      </c>
      <c r="W4649" t="s">
        <v>7682</v>
      </c>
      <c r="X4649" t="s">
        <v>927</v>
      </c>
      <c r="Y4649" t="s">
        <v>377</v>
      </c>
      <c r="Z4649" t="s">
        <v>117</v>
      </c>
      <c r="AA4649" t="str">
        <f>"14217-1609"</f>
        <v>14217-1609</v>
      </c>
      <c r="AB4649" t="s">
        <v>291</v>
      </c>
      <c r="AC4649" t="s">
        <v>119</v>
      </c>
      <c r="AD4649" t="s">
        <v>113</v>
      </c>
      <c r="AE4649" t="s">
        <v>120</v>
      </c>
      <c r="AG4649" t="s">
        <v>121</v>
      </c>
    </row>
    <row r="4650" spans="1:33" x14ac:dyDescent="0.25">
      <c r="A4650" t="str">
        <f>"1578729372"</f>
        <v>1578729372</v>
      </c>
      <c r="B4650" t="str">
        <f>"02189848"</f>
        <v>02189848</v>
      </c>
      <c r="C4650" t="s">
        <v>7448</v>
      </c>
      <c r="D4650" t="s">
        <v>7449</v>
      </c>
      <c r="E4650" t="s">
        <v>7450</v>
      </c>
      <c r="H4650" t="s">
        <v>7451</v>
      </c>
      <c r="L4650" t="s">
        <v>67</v>
      </c>
      <c r="M4650" t="s">
        <v>199</v>
      </c>
      <c r="R4650" t="s">
        <v>7448</v>
      </c>
      <c r="W4650" t="s">
        <v>7450</v>
      </c>
      <c r="X4650" t="s">
        <v>7452</v>
      </c>
      <c r="Y4650" t="s">
        <v>986</v>
      </c>
      <c r="Z4650" t="s">
        <v>117</v>
      </c>
      <c r="AA4650" t="str">
        <f>"14701-4925"</f>
        <v>14701-4925</v>
      </c>
      <c r="AB4650" t="s">
        <v>291</v>
      </c>
      <c r="AC4650" t="s">
        <v>119</v>
      </c>
      <c r="AD4650" t="s">
        <v>113</v>
      </c>
      <c r="AE4650" t="s">
        <v>120</v>
      </c>
      <c r="AG4650" t="s">
        <v>121</v>
      </c>
    </row>
    <row r="4651" spans="1:33" x14ac:dyDescent="0.25">
      <c r="A4651" t="str">
        <f>"1992961098"</f>
        <v>1992961098</v>
      </c>
      <c r="B4651" t="str">
        <f>"01303906"</f>
        <v>01303906</v>
      </c>
      <c r="C4651" t="s">
        <v>7448</v>
      </c>
      <c r="D4651" t="s">
        <v>21960</v>
      </c>
      <c r="E4651" t="s">
        <v>21961</v>
      </c>
      <c r="H4651" t="s">
        <v>7451</v>
      </c>
      <c r="L4651" t="s">
        <v>14</v>
      </c>
      <c r="M4651" t="s">
        <v>113</v>
      </c>
      <c r="R4651" t="s">
        <v>7448</v>
      </c>
      <c r="W4651" t="s">
        <v>21961</v>
      </c>
      <c r="X4651" t="s">
        <v>21962</v>
      </c>
      <c r="Y4651" t="s">
        <v>986</v>
      </c>
      <c r="Z4651" t="s">
        <v>117</v>
      </c>
      <c r="AA4651" t="str">
        <f>"14701-6650"</f>
        <v>14701-6650</v>
      </c>
      <c r="AB4651" t="s">
        <v>291</v>
      </c>
      <c r="AC4651" t="s">
        <v>119</v>
      </c>
      <c r="AD4651" t="s">
        <v>113</v>
      </c>
      <c r="AE4651" t="s">
        <v>120</v>
      </c>
      <c r="AG4651" t="s">
        <v>121</v>
      </c>
    </row>
    <row r="4652" spans="1:33" x14ac:dyDescent="0.25">
      <c r="A4652" t="str">
        <f>"1962684316"</f>
        <v>1962684316</v>
      </c>
      <c r="B4652" t="str">
        <f>"01143599"</f>
        <v>01143599</v>
      </c>
      <c r="C4652" t="s">
        <v>21749</v>
      </c>
      <c r="D4652" t="s">
        <v>21750</v>
      </c>
      <c r="E4652" t="s">
        <v>21751</v>
      </c>
      <c r="G4652" t="s">
        <v>1133</v>
      </c>
      <c r="H4652" t="s">
        <v>1134</v>
      </c>
      <c r="J4652" t="s">
        <v>21743</v>
      </c>
      <c r="L4652" t="s">
        <v>67</v>
      </c>
      <c r="M4652" t="s">
        <v>199</v>
      </c>
      <c r="R4652" t="s">
        <v>21744</v>
      </c>
      <c r="W4652" t="s">
        <v>21751</v>
      </c>
      <c r="X4652" t="s">
        <v>651</v>
      </c>
      <c r="Y4652" t="s">
        <v>116</v>
      </c>
      <c r="Z4652" t="s">
        <v>117</v>
      </c>
      <c r="AA4652" t="str">
        <f>"14209-1912"</f>
        <v>14209-1912</v>
      </c>
      <c r="AB4652" t="s">
        <v>291</v>
      </c>
      <c r="AC4652" t="s">
        <v>119</v>
      </c>
      <c r="AD4652" t="s">
        <v>113</v>
      </c>
      <c r="AE4652" t="s">
        <v>120</v>
      </c>
      <c r="AG4652" t="s">
        <v>121</v>
      </c>
    </row>
    <row r="4653" spans="1:33" x14ac:dyDescent="0.25">
      <c r="B4653" t="str">
        <f>"02067765"</f>
        <v>02067765</v>
      </c>
      <c r="C4653" t="s">
        <v>1605</v>
      </c>
      <c r="D4653" t="s">
        <v>1606</v>
      </c>
      <c r="E4653" t="s">
        <v>1605</v>
      </c>
      <c r="F4653">
        <v>161115992</v>
      </c>
      <c r="H4653" t="s">
        <v>1607</v>
      </c>
      <c r="L4653" t="s">
        <v>69</v>
      </c>
      <c r="M4653" t="s">
        <v>199</v>
      </c>
      <c r="W4653" t="s">
        <v>1605</v>
      </c>
      <c r="X4653" t="s">
        <v>1608</v>
      </c>
      <c r="Y4653" t="s">
        <v>1609</v>
      </c>
      <c r="Z4653" t="s">
        <v>117</v>
      </c>
      <c r="AA4653" t="str">
        <f>"14134-0526"</f>
        <v>14134-0526</v>
      </c>
      <c r="AB4653" t="s">
        <v>291</v>
      </c>
      <c r="AC4653" t="s">
        <v>119</v>
      </c>
      <c r="AD4653" t="s">
        <v>113</v>
      </c>
      <c r="AE4653" t="s">
        <v>120</v>
      </c>
      <c r="AG4653" t="s">
        <v>121</v>
      </c>
    </row>
    <row r="4654" spans="1:33" x14ac:dyDescent="0.25">
      <c r="B4654" t="str">
        <f>"03056544"</f>
        <v>03056544</v>
      </c>
      <c r="C4654" t="s">
        <v>23928</v>
      </c>
      <c r="D4654" t="s">
        <v>23929</v>
      </c>
      <c r="E4654" t="s">
        <v>23928</v>
      </c>
      <c r="H4654" t="s">
        <v>11926</v>
      </c>
      <c r="L4654" t="s">
        <v>229</v>
      </c>
      <c r="M4654" t="s">
        <v>113</v>
      </c>
      <c r="W4654" t="s">
        <v>23928</v>
      </c>
      <c r="X4654" t="s">
        <v>23930</v>
      </c>
      <c r="Y4654" t="s">
        <v>305</v>
      </c>
      <c r="Z4654" t="s">
        <v>117</v>
      </c>
      <c r="AA4654" t="str">
        <f>"14760-2618"</f>
        <v>14760-2618</v>
      </c>
      <c r="AB4654" t="s">
        <v>23931</v>
      </c>
      <c r="AC4654" t="s">
        <v>119</v>
      </c>
      <c r="AD4654" t="s">
        <v>113</v>
      </c>
      <c r="AE4654" t="s">
        <v>120</v>
      </c>
      <c r="AG4654" t="s">
        <v>121</v>
      </c>
    </row>
    <row r="4655" spans="1:33" x14ac:dyDescent="0.25">
      <c r="B4655" t="str">
        <f>"02693621"</f>
        <v>02693621</v>
      </c>
      <c r="C4655" t="s">
        <v>11673</v>
      </c>
      <c r="D4655" t="s">
        <v>11674</v>
      </c>
      <c r="E4655" t="s">
        <v>11673</v>
      </c>
      <c r="F4655">
        <v>161115992</v>
      </c>
      <c r="H4655" t="s">
        <v>1607</v>
      </c>
      <c r="L4655" t="s">
        <v>69</v>
      </c>
      <c r="M4655" t="s">
        <v>199</v>
      </c>
      <c r="W4655" t="s">
        <v>11673</v>
      </c>
      <c r="X4655" t="s">
        <v>11666</v>
      </c>
      <c r="Y4655" t="s">
        <v>209</v>
      </c>
      <c r="Z4655" t="s">
        <v>117</v>
      </c>
      <c r="AA4655" t="str">
        <f>"14059-9530"</f>
        <v>14059-9530</v>
      </c>
      <c r="AB4655" t="s">
        <v>291</v>
      </c>
      <c r="AC4655" t="s">
        <v>119</v>
      </c>
      <c r="AD4655" t="s">
        <v>113</v>
      </c>
      <c r="AE4655" t="s">
        <v>120</v>
      </c>
      <c r="AG4655" t="s">
        <v>121</v>
      </c>
    </row>
    <row r="4656" spans="1:33" x14ac:dyDescent="0.25">
      <c r="B4656" t="str">
        <f>"02592125"</f>
        <v>02592125</v>
      </c>
      <c r="C4656" t="s">
        <v>18009</v>
      </c>
      <c r="D4656" t="s">
        <v>18010</v>
      </c>
      <c r="E4656" t="s">
        <v>18009</v>
      </c>
      <c r="F4656">
        <v>161115992</v>
      </c>
      <c r="H4656" t="s">
        <v>1607</v>
      </c>
      <c r="L4656" t="s">
        <v>69</v>
      </c>
      <c r="M4656" t="s">
        <v>199</v>
      </c>
      <c r="W4656" t="s">
        <v>18009</v>
      </c>
      <c r="X4656" t="s">
        <v>18011</v>
      </c>
      <c r="Y4656" t="s">
        <v>209</v>
      </c>
      <c r="Z4656" t="s">
        <v>117</v>
      </c>
      <c r="AA4656" t="str">
        <f>"14059-9530"</f>
        <v>14059-9530</v>
      </c>
      <c r="AB4656" t="s">
        <v>291</v>
      </c>
      <c r="AC4656" t="s">
        <v>119</v>
      </c>
      <c r="AD4656" t="s">
        <v>113</v>
      </c>
      <c r="AE4656" t="s">
        <v>120</v>
      </c>
      <c r="AG4656" t="s">
        <v>121</v>
      </c>
    </row>
    <row r="4657" spans="1:33" x14ac:dyDescent="0.25">
      <c r="B4657" t="str">
        <f>"02249838"</f>
        <v>02249838</v>
      </c>
      <c r="C4657" t="s">
        <v>15523</v>
      </c>
      <c r="D4657" t="s">
        <v>15524</v>
      </c>
      <c r="E4657" t="s">
        <v>15523</v>
      </c>
      <c r="F4657">
        <v>161115992</v>
      </c>
      <c r="H4657" t="s">
        <v>1607</v>
      </c>
      <c r="L4657" t="s">
        <v>69</v>
      </c>
      <c r="M4657" t="s">
        <v>199</v>
      </c>
      <c r="W4657" t="s">
        <v>15523</v>
      </c>
      <c r="X4657" t="s">
        <v>11658</v>
      </c>
      <c r="Y4657" t="s">
        <v>1609</v>
      </c>
      <c r="Z4657" t="s">
        <v>117</v>
      </c>
      <c r="AA4657" t="str">
        <f>"14134-0526"</f>
        <v>14134-0526</v>
      </c>
      <c r="AB4657" t="s">
        <v>291</v>
      </c>
      <c r="AC4657" t="s">
        <v>119</v>
      </c>
      <c r="AD4657" t="s">
        <v>113</v>
      </c>
      <c r="AE4657" t="s">
        <v>120</v>
      </c>
      <c r="AG4657" t="s">
        <v>121</v>
      </c>
    </row>
    <row r="4658" spans="1:33" x14ac:dyDescent="0.25">
      <c r="B4658" t="str">
        <f>"02169551"</f>
        <v>02169551</v>
      </c>
      <c r="C4658" t="s">
        <v>1621</v>
      </c>
      <c r="D4658" t="s">
        <v>1622</v>
      </c>
      <c r="E4658" t="s">
        <v>1621</v>
      </c>
      <c r="F4658">
        <v>161115992</v>
      </c>
      <c r="H4658" t="s">
        <v>1607</v>
      </c>
      <c r="L4658" t="s">
        <v>69</v>
      </c>
      <c r="M4658" t="s">
        <v>199</v>
      </c>
      <c r="W4658" t="s">
        <v>1621</v>
      </c>
      <c r="X4658" t="s">
        <v>1623</v>
      </c>
      <c r="Y4658" t="s">
        <v>1609</v>
      </c>
      <c r="Z4658" t="s">
        <v>117</v>
      </c>
      <c r="AA4658" t="str">
        <f>"14134-0526"</f>
        <v>14134-0526</v>
      </c>
      <c r="AB4658" t="s">
        <v>291</v>
      </c>
      <c r="AC4658" t="s">
        <v>119</v>
      </c>
      <c r="AD4658" t="s">
        <v>113</v>
      </c>
      <c r="AE4658" t="s">
        <v>120</v>
      </c>
      <c r="AG4658" t="s">
        <v>121</v>
      </c>
    </row>
    <row r="4659" spans="1:33" x14ac:dyDescent="0.25">
      <c r="B4659" t="str">
        <f>"03183415"</f>
        <v>03183415</v>
      </c>
      <c r="C4659" t="s">
        <v>23943</v>
      </c>
      <c r="D4659" t="s">
        <v>23944</v>
      </c>
      <c r="E4659" t="s">
        <v>23943</v>
      </c>
      <c r="H4659" t="s">
        <v>5426</v>
      </c>
      <c r="L4659" t="s">
        <v>229</v>
      </c>
      <c r="M4659" t="s">
        <v>113</v>
      </c>
      <c r="W4659" t="s">
        <v>23943</v>
      </c>
      <c r="X4659" t="s">
        <v>740</v>
      </c>
      <c r="Y4659" t="s">
        <v>116</v>
      </c>
      <c r="Z4659" t="s">
        <v>117</v>
      </c>
      <c r="AA4659" t="str">
        <f>"14202-1804"</f>
        <v>14202-1804</v>
      </c>
      <c r="AB4659" t="s">
        <v>5427</v>
      </c>
      <c r="AC4659" t="s">
        <v>119</v>
      </c>
      <c r="AD4659" t="s">
        <v>113</v>
      </c>
      <c r="AE4659" t="s">
        <v>120</v>
      </c>
      <c r="AG4659" t="s">
        <v>121</v>
      </c>
    </row>
    <row r="4660" spans="1:33" x14ac:dyDescent="0.25">
      <c r="A4660" t="str">
        <f>"1730134529"</f>
        <v>1730134529</v>
      </c>
      <c r="B4660" t="str">
        <f>"02640086"</f>
        <v>02640086</v>
      </c>
      <c r="C4660" t="s">
        <v>13530</v>
      </c>
      <c r="D4660" t="s">
        <v>13531</v>
      </c>
      <c r="E4660" t="s">
        <v>13532</v>
      </c>
      <c r="G4660" t="s">
        <v>13533</v>
      </c>
      <c r="H4660" t="s">
        <v>13534</v>
      </c>
      <c r="I4660">
        <v>101</v>
      </c>
      <c r="J4660" t="s">
        <v>13535</v>
      </c>
      <c r="L4660" t="s">
        <v>2697</v>
      </c>
      <c r="M4660" t="s">
        <v>113</v>
      </c>
      <c r="R4660" t="s">
        <v>13530</v>
      </c>
      <c r="W4660" t="s">
        <v>13532</v>
      </c>
      <c r="X4660" t="s">
        <v>13536</v>
      </c>
      <c r="Y4660" t="s">
        <v>958</v>
      </c>
      <c r="Z4660" t="s">
        <v>117</v>
      </c>
      <c r="AA4660" t="str">
        <f>"14221-7700"</f>
        <v>14221-7700</v>
      </c>
      <c r="AB4660" t="s">
        <v>291</v>
      </c>
      <c r="AC4660" t="s">
        <v>119</v>
      </c>
      <c r="AD4660" t="s">
        <v>113</v>
      </c>
      <c r="AE4660" t="s">
        <v>120</v>
      </c>
      <c r="AG4660" t="s">
        <v>121</v>
      </c>
    </row>
    <row r="4661" spans="1:33" x14ac:dyDescent="0.25">
      <c r="A4661" t="str">
        <f>"1750442935"</f>
        <v>1750442935</v>
      </c>
      <c r="B4661" t="str">
        <f>"00629176"</f>
        <v>00629176</v>
      </c>
      <c r="C4661" t="s">
        <v>23947</v>
      </c>
      <c r="D4661" t="s">
        <v>23948</v>
      </c>
      <c r="E4661" t="s">
        <v>23949</v>
      </c>
      <c r="G4661" t="s">
        <v>23950</v>
      </c>
      <c r="H4661" t="s">
        <v>23951</v>
      </c>
      <c r="J4661" t="s">
        <v>23952</v>
      </c>
      <c r="L4661" t="s">
        <v>69</v>
      </c>
      <c r="M4661" t="s">
        <v>113</v>
      </c>
      <c r="R4661" t="s">
        <v>23947</v>
      </c>
      <c r="W4661" t="s">
        <v>23947</v>
      </c>
      <c r="X4661" t="s">
        <v>23953</v>
      </c>
      <c r="Y4661" t="s">
        <v>192</v>
      </c>
      <c r="Z4661" t="s">
        <v>117</v>
      </c>
      <c r="AA4661" t="str">
        <f>"14020-1616"</f>
        <v>14020-1616</v>
      </c>
      <c r="AB4661" t="s">
        <v>282</v>
      </c>
      <c r="AC4661" t="s">
        <v>119</v>
      </c>
      <c r="AD4661" t="s">
        <v>113</v>
      </c>
      <c r="AE4661" t="s">
        <v>120</v>
      </c>
      <c r="AG4661" t="s">
        <v>121</v>
      </c>
    </row>
    <row r="4662" spans="1:33" x14ac:dyDescent="0.25">
      <c r="A4662" t="str">
        <f>"1326121369"</f>
        <v>1326121369</v>
      </c>
      <c r="B4662" t="str">
        <f>"02878215"</f>
        <v>02878215</v>
      </c>
      <c r="C4662" t="s">
        <v>23954</v>
      </c>
      <c r="D4662" t="s">
        <v>23955</v>
      </c>
      <c r="E4662" t="s">
        <v>23954</v>
      </c>
      <c r="G4662" t="s">
        <v>23956</v>
      </c>
      <c r="H4662" t="s">
        <v>23957</v>
      </c>
      <c r="I4662">
        <v>1234</v>
      </c>
      <c r="J4662" t="s">
        <v>23958</v>
      </c>
      <c r="L4662" t="s">
        <v>69</v>
      </c>
      <c r="M4662" t="s">
        <v>113</v>
      </c>
      <c r="R4662" t="s">
        <v>23954</v>
      </c>
      <c r="W4662" t="s">
        <v>23954</v>
      </c>
      <c r="X4662" t="s">
        <v>23959</v>
      </c>
      <c r="Y4662" t="s">
        <v>116</v>
      </c>
      <c r="Z4662" t="s">
        <v>117</v>
      </c>
      <c r="AA4662" t="str">
        <f>"14225-1945"</f>
        <v>14225-1945</v>
      </c>
      <c r="AB4662" t="s">
        <v>1263</v>
      </c>
      <c r="AC4662" t="s">
        <v>119</v>
      </c>
      <c r="AD4662" t="s">
        <v>113</v>
      </c>
      <c r="AE4662" t="s">
        <v>120</v>
      </c>
      <c r="AG4662" t="s">
        <v>121</v>
      </c>
    </row>
    <row r="4663" spans="1:33" x14ac:dyDescent="0.25">
      <c r="A4663" t="str">
        <f>"1992750913"</f>
        <v>1992750913</v>
      </c>
      <c r="B4663" t="str">
        <f>"02985142"</f>
        <v>02985142</v>
      </c>
      <c r="C4663" t="s">
        <v>23954</v>
      </c>
      <c r="D4663" t="s">
        <v>23960</v>
      </c>
      <c r="E4663" t="s">
        <v>23954</v>
      </c>
      <c r="G4663" t="s">
        <v>23956</v>
      </c>
      <c r="H4663" t="s">
        <v>23957</v>
      </c>
      <c r="I4663">
        <v>1234</v>
      </c>
      <c r="J4663" t="s">
        <v>23958</v>
      </c>
      <c r="L4663" t="s">
        <v>12144</v>
      </c>
      <c r="M4663" t="s">
        <v>199</v>
      </c>
      <c r="R4663" t="s">
        <v>23954</v>
      </c>
      <c r="W4663" t="s">
        <v>23954</v>
      </c>
      <c r="X4663" t="s">
        <v>23961</v>
      </c>
      <c r="Y4663" t="s">
        <v>2762</v>
      </c>
      <c r="Z4663" t="s">
        <v>117</v>
      </c>
      <c r="AA4663" t="str">
        <f>"14624-5716"</f>
        <v>14624-5716</v>
      </c>
      <c r="AB4663" t="s">
        <v>5777</v>
      </c>
      <c r="AC4663" t="s">
        <v>119</v>
      </c>
      <c r="AD4663" t="s">
        <v>113</v>
      </c>
      <c r="AE4663" t="s">
        <v>120</v>
      </c>
      <c r="AG4663" t="s">
        <v>121</v>
      </c>
    </row>
    <row r="4664" spans="1:33" x14ac:dyDescent="0.25">
      <c r="A4664" t="str">
        <f>"1457346991"</f>
        <v>1457346991</v>
      </c>
      <c r="B4664" t="str">
        <f>"00308989"</f>
        <v>00308989</v>
      </c>
      <c r="C4664" t="s">
        <v>3289</v>
      </c>
      <c r="D4664" t="s">
        <v>3290</v>
      </c>
      <c r="E4664" t="s">
        <v>3291</v>
      </c>
      <c r="G4664" t="s">
        <v>3291</v>
      </c>
      <c r="H4664" t="s">
        <v>3292</v>
      </c>
      <c r="L4664" t="s">
        <v>19</v>
      </c>
      <c r="M4664" t="s">
        <v>199</v>
      </c>
      <c r="R4664" t="s">
        <v>3289</v>
      </c>
      <c r="W4664" t="s">
        <v>3291</v>
      </c>
      <c r="X4664" t="s">
        <v>3293</v>
      </c>
      <c r="Y4664" t="s">
        <v>3294</v>
      </c>
      <c r="Z4664" t="s">
        <v>117</v>
      </c>
      <c r="AA4664" t="str">
        <f>"14101-9771"</f>
        <v>14101-9771</v>
      </c>
      <c r="AB4664" t="s">
        <v>282</v>
      </c>
      <c r="AC4664" t="s">
        <v>119</v>
      </c>
      <c r="AD4664" t="s">
        <v>113</v>
      </c>
      <c r="AE4664" t="s">
        <v>120</v>
      </c>
      <c r="AG4664" t="s">
        <v>121</v>
      </c>
    </row>
    <row r="4665" spans="1:33" x14ac:dyDescent="0.25">
      <c r="A4665" t="str">
        <f>"1003862020"</f>
        <v>1003862020</v>
      </c>
      <c r="B4665" t="str">
        <f>"01818419"</f>
        <v>01818419</v>
      </c>
      <c r="C4665" t="s">
        <v>23954</v>
      </c>
      <c r="D4665" t="s">
        <v>23965</v>
      </c>
      <c r="E4665" t="s">
        <v>23954</v>
      </c>
      <c r="G4665" t="s">
        <v>23956</v>
      </c>
      <c r="H4665" t="s">
        <v>23957</v>
      </c>
      <c r="I4665">
        <v>1234</v>
      </c>
      <c r="J4665" t="s">
        <v>23958</v>
      </c>
      <c r="L4665" t="s">
        <v>12144</v>
      </c>
      <c r="M4665" t="s">
        <v>113</v>
      </c>
      <c r="R4665" t="s">
        <v>23954</v>
      </c>
      <c r="W4665" t="s">
        <v>23954</v>
      </c>
      <c r="X4665" t="s">
        <v>23966</v>
      </c>
      <c r="Y4665" t="s">
        <v>880</v>
      </c>
      <c r="Z4665" t="s">
        <v>117</v>
      </c>
      <c r="AA4665" t="str">
        <f>"13211-2141"</f>
        <v>13211-2141</v>
      </c>
      <c r="AB4665" t="s">
        <v>5777</v>
      </c>
      <c r="AC4665" t="s">
        <v>119</v>
      </c>
      <c r="AD4665" t="s">
        <v>113</v>
      </c>
      <c r="AE4665" t="s">
        <v>120</v>
      </c>
      <c r="AG4665" t="s">
        <v>121</v>
      </c>
    </row>
    <row r="4666" spans="1:33" x14ac:dyDescent="0.25">
      <c r="B4666" t="str">
        <f>"02878224"</f>
        <v>02878224</v>
      </c>
      <c r="C4666" t="s">
        <v>23954</v>
      </c>
      <c r="D4666" t="s">
        <v>23967</v>
      </c>
      <c r="E4666" t="s">
        <v>23954</v>
      </c>
      <c r="G4666" t="s">
        <v>23956</v>
      </c>
      <c r="H4666" t="s">
        <v>23957</v>
      </c>
      <c r="I4666">
        <v>1234</v>
      </c>
      <c r="J4666" t="s">
        <v>23958</v>
      </c>
      <c r="L4666" t="s">
        <v>229</v>
      </c>
      <c r="M4666" t="s">
        <v>113</v>
      </c>
      <c r="W4666" t="s">
        <v>23954</v>
      </c>
      <c r="X4666" t="s">
        <v>23968</v>
      </c>
      <c r="Y4666" t="s">
        <v>2762</v>
      </c>
      <c r="Z4666" t="s">
        <v>117</v>
      </c>
      <c r="AA4666" t="str">
        <f>"14624-5716"</f>
        <v>14624-5716</v>
      </c>
      <c r="AB4666" t="s">
        <v>1263</v>
      </c>
      <c r="AC4666" t="s">
        <v>119</v>
      </c>
      <c r="AD4666" t="s">
        <v>113</v>
      </c>
      <c r="AE4666" t="s">
        <v>120</v>
      </c>
      <c r="AG4666" t="s">
        <v>121</v>
      </c>
    </row>
    <row r="4667" spans="1:33" x14ac:dyDescent="0.25">
      <c r="A4667" t="str">
        <f>"1720033715"</f>
        <v>1720033715</v>
      </c>
      <c r="B4667" t="str">
        <f>"02883443"</f>
        <v>02883443</v>
      </c>
      <c r="C4667" t="s">
        <v>23954</v>
      </c>
      <c r="D4667" t="s">
        <v>23969</v>
      </c>
      <c r="E4667" t="s">
        <v>23954</v>
      </c>
      <c r="G4667" t="s">
        <v>23956</v>
      </c>
      <c r="H4667" t="s">
        <v>23957</v>
      </c>
      <c r="I4667">
        <v>1234</v>
      </c>
      <c r="J4667" t="s">
        <v>23958</v>
      </c>
      <c r="L4667" t="s">
        <v>229</v>
      </c>
      <c r="M4667" t="s">
        <v>113</v>
      </c>
      <c r="R4667" t="s">
        <v>23970</v>
      </c>
      <c r="W4667" t="s">
        <v>23954</v>
      </c>
      <c r="X4667" t="s">
        <v>23971</v>
      </c>
      <c r="Y4667" t="s">
        <v>23972</v>
      </c>
      <c r="Z4667" t="s">
        <v>117</v>
      </c>
      <c r="AA4667" t="str">
        <f>"13323-3654"</f>
        <v>13323-3654</v>
      </c>
      <c r="AB4667" t="s">
        <v>1263</v>
      </c>
      <c r="AC4667" t="s">
        <v>119</v>
      </c>
      <c r="AD4667" t="s">
        <v>113</v>
      </c>
      <c r="AE4667" t="s">
        <v>120</v>
      </c>
      <c r="AG4667" t="s">
        <v>121</v>
      </c>
    </row>
    <row r="4668" spans="1:33" x14ac:dyDescent="0.25">
      <c r="A4668" t="str">
        <f>"1962638809"</f>
        <v>1962638809</v>
      </c>
      <c r="B4668" t="str">
        <f>"03130852"</f>
        <v>03130852</v>
      </c>
      <c r="C4668" t="s">
        <v>23973</v>
      </c>
      <c r="D4668" t="s">
        <v>23974</v>
      </c>
      <c r="E4668" t="s">
        <v>23973</v>
      </c>
      <c r="G4668" t="s">
        <v>23975</v>
      </c>
      <c r="H4668" t="s">
        <v>23976</v>
      </c>
      <c r="J4668" t="s">
        <v>23977</v>
      </c>
      <c r="L4668" t="s">
        <v>20</v>
      </c>
      <c r="M4668" t="s">
        <v>113</v>
      </c>
      <c r="R4668" t="s">
        <v>23978</v>
      </c>
      <c r="W4668" t="s">
        <v>23973</v>
      </c>
      <c r="X4668" t="s">
        <v>23979</v>
      </c>
      <c r="Y4668" t="s">
        <v>153</v>
      </c>
      <c r="Z4668" t="s">
        <v>117</v>
      </c>
      <c r="AA4668" t="str">
        <f>"14301-2234"</f>
        <v>14301-2234</v>
      </c>
      <c r="AB4668" t="s">
        <v>5777</v>
      </c>
      <c r="AC4668" t="s">
        <v>119</v>
      </c>
      <c r="AD4668" t="s">
        <v>113</v>
      </c>
      <c r="AE4668" t="s">
        <v>120</v>
      </c>
      <c r="AG4668" t="s">
        <v>121</v>
      </c>
    </row>
    <row r="4669" spans="1:33" x14ac:dyDescent="0.25">
      <c r="A4669" t="str">
        <f>"1831202779"</f>
        <v>1831202779</v>
      </c>
      <c r="B4669" t="str">
        <f>"02752692"</f>
        <v>02752692</v>
      </c>
      <c r="C4669" t="s">
        <v>23980</v>
      </c>
      <c r="D4669" t="s">
        <v>23981</v>
      </c>
      <c r="E4669" t="s">
        <v>23982</v>
      </c>
      <c r="G4669" t="s">
        <v>23983</v>
      </c>
      <c r="H4669" t="s">
        <v>23984</v>
      </c>
      <c r="J4669" t="s">
        <v>23985</v>
      </c>
      <c r="L4669" t="s">
        <v>20</v>
      </c>
      <c r="M4669" t="s">
        <v>113</v>
      </c>
      <c r="R4669" t="s">
        <v>23980</v>
      </c>
      <c r="W4669" t="s">
        <v>23982</v>
      </c>
      <c r="X4669" t="s">
        <v>23986</v>
      </c>
      <c r="Y4669" t="s">
        <v>116</v>
      </c>
      <c r="Z4669" t="s">
        <v>117</v>
      </c>
      <c r="AA4669" t="str">
        <f>"14223"</f>
        <v>14223</v>
      </c>
      <c r="AB4669" t="s">
        <v>5777</v>
      </c>
      <c r="AC4669" t="s">
        <v>119</v>
      </c>
      <c r="AD4669" t="s">
        <v>113</v>
      </c>
      <c r="AE4669" t="s">
        <v>120</v>
      </c>
      <c r="AG4669" t="s">
        <v>121</v>
      </c>
    </row>
    <row r="4670" spans="1:33" x14ac:dyDescent="0.25">
      <c r="A4670" t="str">
        <f>"1689071664"</f>
        <v>1689071664</v>
      </c>
      <c r="B4670" t="str">
        <f>"04071761"</f>
        <v>04071761</v>
      </c>
      <c r="C4670" t="s">
        <v>23987</v>
      </c>
      <c r="D4670" t="s">
        <v>23988</v>
      </c>
      <c r="E4670" t="s">
        <v>23989</v>
      </c>
      <c r="G4670" t="s">
        <v>23983</v>
      </c>
      <c r="H4670" t="s">
        <v>23984</v>
      </c>
      <c r="J4670" t="s">
        <v>23985</v>
      </c>
      <c r="L4670" t="s">
        <v>20</v>
      </c>
      <c r="M4670" t="s">
        <v>113</v>
      </c>
      <c r="R4670" t="s">
        <v>23987</v>
      </c>
      <c r="W4670" t="s">
        <v>23989</v>
      </c>
      <c r="X4670" t="s">
        <v>23990</v>
      </c>
      <c r="Y4670" t="s">
        <v>116</v>
      </c>
      <c r="Z4670" t="s">
        <v>117</v>
      </c>
      <c r="AA4670" t="str">
        <f>"14223-1166"</f>
        <v>14223-1166</v>
      </c>
      <c r="AB4670" t="s">
        <v>5777</v>
      </c>
      <c r="AC4670" t="s">
        <v>119</v>
      </c>
      <c r="AD4670" t="s">
        <v>113</v>
      </c>
      <c r="AE4670" t="s">
        <v>120</v>
      </c>
      <c r="AG4670" t="s">
        <v>121</v>
      </c>
    </row>
    <row r="4671" spans="1:33" x14ac:dyDescent="0.25">
      <c r="A4671" t="str">
        <f>"1952433757"</f>
        <v>1952433757</v>
      </c>
      <c r="B4671" t="str">
        <f>"00474864"</f>
        <v>00474864</v>
      </c>
      <c r="C4671" t="s">
        <v>23991</v>
      </c>
      <c r="D4671" t="s">
        <v>23992</v>
      </c>
      <c r="E4671" t="s">
        <v>23993</v>
      </c>
      <c r="G4671" t="s">
        <v>23994</v>
      </c>
      <c r="H4671" t="s">
        <v>23995</v>
      </c>
      <c r="J4671" t="s">
        <v>23996</v>
      </c>
      <c r="L4671" t="s">
        <v>23997</v>
      </c>
      <c r="M4671" t="s">
        <v>199</v>
      </c>
      <c r="R4671" t="s">
        <v>23991</v>
      </c>
      <c r="W4671" t="s">
        <v>23993</v>
      </c>
      <c r="X4671" t="s">
        <v>23998</v>
      </c>
      <c r="Y4671" t="s">
        <v>116</v>
      </c>
      <c r="Z4671" t="s">
        <v>117</v>
      </c>
      <c r="AA4671" t="str">
        <f>"14209-1880"</f>
        <v>14209-1880</v>
      </c>
      <c r="AB4671" t="s">
        <v>1146</v>
      </c>
      <c r="AC4671" t="s">
        <v>119</v>
      </c>
      <c r="AD4671" t="s">
        <v>113</v>
      </c>
      <c r="AE4671" t="s">
        <v>120</v>
      </c>
      <c r="AG4671" t="s">
        <v>121</v>
      </c>
    </row>
    <row r="4672" spans="1:33" x14ac:dyDescent="0.25">
      <c r="A4672" t="str">
        <f>"1841284775"</f>
        <v>1841284775</v>
      </c>
      <c r="B4672" t="str">
        <f>"00308970"</f>
        <v>00308970</v>
      </c>
      <c r="C4672" t="s">
        <v>9755</v>
      </c>
      <c r="D4672" t="s">
        <v>21168</v>
      </c>
      <c r="E4672" t="s">
        <v>21169</v>
      </c>
      <c r="G4672" t="s">
        <v>21169</v>
      </c>
      <c r="H4672" t="s">
        <v>21170</v>
      </c>
      <c r="L4672" t="s">
        <v>19</v>
      </c>
      <c r="M4672" t="s">
        <v>199</v>
      </c>
      <c r="R4672" t="s">
        <v>9755</v>
      </c>
      <c r="W4672" t="s">
        <v>21169</v>
      </c>
      <c r="X4672" t="s">
        <v>21171</v>
      </c>
      <c r="Y4672" t="s">
        <v>305</v>
      </c>
      <c r="Z4672" t="s">
        <v>117</v>
      </c>
      <c r="AA4672" t="str">
        <f>"14760-1921"</f>
        <v>14760-1921</v>
      </c>
      <c r="AB4672" t="s">
        <v>282</v>
      </c>
      <c r="AC4672" t="s">
        <v>119</v>
      </c>
      <c r="AD4672" t="s">
        <v>113</v>
      </c>
      <c r="AE4672" t="s">
        <v>120</v>
      </c>
      <c r="AG4672" t="s">
        <v>121</v>
      </c>
    </row>
    <row r="4673" spans="1:33" x14ac:dyDescent="0.25">
      <c r="A4673" t="str">
        <f>"1316083934"</f>
        <v>1316083934</v>
      </c>
      <c r="B4673" t="str">
        <f>"00618180"</f>
        <v>00618180</v>
      </c>
      <c r="C4673" t="s">
        <v>24007</v>
      </c>
      <c r="D4673" t="s">
        <v>24008</v>
      </c>
      <c r="E4673" t="s">
        <v>24007</v>
      </c>
      <c r="G4673" t="s">
        <v>24009</v>
      </c>
      <c r="H4673" t="s">
        <v>24010</v>
      </c>
      <c r="J4673" t="s">
        <v>24011</v>
      </c>
      <c r="L4673" t="s">
        <v>9979</v>
      </c>
      <c r="M4673" t="s">
        <v>199</v>
      </c>
      <c r="R4673" t="s">
        <v>24012</v>
      </c>
      <c r="W4673" t="s">
        <v>24007</v>
      </c>
      <c r="X4673" t="s">
        <v>24013</v>
      </c>
      <c r="Y4673" t="s">
        <v>922</v>
      </c>
      <c r="Z4673" t="s">
        <v>117</v>
      </c>
      <c r="AA4673" t="str">
        <f>"14895-9329"</f>
        <v>14895-9329</v>
      </c>
      <c r="AB4673" t="s">
        <v>1146</v>
      </c>
      <c r="AC4673" t="s">
        <v>119</v>
      </c>
      <c r="AD4673" t="s">
        <v>113</v>
      </c>
      <c r="AE4673" t="s">
        <v>120</v>
      </c>
      <c r="AG4673" t="s">
        <v>121</v>
      </c>
    </row>
    <row r="4674" spans="1:33" x14ac:dyDescent="0.25">
      <c r="A4674" t="str">
        <f>"1255438966"</f>
        <v>1255438966</v>
      </c>
      <c r="B4674" t="str">
        <f>"00801809"</f>
        <v>00801809</v>
      </c>
      <c r="C4674" t="s">
        <v>9584</v>
      </c>
      <c r="D4674" t="s">
        <v>9585</v>
      </c>
      <c r="E4674" t="s">
        <v>9586</v>
      </c>
      <c r="H4674" t="s">
        <v>279</v>
      </c>
      <c r="L4674" t="s">
        <v>280</v>
      </c>
      <c r="M4674" t="s">
        <v>199</v>
      </c>
      <c r="R4674" t="s">
        <v>9584</v>
      </c>
      <c r="W4674" t="s">
        <v>9586</v>
      </c>
      <c r="X4674" t="s">
        <v>9587</v>
      </c>
      <c r="Y4674" t="s">
        <v>116</v>
      </c>
      <c r="Z4674" t="s">
        <v>117</v>
      </c>
      <c r="AA4674" t="str">
        <f>"14220-2704"</f>
        <v>14220-2704</v>
      </c>
      <c r="AB4674" t="s">
        <v>282</v>
      </c>
      <c r="AC4674" t="s">
        <v>119</v>
      </c>
      <c r="AD4674" t="s">
        <v>113</v>
      </c>
      <c r="AE4674" t="s">
        <v>120</v>
      </c>
      <c r="AG4674" t="s">
        <v>121</v>
      </c>
    </row>
    <row r="4675" spans="1:33" x14ac:dyDescent="0.25">
      <c r="A4675" t="str">
        <f>"1437340064"</f>
        <v>1437340064</v>
      </c>
      <c r="B4675" t="str">
        <f>"01303864"</f>
        <v>01303864</v>
      </c>
      <c r="C4675" t="s">
        <v>24020</v>
      </c>
      <c r="D4675" t="s">
        <v>24021</v>
      </c>
      <c r="E4675" t="s">
        <v>24022</v>
      </c>
      <c r="G4675" t="s">
        <v>24016</v>
      </c>
      <c r="H4675" t="s">
        <v>24017</v>
      </c>
      <c r="I4675">
        <v>222</v>
      </c>
      <c r="J4675" t="s">
        <v>24018</v>
      </c>
      <c r="L4675" t="s">
        <v>4756</v>
      </c>
      <c r="M4675" t="s">
        <v>199</v>
      </c>
      <c r="R4675" t="s">
        <v>24020</v>
      </c>
      <c r="W4675" t="s">
        <v>24022</v>
      </c>
      <c r="X4675" t="s">
        <v>24023</v>
      </c>
      <c r="Y4675" t="s">
        <v>1628</v>
      </c>
      <c r="Z4675" t="s">
        <v>117</v>
      </c>
      <c r="AA4675" t="str">
        <f>"14411-1525"</f>
        <v>14411-1525</v>
      </c>
      <c r="AB4675" t="s">
        <v>1460</v>
      </c>
      <c r="AC4675" t="s">
        <v>119</v>
      </c>
      <c r="AD4675" t="s">
        <v>113</v>
      </c>
      <c r="AE4675" t="s">
        <v>120</v>
      </c>
      <c r="AG4675" t="s">
        <v>121</v>
      </c>
    </row>
    <row r="4676" spans="1:33" x14ac:dyDescent="0.25">
      <c r="A4676" t="str">
        <f>"1144351255"</f>
        <v>1144351255</v>
      </c>
      <c r="B4676" t="str">
        <f>"02994301"</f>
        <v>02994301</v>
      </c>
      <c r="C4676" t="s">
        <v>15851</v>
      </c>
      <c r="D4676" t="s">
        <v>15852</v>
      </c>
      <c r="E4676" t="s">
        <v>15853</v>
      </c>
      <c r="H4676" t="s">
        <v>15854</v>
      </c>
      <c r="L4676" t="s">
        <v>15855</v>
      </c>
      <c r="M4676" t="s">
        <v>199</v>
      </c>
      <c r="R4676" t="s">
        <v>15851</v>
      </c>
      <c r="W4676" t="s">
        <v>15856</v>
      </c>
      <c r="X4676" t="s">
        <v>15857</v>
      </c>
      <c r="Y4676" t="s">
        <v>116</v>
      </c>
      <c r="Z4676" t="s">
        <v>117</v>
      </c>
      <c r="AA4676" t="str">
        <f>"14222-2209"</f>
        <v>14222-2209</v>
      </c>
      <c r="AB4676" t="s">
        <v>291</v>
      </c>
      <c r="AC4676" t="s">
        <v>119</v>
      </c>
      <c r="AD4676" t="s">
        <v>113</v>
      </c>
      <c r="AE4676" t="s">
        <v>120</v>
      </c>
      <c r="AG4676" t="s">
        <v>121</v>
      </c>
    </row>
    <row r="4677" spans="1:33" x14ac:dyDescent="0.25">
      <c r="A4677" t="str">
        <f>"1982754776"</f>
        <v>1982754776</v>
      </c>
      <c r="B4677" t="str">
        <f>"00798729"</f>
        <v>00798729</v>
      </c>
      <c r="C4677" t="s">
        <v>24029</v>
      </c>
      <c r="D4677" t="s">
        <v>24030</v>
      </c>
      <c r="E4677" t="s">
        <v>24029</v>
      </c>
      <c r="G4677" t="s">
        <v>24031</v>
      </c>
      <c r="H4677" t="s">
        <v>24032</v>
      </c>
      <c r="J4677" t="s">
        <v>24033</v>
      </c>
      <c r="L4677" t="s">
        <v>9979</v>
      </c>
      <c r="M4677" t="s">
        <v>199</v>
      </c>
      <c r="R4677" t="s">
        <v>24034</v>
      </c>
      <c r="W4677" t="s">
        <v>24029</v>
      </c>
      <c r="X4677" t="s">
        <v>24035</v>
      </c>
      <c r="Y4677" t="s">
        <v>192</v>
      </c>
      <c r="Z4677" t="s">
        <v>117</v>
      </c>
      <c r="AA4677" t="str">
        <f>"14020-2519"</f>
        <v>14020-2519</v>
      </c>
      <c r="AB4677" t="s">
        <v>1146</v>
      </c>
      <c r="AC4677" t="s">
        <v>119</v>
      </c>
      <c r="AD4677" t="s">
        <v>113</v>
      </c>
      <c r="AE4677" t="s">
        <v>120</v>
      </c>
      <c r="AG4677" t="s">
        <v>121</v>
      </c>
    </row>
    <row r="4678" spans="1:33" x14ac:dyDescent="0.25">
      <c r="A4678" t="str">
        <f>"1801893383"</f>
        <v>1801893383</v>
      </c>
      <c r="B4678" t="str">
        <f>"00407543"</f>
        <v>00407543</v>
      </c>
      <c r="C4678" t="s">
        <v>23124</v>
      </c>
      <c r="D4678" t="s">
        <v>23125</v>
      </c>
      <c r="E4678" t="s">
        <v>23126</v>
      </c>
      <c r="G4678" t="s">
        <v>23127</v>
      </c>
      <c r="H4678" t="s">
        <v>10869</v>
      </c>
      <c r="I4678">
        <v>2218</v>
      </c>
      <c r="J4678" t="s">
        <v>23128</v>
      </c>
      <c r="L4678" t="s">
        <v>280</v>
      </c>
      <c r="M4678" t="s">
        <v>199</v>
      </c>
      <c r="R4678" t="s">
        <v>23129</v>
      </c>
      <c r="W4678" t="s">
        <v>23126</v>
      </c>
      <c r="X4678" t="s">
        <v>10871</v>
      </c>
      <c r="Y4678" t="s">
        <v>1593</v>
      </c>
      <c r="Z4678" t="s">
        <v>117</v>
      </c>
      <c r="AA4678" t="str">
        <f>"14068-1527"</f>
        <v>14068-1527</v>
      </c>
      <c r="AB4678" t="s">
        <v>282</v>
      </c>
      <c r="AC4678" t="s">
        <v>119</v>
      </c>
      <c r="AD4678" t="s">
        <v>113</v>
      </c>
      <c r="AE4678" t="s">
        <v>120</v>
      </c>
      <c r="AG4678" t="s">
        <v>121</v>
      </c>
    </row>
    <row r="4679" spans="1:33" x14ac:dyDescent="0.25">
      <c r="A4679" t="str">
        <f>"1104916022"</f>
        <v>1104916022</v>
      </c>
      <c r="B4679" t="str">
        <f>"00356381"</f>
        <v>00356381</v>
      </c>
      <c r="C4679" t="s">
        <v>9071</v>
      </c>
      <c r="D4679" t="s">
        <v>9072</v>
      </c>
      <c r="E4679" t="s">
        <v>9073</v>
      </c>
      <c r="G4679" t="s">
        <v>9074</v>
      </c>
      <c r="H4679" t="s">
        <v>9075</v>
      </c>
      <c r="I4679">
        <v>4435</v>
      </c>
      <c r="J4679" t="s">
        <v>9076</v>
      </c>
      <c r="L4679" t="s">
        <v>19</v>
      </c>
      <c r="M4679" t="s">
        <v>199</v>
      </c>
      <c r="R4679" t="s">
        <v>9071</v>
      </c>
      <c r="W4679" t="s">
        <v>9073</v>
      </c>
      <c r="X4679" t="s">
        <v>9077</v>
      </c>
      <c r="Y4679" t="s">
        <v>153</v>
      </c>
      <c r="Z4679" t="s">
        <v>117</v>
      </c>
      <c r="AA4679" t="str">
        <f>"14302-0708"</f>
        <v>14302-0708</v>
      </c>
      <c r="AB4679" t="s">
        <v>282</v>
      </c>
      <c r="AC4679" t="s">
        <v>119</v>
      </c>
      <c r="AD4679" t="s">
        <v>113</v>
      </c>
      <c r="AE4679" t="s">
        <v>120</v>
      </c>
      <c r="AG4679" t="s">
        <v>121</v>
      </c>
    </row>
    <row r="4680" spans="1:33" x14ac:dyDescent="0.25">
      <c r="A4680" t="str">
        <f>"1851471692"</f>
        <v>1851471692</v>
      </c>
      <c r="C4680" t="s">
        <v>24048</v>
      </c>
      <c r="G4680" t="s">
        <v>24026</v>
      </c>
      <c r="H4680" t="s">
        <v>24027</v>
      </c>
      <c r="J4680" t="s">
        <v>24028</v>
      </c>
      <c r="K4680" t="s">
        <v>24049</v>
      </c>
      <c r="L4680" t="s">
        <v>229</v>
      </c>
      <c r="M4680" t="s">
        <v>113</v>
      </c>
      <c r="R4680" t="s">
        <v>24048</v>
      </c>
      <c r="S4680" t="s">
        <v>24050</v>
      </c>
      <c r="T4680" t="s">
        <v>541</v>
      </c>
      <c r="U4680" t="s">
        <v>117</v>
      </c>
      <c r="V4680" t="str">
        <f>"140482754"</f>
        <v>140482754</v>
      </c>
      <c r="AC4680" t="s">
        <v>119</v>
      </c>
      <c r="AD4680" t="s">
        <v>113</v>
      </c>
      <c r="AE4680" t="s">
        <v>306</v>
      </c>
      <c r="AG4680" t="s">
        <v>121</v>
      </c>
    </row>
    <row r="4681" spans="1:33" x14ac:dyDescent="0.25">
      <c r="C4681" t="s">
        <v>24051</v>
      </c>
      <c r="G4681" t="s">
        <v>24052</v>
      </c>
      <c r="H4681" t="s">
        <v>24053</v>
      </c>
      <c r="J4681" t="s">
        <v>24054</v>
      </c>
      <c r="K4681" t="s">
        <v>24055</v>
      </c>
      <c r="L4681" t="s">
        <v>3095</v>
      </c>
      <c r="M4681" t="s">
        <v>113</v>
      </c>
      <c r="N4681" t="s">
        <v>24056</v>
      </c>
      <c r="O4681" t="s">
        <v>3097</v>
      </c>
      <c r="P4681" t="s">
        <v>117</v>
      </c>
      <c r="Q4681" t="str">
        <f>"14210"</f>
        <v>14210</v>
      </c>
      <c r="AC4681" t="s">
        <v>119</v>
      </c>
      <c r="AD4681" t="s">
        <v>113</v>
      </c>
      <c r="AE4681" t="s">
        <v>3098</v>
      </c>
      <c r="AG4681" t="s">
        <v>121</v>
      </c>
    </row>
    <row r="4682" spans="1:33" x14ac:dyDescent="0.25">
      <c r="C4682" t="s">
        <v>24057</v>
      </c>
      <c r="G4682" t="s">
        <v>24058</v>
      </c>
      <c r="H4682" t="s">
        <v>24059</v>
      </c>
      <c r="I4682">
        <v>400</v>
      </c>
      <c r="J4682" t="s">
        <v>24060</v>
      </c>
      <c r="K4682" t="s">
        <v>24061</v>
      </c>
      <c r="L4682" t="s">
        <v>3095</v>
      </c>
      <c r="M4682" t="s">
        <v>113</v>
      </c>
      <c r="N4682" t="s">
        <v>24062</v>
      </c>
      <c r="O4682" t="s">
        <v>3097</v>
      </c>
      <c r="P4682" t="s">
        <v>117</v>
      </c>
      <c r="Q4682" t="str">
        <f>"14203"</f>
        <v>14203</v>
      </c>
      <c r="AC4682" t="s">
        <v>119</v>
      </c>
      <c r="AD4682" t="s">
        <v>113</v>
      </c>
      <c r="AE4682" t="s">
        <v>3098</v>
      </c>
      <c r="AG4682" t="s">
        <v>121</v>
      </c>
    </row>
    <row r="4683" spans="1:33" x14ac:dyDescent="0.25">
      <c r="C4683" t="s">
        <v>24063</v>
      </c>
      <c r="G4683" t="s">
        <v>24064</v>
      </c>
      <c r="H4683" t="s">
        <v>24065</v>
      </c>
      <c r="I4683" t="s">
        <v>24066</v>
      </c>
      <c r="J4683" t="s">
        <v>24067</v>
      </c>
      <c r="K4683" t="s">
        <v>22518</v>
      </c>
      <c r="L4683" t="s">
        <v>3095</v>
      </c>
      <c r="M4683" t="s">
        <v>113</v>
      </c>
      <c r="N4683" t="s">
        <v>24068</v>
      </c>
      <c r="O4683" t="s">
        <v>3097</v>
      </c>
      <c r="P4683" t="s">
        <v>117</v>
      </c>
      <c r="Q4683" t="str">
        <f>"14202"</f>
        <v>14202</v>
      </c>
      <c r="AC4683" t="s">
        <v>119</v>
      </c>
      <c r="AD4683" t="s">
        <v>113</v>
      </c>
      <c r="AE4683" t="s">
        <v>3098</v>
      </c>
      <c r="AG4683" t="s">
        <v>121</v>
      </c>
    </row>
    <row r="4684" spans="1:33" x14ac:dyDescent="0.25">
      <c r="C4684" t="s">
        <v>24069</v>
      </c>
      <c r="G4684" t="s">
        <v>24070</v>
      </c>
      <c r="H4684" t="s">
        <v>24071</v>
      </c>
      <c r="J4684" t="s">
        <v>24072</v>
      </c>
      <c r="K4684" t="s">
        <v>22518</v>
      </c>
      <c r="L4684" t="s">
        <v>3095</v>
      </c>
      <c r="M4684" t="s">
        <v>113</v>
      </c>
      <c r="N4684" t="s">
        <v>24073</v>
      </c>
      <c r="O4684" t="s">
        <v>3097</v>
      </c>
      <c r="P4684" t="s">
        <v>117</v>
      </c>
      <c r="Q4684" t="str">
        <f>"14203"</f>
        <v>14203</v>
      </c>
      <c r="AC4684" t="s">
        <v>119</v>
      </c>
      <c r="AD4684" t="s">
        <v>113</v>
      </c>
      <c r="AE4684" t="s">
        <v>3098</v>
      </c>
      <c r="AG4684" t="s">
        <v>121</v>
      </c>
    </row>
    <row r="4685" spans="1:33" x14ac:dyDescent="0.25">
      <c r="C4685" t="s">
        <v>24074</v>
      </c>
      <c r="G4685" t="s">
        <v>24075</v>
      </c>
      <c r="H4685" t="s">
        <v>24076</v>
      </c>
      <c r="I4685">
        <v>4409</v>
      </c>
      <c r="J4685" t="s">
        <v>24077</v>
      </c>
      <c r="K4685" t="s">
        <v>24078</v>
      </c>
      <c r="L4685" t="s">
        <v>3095</v>
      </c>
      <c r="M4685" t="s">
        <v>113</v>
      </c>
      <c r="N4685" t="s">
        <v>24079</v>
      </c>
      <c r="O4685" t="s">
        <v>3097</v>
      </c>
      <c r="P4685" t="s">
        <v>117</v>
      </c>
      <c r="Q4685" t="str">
        <f>"14214"</f>
        <v>14214</v>
      </c>
      <c r="AC4685" t="s">
        <v>119</v>
      </c>
      <c r="AD4685" t="s">
        <v>113</v>
      </c>
      <c r="AE4685" t="s">
        <v>3098</v>
      </c>
      <c r="AG4685" t="s">
        <v>121</v>
      </c>
    </row>
    <row r="4686" spans="1:33" x14ac:dyDescent="0.25">
      <c r="C4686" t="s">
        <v>24080</v>
      </c>
      <c r="G4686" t="s">
        <v>24081</v>
      </c>
      <c r="H4686" t="s">
        <v>24082</v>
      </c>
      <c r="J4686" t="s">
        <v>24083</v>
      </c>
      <c r="K4686" t="s">
        <v>24084</v>
      </c>
      <c r="L4686" t="s">
        <v>3095</v>
      </c>
      <c r="M4686" t="s">
        <v>113</v>
      </c>
      <c r="N4686" t="s">
        <v>24085</v>
      </c>
      <c r="O4686" t="s">
        <v>3097</v>
      </c>
      <c r="P4686" t="s">
        <v>117</v>
      </c>
      <c r="Q4686" t="str">
        <f>"14202"</f>
        <v>14202</v>
      </c>
      <c r="AC4686" t="s">
        <v>119</v>
      </c>
      <c r="AD4686" t="s">
        <v>113</v>
      </c>
      <c r="AE4686" t="s">
        <v>3098</v>
      </c>
      <c r="AG4686" t="s">
        <v>121</v>
      </c>
    </row>
    <row r="4687" spans="1:33" x14ac:dyDescent="0.25">
      <c r="C4687" t="s">
        <v>24086</v>
      </c>
      <c r="G4687" t="s">
        <v>24087</v>
      </c>
      <c r="H4687" t="s">
        <v>3170</v>
      </c>
      <c r="I4687" t="s">
        <v>24066</v>
      </c>
      <c r="J4687" t="s">
        <v>24088</v>
      </c>
      <c r="K4687" t="s">
        <v>18775</v>
      </c>
      <c r="L4687" t="s">
        <v>3095</v>
      </c>
      <c r="M4687" t="s">
        <v>113</v>
      </c>
      <c r="N4687" t="s">
        <v>24089</v>
      </c>
      <c r="O4687" t="s">
        <v>3097</v>
      </c>
      <c r="P4687" t="s">
        <v>117</v>
      </c>
      <c r="Q4687" t="str">
        <f>"14204"</f>
        <v>14204</v>
      </c>
      <c r="AC4687" t="s">
        <v>119</v>
      </c>
      <c r="AD4687" t="s">
        <v>113</v>
      </c>
      <c r="AE4687" t="s">
        <v>3098</v>
      </c>
      <c r="AG4687" t="s">
        <v>121</v>
      </c>
    </row>
    <row r="4688" spans="1:33" x14ac:dyDescent="0.25">
      <c r="C4688" t="s">
        <v>24090</v>
      </c>
      <c r="G4688" t="s">
        <v>24091</v>
      </c>
      <c r="H4688" t="s">
        <v>24092</v>
      </c>
      <c r="J4688" t="s">
        <v>24093</v>
      </c>
      <c r="K4688" t="s">
        <v>22518</v>
      </c>
      <c r="L4688" t="s">
        <v>3095</v>
      </c>
      <c r="M4688" t="s">
        <v>113</v>
      </c>
      <c r="N4688" t="s">
        <v>24094</v>
      </c>
      <c r="O4688" t="s">
        <v>24095</v>
      </c>
      <c r="P4688" t="s">
        <v>117</v>
      </c>
      <c r="Q4688" t="str">
        <f>"14051"</f>
        <v>14051</v>
      </c>
      <c r="AC4688" t="s">
        <v>119</v>
      </c>
      <c r="AD4688" t="s">
        <v>113</v>
      </c>
      <c r="AE4688" t="s">
        <v>3098</v>
      </c>
      <c r="AG4688" t="s">
        <v>121</v>
      </c>
    </row>
    <row r="4689" spans="1:33" x14ac:dyDescent="0.25">
      <c r="C4689" t="s">
        <v>24096</v>
      </c>
      <c r="G4689" t="s">
        <v>24097</v>
      </c>
      <c r="H4689" t="s">
        <v>24098</v>
      </c>
      <c r="J4689" t="s">
        <v>24099</v>
      </c>
      <c r="K4689" t="s">
        <v>22518</v>
      </c>
      <c r="L4689" t="s">
        <v>3095</v>
      </c>
      <c r="M4689" t="s">
        <v>113</v>
      </c>
      <c r="N4689" t="s">
        <v>24100</v>
      </c>
      <c r="O4689" t="s">
        <v>19907</v>
      </c>
      <c r="P4689" t="s">
        <v>117</v>
      </c>
      <c r="Q4689" t="str">
        <f>"14569"</f>
        <v>14569</v>
      </c>
      <c r="AC4689" t="s">
        <v>119</v>
      </c>
      <c r="AD4689" t="s">
        <v>113</v>
      </c>
      <c r="AE4689" t="s">
        <v>3098</v>
      </c>
      <c r="AG4689" t="s">
        <v>121</v>
      </c>
    </row>
    <row r="4690" spans="1:33" x14ac:dyDescent="0.25">
      <c r="C4690" t="s">
        <v>24101</v>
      </c>
      <c r="G4690" t="s">
        <v>24102</v>
      </c>
      <c r="H4690" t="s">
        <v>24103</v>
      </c>
      <c r="J4690" t="s">
        <v>24104</v>
      </c>
      <c r="K4690" t="s">
        <v>24105</v>
      </c>
      <c r="L4690" t="s">
        <v>3095</v>
      </c>
      <c r="M4690" t="s">
        <v>113</v>
      </c>
      <c r="N4690" t="s">
        <v>24106</v>
      </c>
      <c r="O4690" t="s">
        <v>24107</v>
      </c>
      <c r="P4690" t="s">
        <v>117</v>
      </c>
      <c r="Q4690" t="str">
        <f>"12222"</f>
        <v>12222</v>
      </c>
      <c r="AC4690" t="s">
        <v>119</v>
      </c>
      <c r="AD4690" t="s">
        <v>113</v>
      </c>
      <c r="AE4690" t="s">
        <v>3098</v>
      </c>
      <c r="AG4690" t="s">
        <v>121</v>
      </c>
    </row>
    <row r="4691" spans="1:33" x14ac:dyDescent="0.25">
      <c r="C4691" t="s">
        <v>24108</v>
      </c>
      <c r="G4691" t="s">
        <v>24109</v>
      </c>
      <c r="H4691" t="s">
        <v>24110</v>
      </c>
      <c r="J4691" t="s">
        <v>24111</v>
      </c>
      <c r="K4691" t="s">
        <v>24105</v>
      </c>
      <c r="L4691" t="s">
        <v>3095</v>
      </c>
      <c r="M4691" t="s">
        <v>113</v>
      </c>
      <c r="N4691" t="s">
        <v>24112</v>
      </c>
      <c r="O4691" t="s">
        <v>3097</v>
      </c>
      <c r="P4691" t="s">
        <v>117</v>
      </c>
      <c r="Q4691" t="str">
        <f>"14209"</f>
        <v>14209</v>
      </c>
      <c r="AC4691" t="s">
        <v>119</v>
      </c>
      <c r="AD4691" t="s">
        <v>113</v>
      </c>
      <c r="AE4691" t="s">
        <v>3098</v>
      </c>
      <c r="AG4691" t="s">
        <v>121</v>
      </c>
    </row>
    <row r="4692" spans="1:33" x14ac:dyDescent="0.25">
      <c r="C4692" t="s">
        <v>24113</v>
      </c>
      <c r="G4692" t="s">
        <v>24114</v>
      </c>
      <c r="H4692" t="s">
        <v>24115</v>
      </c>
      <c r="J4692" t="s">
        <v>24116</v>
      </c>
      <c r="K4692" t="s">
        <v>22518</v>
      </c>
      <c r="L4692" t="s">
        <v>3095</v>
      </c>
      <c r="M4692" t="s">
        <v>113</v>
      </c>
      <c r="N4692" t="s">
        <v>24117</v>
      </c>
      <c r="O4692" t="s">
        <v>3097</v>
      </c>
      <c r="P4692" t="s">
        <v>117</v>
      </c>
      <c r="Q4692" t="str">
        <f>"14215"</f>
        <v>14215</v>
      </c>
      <c r="AC4692" t="s">
        <v>119</v>
      </c>
      <c r="AD4692" t="s">
        <v>113</v>
      </c>
      <c r="AE4692" t="s">
        <v>3098</v>
      </c>
      <c r="AG4692" t="s">
        <v>121</v>
      </c>
    </row>
    <row r="4693" spans="1:33" x14ac:dyDescent="0.25">
      <c r="C4693" t="s">
        <v>24118</v>
      </c>
      <c r="G4693" t="s">
        <v>24119</v>
      </c>
      <c r="H4693" t="s">
        <v>24120</v>
      </c>
      <c r="J4693" t="s">
        <v>24121</v>
      </c>
      <c r="K4693" t="s">
        <v>24122</v>
      </c>
      <c r="L4693" t="s">
        <v>3095</v>
      </c>
      <c r="M4693" t="s">
        <v>113</v>
      </c>
      <c r="N4693" t="s">
        <v>24123</v>
      </c>
      <c r="O4693" t="s">
        <v>22957</v>
      </c>
      <c r="P4693" t="s">
        <v>117</v>
      </c>
      <c r="Q4693" t="str">
        <f>"14411"</f>
        <v>14411</v>
      </c>
      <c r="AC4693" t="s">
        <v>119</v>
      </c>
      <c r="AD4693" t="s">
        <v>113</v>
      </c>
      <c r="AE4693" t="s">
        <v>3098</v>
      </c>
      <c r="AG4693" t="s">
        <v>121</v>
      </c>
    </row>
    <row r="4694" spans="1:33" x14ac:dyDescent="0.25">
      <c r="A4694" t="str">
        <f>"1205986668"</f>
        <v>1205986668</v>
      </c>
      <c r="B4694" t="str">
        <f>"00831750"</f>
        <v>00831750</v>
      </c>
      <c r="C4694" t="s">
        <v>24124</v>
      </c>
      <c r="D4694" t="s">
        <v>24125</v>
      </c>
      <c r="E4694" t="s">
        <v>24124</v>
      </c>
      <c r="L4694" t="s">
        <v>69</v>
      </c>
      <c r="M4694" t="s">
        <v>199</v>
      </c>
      <c r="R4694" t="s">
        <v>24126</v>
      </c>
      <c r="W4694" t="s">
        <v>24124</v>
      </c>
      <c r="X4694" t="s">
        <v>24127</v>
      </c>
      <c r="Y4694" t="s">
        <v>2946</v>
      </c>
      <c r="Z4694" t="s">
        <v>117</v>
      </c>
      <c r="AA4694" t="str">
        <f>"14075-4905"</f>
        <v>14075-4905</v>
      </c>
      <c r="AB4694" t="s">
        <v>528</v>
      </c>
      <c r="AC4694" t="s">
        <v>119</v>
      </c>
      <c r="AD4694" t="s">
        <v>113</v>
      </c>
      <c r="AE4694" t="s">
        <v>120</v>
      </c>
      <c r="AG4694" t="s">
        <v>121</v>
      </c>
    </row>
    <row r="4695" spans="1:33" x14ac:dyDescent="0.25">
      <c r="A4695" t="str">
        <f>"1427267806"</f>
        <v>1427267806</v>
      </c>
      <c r="C4695" t="s">
        <v>24128</v>
      </c>
      <c r="G4695" t="s">
        <v>24044</v>
      </c>
      <c r="H4695" t="s">
        <v>24045</v>
      </c>
      <c r="J4695" t="s">
        <v>24046</v>
      </c>
      <c r="K4695" t="s">
        <v>24049</v>
      </c>
      <c r="L4695" t="s">
        <v>229</v>
      </c>
      <c r="M4695" t="s">
        <v>113</v>
      </c>
      <c r="R4695" t="s">
        <v>24128</v>
      </c>
      <c r="S4695" t="s">
        <v>24047</v>
      </c>
      <c r="T4695" t="s">
        <v>116</v>
      </c>
      <c r="U4695" t="s">
        <v>117</v>
      </c>
      <c r="V4695" t="str">
        <f>"142141306"</f>
        <v>142141306</v>
      </c>
      <c r="AC4695" t="s">
        <v>119</v>
      </c>
      <c r="AD4695" t="s">
        <v>113</v>
      </c>
      <c r="AE4695" t="s">
        <v>306</v>
      </c>
      <c r="AG4695" t="s">
        <v>121</v>
      </c>
    </row>
    <row r="4696" spans="1:33" x14ac:dyDescent="0.25">
      <c r="A4696" t="str">
        <f>"1871553537"</f>
        <v>1871553537</v>
      </c>
      <c r="B4696" t="str">
        <f>"00475425"</f>
        <v>00475425</v>
      </c>
      <c r="C4696" t="s">
        <v>923</v>
      </c>
      <c r="D4696" t="s">
        <v>19153</v>
      </c>
      <c r="E4696" t="s">
        <v>19154</v>
      </c>
      <c r="H4696" t="s">
        <v>925</v>
      </c>
      <c r="L4696" t="s">
        <v>280</v>
      </c>
      <c r="M4696" t="s">
        <v>199</v>
      </c>
      <c r="R4696" t="s">
        <v>923</v>
      </c>
      <c r="W4696" t="s">
        <v>19154</v>
      </c>
      <c r="X4696" t="s">
        <v>19155</v>
      </c>
      <c r="Y4696" t="s">
        <v>377</v>
      </c>
      <c r="Z4696" t="s">
        <v>117</v>
      </c>
      <c r="AA4696" t="str">
        <f>"14217-1013"</f>
        <v>14217-1013</v>
      </c>
      <c r="AB4696" t="s">
        <v>282</v>
      </c>
      <c r="AC4696" t="s">
        <v>119</v>
      </c>
      <c r="AD4696" t="s">
        <v>113</v>
      </c>
      <c r="AE4696" t="s">
        <v>120</v>
      </c>
      <c r="AG4696" t="s">
        <v>121</v>
      </c>
    </row>
    <row r="4697" spans="1:33" x14ac:dyDescent="0.25">
      <c r="A4697" t="str">
        <f>"1902828908"</f>
        <v>1902828908</v>
      </c>
      <c r="B4697" t="str">
        <f>"02412673"</f>
        <v>02412673</v>
      </c>
      <c r="C4697" t="s">
        <v>24135</v>
      </c>
      <c r="D4697" t="s">
        <v>24136</v>
      </c>
      <c r="E4697" t="s">
        <v>24135</v>
      </c>
      <c r="L4697" t="s">
        <v>229</v>
      </c>
      <c r="M4697" t="s">
        <v>113</v>
      </c>
      <c r="R4697" t="s">
        <v>24137</v>
      </c>
      <c r="W4697" t="s">
        <v>24135</v>
      </c>
      <c r="AB4697" t="s">
        <v>5777</v>
      </c>
      <c r="AC4697" t="s">
        <v>119</v>
      </c>
      <c r="AD4697" t="s">
        <v>113</v>
      </c>
      <c r="AE4697" t="s">
        <v>120</v>
      </c>
      <c r="AG4697" t="s">
        <v>121</v>
      </c>
    </row>
    <row r="4698" spans="1:33" x14ac:dyDescent="0.25">
      <c r="A4698" t="str">
        <f>"1447271002"</f>
        <v>1447271002</v>
      </c>
      <c r="B4698" t="str">
        <f>"02495903"</f>
        <v>02495903</v>
      </c>
      <c r="C4698" t="s">
        <v>24135</v>
      </c>
      <c r="D4698" t="s">
        <v>24138</v>
      </c>
      <c r="E4698" t="s">
        <v>24135</v>
      </c>
      <c r="L4698" t="s">
        <v>229</v>
      </c>
      <c r="M4698" t="s">
        <v>113</v>
      </c>
      <c r="R4698" t="s">
        <v>24137</v>
      </c>
      <c r="W4698" t="s">
        <v>24135</v>
      </c>
      <c r="AB4698" t="s">
        <v>5777</v>
      </c>
      <c r="AC4698" t="s">
        <v>119</v>
      </c>
      <c r="AD4698" t="s">
        <v>113</v>
      </c>
      <c r="AE4698" t="s">
        <v>120</v>
      </c>
      <c r="AG4698" t="s">
        <v>121</v>
      </c>
    </row>
    <row r="4699" spans="1:33" x14ac:dyDescent="0.25">
      <c r="A4699" t="str">
        <f>"1972700888"</f>
        <v>1972700888</v>
      </c>
      <c r="B4699" t="str">
        <f>"04146021"</f>
        <v>04146021</v>
      </c>
      <c r="C4699" t="s">
        <v>24139</v>
      </c>
      <c r="D4699" t="s">
        <v>24140</v>
      </c>
      <c r="E4699" t="s">
        <v>24141</v>
      </c>
      <c r="G4699" t="s">
        <v>24142</v>
      </c>
      <c r="H4699" t="s">
        <v>6733</v>
      </c>
      <c r="L4699" t="s">
        <v>150</v>
      </c>
      <c r="M4699" t="s">
        <v>113</v>
      </c>
      <c r="R4699" t="s">
        <v>24143</v>
      </c>
      <c r="W4699" t="s">
        <v>24141</v>
      </c>
      <c r="X4699" t="s">
        <v>855</v>
      </c>
      <c r="Y4699" t="s">
        <v>116</v>
      </c>
      <c r="Z4699" t="s">
        <v>117</v>
      </c>
      <c r="AA4699" t="str">
        <f>"14213-1573"</f>
        <v>14213-1573</v>
      </c>
      <c r="AB4699" t="s">
        <v>118</v>
      </c>
      <c r="AC4699" t="s">
        <v>119</v>
      </c>
      <c r="AD4699" t="s">
        <v>113</v>
      </c>
      <c r="AE4699" t="s">
        <v>120</v>
      </c>
      <c r="AG4699" t="s">
        <v>121</v>
      </c>
    </row>
    <row r="4700" spans="1:33" x14ac:dyDescent="0.25">
      <c r="A4700" t="str">
        <f>"1316128028"</f>
        <v>1316128028</v>
      </c>
      <c r="B4700" t="str">
        <f>"03582978"</f>
        <v>03582978</v>
      </c>
      <c r="C4700" t="s">
        <v>24144</v>
      </c>
      <c r="D4700" t="s">
        <v>24145</v>
      </c>
      <c r="E4700" t="s">
        <v>24146</v>
      </c>
      <c r="G4700" t="s">
        <v>24147</v>
      </c>
      <c r="H4700" t="s">
        <v>24148</v>
      </c>
      <c r="L4700" t="s">
        <v>150</v>
      </c>
      <c r="M4700" t="s">
        <v>199</v>
      </c>
      <c r="R4700" t="s">
        <v>24149</v>
      </c>
      <c r="W4700" t="s">
        <v>24146</v>
      </c>
      <c r="X4700" t="s">
        <v>19387</v>
      </c>
      <c r="Y4700" t="s">
        <v>116</v>
      </c>
      <c r="Z4700" t="s">
        <v>117</v>
      </c>
      <c r="AA4700" t="str">
        <f>"14203-1252"</f>
        <v>14203-1252</v>
      </c>
      <c r="AB4700" t="s">
        <v>118</v>
      </c>
      <c r="AC4700" t="s">
        <v>119</v>
      </c>
      <c r="AD4700" t="s">
        <v>113</v>
      </c>
      <c r="AE4700" t="s">
        <v>120</v>
      </c>
      <c r="AG4700" t="s">
        <v>121</v>
      </c>
    </row>
    <row r="4701" spans="1:33" x14ac:dyDescent="0.25">
      <c r="C4701" t="s">
        <v>24150</v>
      </c>
      <c r="G4701" t="s">
        <v>24151</v>
      </c>
      <c r="K4701" t="s">
        <v>303</v>
      </c>
      <c r="L4701" t="s">
        <v>3095</v>
      </c>
      <c r="M4701" t="s">
        <v>113</v>
      </c>
      <c r="AC4701" t="s">
        <v>119</v>
      </c>
      <c r="AD4701" t="s">
        <v>113</v>
      </c>
      <c r="AE4701" t="s">
        <v>3098</v>
      </c>
      <c r="AG4701" t="s">
        <v>121</v>
      </c>
    </row>
    <row r="4702" spans="1:33" x14ac:dyDescent="0.25">
      <c r="C4702" t="s">
        <v>24152</v>
      </c>
      <c r="G4702" t="s">
        <v>24153</v>
      </c>
      <c r="J4702" t="s">
        <v>24154</v>
      </c>
      <c r="K4702" t="s">
        <v>303</v>
      </c>
      <c r="L4702" t="s">
        <v>3095</v>
      </c>
      <c r="M4702" t="s">
        <v>113</v>
      </c>
      <c r="AC4702" t="s">
        <v>119</v>
      </c>
      <c r="AD4702" t="s">
        <v>113</v>
      </c>
      <c r="AE4702" t="s">
        <v>3098</v>
      </c>
      <c r="AG4702" t="s">
        <v>121</v>
      </c>
    </row>
    <row r="4703" spans="1:33" x14ac:dyDescent="0.25">
      <c r="A4703" t="str">
        <f>"1093982092"</f>
        <v>1093982092</v>
      </c>
      <c r="C4703" t="s">
        <v>24155</v>
      </c>
      <c r="G4703" t="s">
        <v>20732</v>
      </c>
      <c r="H4703" t="s">
        <v>443</v>
      </c>
      <c r="J4703" t="s">
        <v>24156</v>
      </c>
      <c r="K4703" t="s">
        <v>303</v>
      </c>
      <c r="L4703" t="s">
        <v>229</v>
      </c>
      <c r="M4703" t="s">
        <v>113</v>
      </c>
      <c r="R4703" t="s">
        <v>24157</v>
      </c>
      <c r="S4703" t="s">
        <v>740</v>
      </c>
      <c r="T4703" t="s">
        <v>116</v>
      </c>
      <c r="U4703" t="s">
        <v>117</v>
      </c>
      <c r="V4703" t="str">
        <f>"142021804"</f>
        <v>142021804</v>
      </c>
      <c r="AC4703" t="s">
        <v>119</v>
      </c>
      <c r="AD4703" t="s">
        <v>113</v>
      </c>
      <c r="AE4703" t="s">
        <v>306</v>
      </c>
      <c r="AG4703" t="s">
        <v>121</v>
      </c>
    </row>
    <row r="4704" spans="1:33" x14ac:dyDescent="0.25">
      <c r="A4704" t="str">
        <f>"1497924062"</f>
        <v>1497924062</v>
      </c>
      <c r="C4704" t="s">
        <v>24158</v>
      </c>
      <c r="G4704" t="s">
        <v>24159</v>
      </c>
      <c r="H4704" t="s">
        <v>6328</v>
      </c>
      <c r="J4704" t="s">
        <v>24160</v>
      </c>
      <c r="K4704" t="s">
        <v>303</v>
      </c>
      <c r="L4704" t="s">
        <v>112</v>
      </c>
      <c r="M4704" t="s">
        <v>113</v>
      </c>
      <c r="R4704" t="s">
        <v>24161</v>
      </c>
      <c r="S4704" t="s">
        <v>21601</v>
      </c>
      <c r="T4704" t="s">
        <v>986</v>
      </c>
      <c r="U4704" t="s">
        <v>117</v>
      </c>
      <c r="V4704" t="str">
        <f>"147015433"</f>
        <v>147015433</v>
      </c>
      <c r="AC4704" t="s">
        <v>119</v>
      </c>
      <c r="AD4704" t="s">
        <v>113</v>
      </c>
      <c r="AE4704" t="s">
        <v>306</v>
      </c>
      <c r="AG4704" t="s">
        <v>121</v>
      </c>
    </row>
    <row r="4705" spans="1:33" x14ac:dyDescent="0.25">
      <c r="C4705" t="s">
        <v>24162</v>
      </c>
      <c r="G4705" t="s">
        <v>24163</v>
      </c>
      <c r="H4705" t="s">
        <v>24164</v>
      </c>
      <c r="J4705" t="s">
        <v>24165</v>
      </c>
      <c r="K4705" t="s">
        <v>303</v>
      </c>
      <c r="L4705" t="s">
        <v>3095</v>
      </c>
      <c r="M4705" t="s">
        <v>113</v>
      </c>
      <c r="N4705" t="s">
        <v>24166</v>
      </c>
      <c r="O4705" t="s">
        <v>3097</v>
      </c>
      <c r="P4705" t="s">
        <v>117</v>
      </c>
      <c r="Q4705" t="str">
        <f>"14204"</f>
        <v>14204</v>
      </c>
      <c r="AC4705" t="s">
        <v>119</v>
      </c>
      <c r="AD4705" t="s">
        <v>113</v>
      </c>
      <c r="AE4705" t="s">
        <v>3098</v>
      </c>
      <c r="AG4705" t="s">
        <v>121</v>
      </c>
    </row>
    <row r="4706" spans="1:33" x14ac:dyDescent="0.25">
      <c r="C4706" t="s">
        <v>24167</v>
      </c>
      <c r="G4706" t="s">
        <v>24168</v>
      </c>
      <c r="H4706" t="s">
        <v>24169</v>
      </c>
      <c r="J4706" t="s">
        <v>24170</v>
      </c>
      <c r="K4706" t="s">
        <v>303</v>
      </c>
      <c r="L4706" t="s">
        <v>3095</v>
      </c>
      <c r="M4706" t="s">
        <v>113</v>
      </c>
      <c r="N4706" t="s">
        <v>24171</v>
      </c>
      <c r="O4706" t="s">
        <v>3097</v>
      </c>
      <c r="P4706" t="s">
        <v>117</v>
      </c>
      <c r="Q4706" t="str">
        <f>"14202"</f>
        <v>14202</v>
      </c>
      <c r="AC4706" t="s">
        <v>119</v>
      </c>
      <c r="AD4706" t="s">
        <v>113</v>
      </c>
      <c r="AE4706" t="s">
        <v>3098</v>
      </c>
      <c r="AG4706" t="s">
        <v>121</v>
      </c>
    </row>
    <row r="4707" spans="1:33" x14ac:dyDescent="0.25">
      <c r="A4707" t="str">
        <f>"1609254341"</f>
        <v>1609254341</v>
      </c>
      <c r="C4707" t="s">
        <v>24172</v>
      </c>
      <c r="G4707" t="s">
        <v>20732</v>
      </c>
      <c r="H4707" t="s">
        <v>443</v>
      </c>
      <c r="J4707" t="s">
        <v>24156</v>
      </c>
      <c r="K4707" t="s">
        <v>303</v>
      </c>
      <c r="L4707" t="s">
        <v>229</v>
      </c>
      <c r="M4707" t="s">
        <v>113</v>
      </c>
      <c r="R4707" t="s">
        <v>24173</v>
      </c>
      <c r="S4707" t="s">
        <v>409</v>
      </c>
      <c r="T4707" t="s">
        <v>116</v>
      </c>
      <c r="U4707" t="s">
        <v>117</v>
      </c>
      <c r="V4707" t="str">
        <f>"142152814"</f>
        <v>142152814</v>
      </c>
      <c r="AC4707" t="s">
        <v>119</v>
      </c>
      <c r="AD4707" t="s">
        <v>113</v>
      </c>
      <c r="AE4707" t="s">
        <v>306</v>
      </c>
      <c r="AG4707" t="s">
        <v>121</v>
      </c>
    </row>
    <row r="4708" spans="1:33" x14ac:dyDescent="0.25">
      <c r="A4708" t="str">
        <f>"1053629808"</f>
        <v>1053629808</v>
      </c>
      <c r="C4708" t="s">
        <v>24174</v>
      </c>
      <c r="G4708" t="s">
        <v>20732</v>
      </c>
      <c r="H4708" t="s">
        <v>443</v>
      </c>
      <c r="J4708" t="s">
        <v>24156</v>
      </c>
      <c r="K4708" t="s">
        <v>303</v>
      </c>
      <c r="L4708" t="s">
        <v>229</v>
      </c>
      <c r="M4708" t="s">
        <v>113</v>
      </c>
      <c r="R4708" t="s">
        <v>24175</v>
      </c>
      <c r="S4708" t="s">
        <v>21373</v>
      </c>
      <c r="T4708" t="s">
        <v>1872</v>
      </c>
      <c r="U4708" t="s">
        <v>117</v>
      </c>
      <c r="V4708" t="str">
        <f>"141329014"</f>
        <v>141329014</v>
      </c>
      <c r="AC4708" t="s">
        <v>119</v>
      </c>
      <c r="AD4708" t="s">
        <v>113</v>
      </c>
      <c r="AE4708" t="s">
        <v>306</v>
      </c>
      <c r="AG4708" t="s">
        <v>121</v>
      </c>
    </row>
    <row r="4709" spans="1:33" x14ac:dyDescent="0.25">
      <c r="A4709" t="str">
        <f>"1194037457"</f>
        <v>1194037457</v>
      </c>
      <c r="B4709" t="str">
        <f>"03272539"</f>
        <v>03272539</v>
      </c>
      <c r="C4709" t="s">
        <v>24176</v>
      </c>
      <c r="D4709" t="s">
        <v>24177</v>
      </c>
      <c r="E4709" t="s">
        <v>24178</v>
      </c>
      <c r="G4709" t="s">
        <v>24179</v>
      </c>
      <c r="H4709" t="s">
        <v>8070</v>
      </c>
      <c r="L4709" t="s">
        <v>142</v>
      </c>
      <c r="M4709" t="s">
        <v>113</v>
      </c>
      <c r="R4709" t="s">
        <v>24180</v>
      </c>
      <c r="W4709" t="s">
        <v>24178</v>
      </c>
      <c r="X4709" t="s">
        <v>10576</v>
      </c>
      <c r="Y4709" t="s">
        <v>958</v>
      </c>
      <c r="Z4709" t="s">
        <v>117</v>
      </c>
      <c r="AA4709" t="str">
        <f>"14226-2547"</f>
        <v>14226-2547</v>
      </c>
      <c r="AB4709" t="s">
        <v>118</v>
      </c>
      <c r="AC4709" t="s">
        <v>119</v>
      </c>
      <c r="AD4709" t="s">
        <v>113</v>
      </c>
      <c r="AE4709" t="s">
        <v>120</v>
      </c>
      <c r="AG4709" t="s">
        <v>121</v>
      </c>
    </row>
    <row r="4710" spans="1:33" x14ac:dyDescent="0.25">
      <c r="A4710" t="str">
        <f>"1265454482"</f>
        <v>1265454482</v>
      </c>
      <c r="B4710" t="str">
        <f>"02613243"</f>
        <v>02613243</v>
      </c>
      <c r="C4710" t="s">
        <v>24181</v>
      </c>
      <c r="D4710" t="s">
        <v>24182</v>
      </c>
      <c r="E4710" t="s">
        <v>24183</v>
      </c>
      <c r="G4710" t="s">
        <v>24184</v>
      </c>
      <c r="H4710" t="s">
        <v>24185</v>
      </c>
      <c r="L4710" t="s">
        <v>142</v>
      </c>
      <c r="M4710" t="s">
        <v>113</v>
      </c>
      <c r="R4710" t="s">
        <v>24183</v>
      </c>
      <c r="W4710" t="s">
        <v>24186</v>
      </c>
      <c r="X4710" t="s">
        <v>7447</v>
      </c>
      <c r="Y4710" t="s">
        <v>240</v>
      </c>
      <c r="Z4710" t="s">
        <v>117</v>
      </c>
      <c r="AA4710" t="str">
        <f>"14221-1200"</f>
        <v>14221-1200</v>
      </c>
      <c r="AB4710" t="s">
        <v>118</v>
      </c>
      <c r="AC4710" t="s">
        <v>119</v>
      </c>
      <c r="AD4710" t="s">
        <v>113</v>
      </c>
      <c r="AE4710" t="s">
        <v>120</v>
      </c>
      <c r="AG4710" t="s">
        <v>121</v>
      </c>
    </row>
    <row r="4711" spans="1:33" x14ac:dyDescent="0.25">
      <c r="C4711" t="s">
        <v>24187</v>
      </c>
      <c r="G4711" t="s">
        <v>24188</v>
      </c>
      <c r="K4711" t="s">
        <v>303</v>
      </c>
      <c r="L4711" t="s">
        <v>3095</v>
      </c>
      <c r="M4711" t="s">
        <v>113</v>
      </c>
      <c r="AC4711" t="s">
        <v>119</v>
      </c>
      <c r="AD4711" t="s">
        <v>113</v>
      </c>
      <c r="AE4711" t="s">
        <v>3098</v>
      </c>
      <c r="AG4711" t="s">
        <v>121</v>
      </c>
    </row>
    <row r="4712" spans="1:33" x14ac:dyDescent="0.25">
      <c r="C4712" t="s">
        <v>24189</v>
      </c>
      <c r="G4712" t="s">
        <v>24190</v>
      </c>
      <c r="K4712" t="s">
        <v>303</v>
      </c>
      <c r="L4712" t="s">
        <v>3095</v>
      </c>
      <c r="M4712" t="s">
        <v>113</v>
      </c>
      <c r="AC4712" t="s">
        <v>119</v>
      </c>
      <c r="AD4712" t="s">
        <v>113</v>
      </c>
      <c r="AE4712" t="s">
        <v>3098</v>
      </c>
      <c r="AG4712" t="s">
        <v>121</v>
      </c>
    </row>
    <row r="4713" spans="1:33" x14ac:dyDescent="0.25">
      <c r="A4713" t="str">
        <f>"1487601837"</f>
        <v>1487601837</v>
      </c>
      <c r="B4713" t="str">
        <f>"03005176"</f>
        <v>03005176</v>
      </c>
      <c r="C4713" t="s">
        <v>24191</v>
      </c>
      <c r="D4713" t="s">
        <v>21753</v>
      </c>
      <c r="E4713" t="s">
        <v>21754</v>
      </c>
      <c r="G4713" t="s">
        <v>24192</v>
      </c>
      <c r="H4713" t="s">
        <v>24193</v>
      </c>
      <c r="J4713" t="s">
        <v>24194</v>
      </c>
      <c r="L4713" t="s">
        <v>12087</v>
      </c>
      <c r="M4713" t="s">
        <v>199</v>
      </c>
      <c r="R4713" t="s">
        <v>21761</v>
      </c>
      <c r="W4713" t="s">
        <v>21754</v>
      </c>
      <c r="X4713" t="s">
        <v>21756</v>
      </c>
      <c r="Y4713" t="s">
        <v>116</v>
      </c>
      <c r="Z4713" t="s">
        <v>117</v>
      </c>
      <c r="AA4713" t="str">
        <f>"14210-2324"</f>
        <v>14210-2324</v>
      </c>
      <c r="AB4713" t="s">
        <v>1146</v>
      </c>
      <c r="AC4713" t="s">
        <v>119</v>
      </c>
      <c r="AD4713" t="s">
        <v>113</v>
      </c>
      <c r="AE4713" t="s">
        <v>120</v>
      </c>
      <c r="AG4713" t="s">
        <v>121</v>
      </c>
    </row>
    <row r="4714" spans="1:33" x14ac:dyDescent="0.25">
      <c r="A4714" t="str">
        <f>"1982082897"</f>
        <v>1982082897</v>
      </c>
      <c r="C4714" t="s">
        <v>24195</v>
      </c>
      <c r="G4714" t="s">
        <v>20732</v>
      </c>
      <c r="H4714" t="s">
        <v>443</v>
      </c>
      <c r="J4714" t="s">
        <v>24156</v>
      </c>
      <c r="K4714" t="s">
        <v>303</v>
      </c>
      <c r="L4714" t="s">
        <v>112</v>
      </c>
      <c r="M4714" t="s">
        <v>113</v>
      </c>
      <c r="R4714" t="s">
        <v>24196</v>
      </c>
      <c r="S4714" t="s">
        <v>409</v>
      </c>
      <c r="T4714" t="s">
        <v>116</v>
      </c>
      <c r="U4714" t="s">
        <v>117</v>
      </c>
      <c r="V4714" t="str">
        <f>"142152814"</f>
        <v>142152814</v>
      </c>
      <c r="AC4714" t="s">
        <v>119</v>
      </c>
      <c r="AD4714" t="s">
        <v>113</v>
      </c>
      <c r="AE4714" t="s">
        <v>306</v>
      </c>
      <c r="AG4714" t="s">
        <v>121</v>
      </c>
    </row>
    <row r="4715" spans="1:33" x14ac:dyDescent="0.25">
      <c r="A4715" t="str">
        <f>"1467850735"</f>
        <v>1467850735</v>
      </c>
      <c r="B4715" t="str">
        <f>"04272437"</f>
        <v>04272437</v>
      </c>
      <c r="C4715" t="s">
        <v>24197</v>
      </c>
      <c r="D4715" t="s">
        <v>24198</v>
      </c>
      <c r="E4715" t="s">
        <v>24199</v>
      </c>
      <c r="G4715" t="s">
        <v>24200</v>
      </c>
      <c r="H4715" t="s">
        <v>24201</v>
      </c>
      <c r="L4715" t="s">
        <v>112</v>
      </c>
      <c r="M4715" t="s">
        <v>113</v>
      </c>
      <c r="R4715" t="s">
        <v>24199</v>
      </c>
      <c r="W4715" t="s">
        <v>24199</v>
      </c>
      <c r="X4715" t="s">
        <v>18524</v>
      </c>
      <c r="Y4715" t="s">
        <v>116</v>
      </c>
      <c r="Z4715" t="s">
        <v>117</v>
      </c>
      <c r="AA4715" t="str">
        <f>"14225-2523"</f>
        <v>14225-2523</v>
      </c>
      <c r="AB4715" t="s">
        <v>118</v>
      </c>
      <c r="AC4715" t="s">
        <v>119</v>
      </c>
      <c r="AD4715" t="s">
        <v>113</v>
      </c>
      <c r="AE4715" t="s">
        <v>120</v>
      </c>
      <c r="AG4715" t="s">
        <v>121</v>
      </c>
    </row>
    <row r="4716" spans="1:33" x14ac:dyDescent="0.25">
      <c r="A4716" t="str">
        <f>"1265460786"</f>
        <v>1265460786</v>
      </c>
      <c r="B4716" t="str">
        <f>"02343319"</f>
        <v>02343319</v>
      </c>
      <c r="C4716" t="s">
        <v>24202</v>
      </c>
      <c r="D4716" t="s">
        <v>24203</v>
      </c>
      <c r="E4716" t="s">
        <v>24204</v>
      </c>
      <c r="G4716" t="s">
        <v>24205</v>
      </c>
      <c r="H4716" t="s">
        <v>744</v>
      </c>
      <c r="L4716" t="s">
        <v>150</v>
      </c>
      <c r="M4716" t="s">
        <v>113</v>
      </c>
      <c r="R4716" t="s">
        <v>24206</v>
      </c>
      <c r="W4716" t="s">
        <v>24207</v>
      </c>
      <c r="X4716" t="s">
        <v>24208</v>
      </c>
      <c r="Y4716" t="s">
        <v>5228</v>
      </c>
      <c r="Z4716" t="s">
        <v>117</v>
      </c>
      <c r="AA4716" t="str">
        <f>"14228-2044"</f>
        <v>14228-2044</v>
      </c>
      <c r="AB4716" t="s">
        <v>118</v>
      </c>
      <c r="AC4716" t="s">
        <v>119</v>
      </c>
      <c r="AD4716" t="s">
        <v>113</v>
      </c>
      <c r="AE4716" t="s">
        <v>120</v>
      </c>
      <c r="AG4716" t="s">
        <v>121</v>
      </c>
    </row>
    <row r="4717" spans="1:33" x14ac:dyDescent="0.25">
      <c r="C4717" t="s">
        <v>24209</v>
      </c>
      <c r="G4717" t="s">
        <v>24210</v>
      </c>
      <c r="H4717" t="s">
        <v>24211</v>
      </c>
      <c r="K4717" t="s">
        <v>303</v>
      </c>
      <c r="L4717" t="s">
        <v>3095</v>
      </c>
      <c r="M4717" t="s">
        <v>113</v>
      </c>
      <c r="AC4717" t="s">
        <v>119</v>
      </c>
      <c r="AD4717" t="s">
        <v>113</v>
      </c>
      <c r="AE4717" t="s">
        <v>3098</v>
      </c>
      <c r="AG4717" t="s">
        <v>121</v>
      </c>
    </row>
    <row r="4718" spans="1:33" x14ac:dyDescent="0.25">
      <c r="C4718" t="s">
        <v>24212</v>
      </c>
      <c r="G4718" t="s">
        <v>24213</v>
      </c>
      <c r="J4718" t="s">
        <v>24214</v>
      </c>
      <c r="K4718" t="s">
        <v>303</v>
      </c>
      <c r="L4718" t="s">
        <v>3095</v>
      </c>
      <c r="M4718" t="s">
        <v>113</v>
      </c>
      <c r="AC4718" t="s">
        <v>119</v>
      </c>
      <c r="AD4718" t="s">
        <v>113</v>
      </c>
      <c r="AE4718" t="s">
        <v>3098</v>
      </c>
      <c r="AG4718" t="s">
        <v>121</v>
      </c>
    </row>
    <row r="4719" spans="1:33" x14ac:dyDescent="0.25">
      <c r="A4719" t="str">
        <f>"1003803271"</f>
        <v>1003803271</v>
      </c>
      <c r="B4719" t="str">
        <f>"00475365"</f>
        <v>00475365</v>
      </c>
      <c r="C4719" t="s">
        <v>24722</v>
      </c>
      <c r="D4719" t="s">
        <v>24723</v>
      </c>
      <c r="E4719" t="s">
        <v>24724</v>
      </c>
      <c r="G4719" t="s">
        <v>24717</v>
      </c>
      <c r="H4719" t="s">
        <v>24718</v>
      </c>
      <c r="J4719" t="s">
        <v>24719</v>
      </c>
      <c r="L4719" t="s">
        <v>19</v>
      </c>
      <c r="M4719" t="s">
        <v>199</v>
      </c>
      <c r="R4719" t="s">
        <v>24725</v>
      </c>
      <c r="W4719" t="s">
        <v>24724</v>
      </c>
      <c r="X4719" t="s">
        <v>24726</v>
      </c>
      <c r="Y4719" t="s">
        <v>129</v>
      </c>
      <c r="Z4719" t="s">
        <v>117</v>
      </c>
      <c r="AA4719" t="str">
        <f>"14224-2648"</f>
        <v>14224-2648</v>
      </c>
      <c r="AB4719" t="s">
        <v>282</v>
      </c>
      <c r="AC4719" t="s">
        <v>119</v>
      </c>
      <c r="AD4719" t="s">
        <v>113</v>
      </c>
      <c r="AE4719" t="s">
        <v>120</v>
      </c>
      <c r="AG4719" t="s">
        <v>121</v>
      </c>
    </row>
    <row r="4720" spans="1:33" x14ac:dyDescent="0.25">
      <c r="A4720" t="str">
        <f>"1922406693"</f>
        <v>1922406693</v>
      </c>
      <c r="C4720" t="s">
        <v>24222</v>
      </c>
      <c r="G4720" t="s">
        <v>20732</v>
      </c>
      <c r="H4720" t="s">
        <v>443</v>
      </c>
      <c r="J4720" t="s">
        <v>24156</v>
      </c>
      <c r="K4720" t="s">
        <v>303</v>
      </c>
      <c r="L4720" t="s">
        <v>229</v>
      </c>
      <c r="M4720" t="s">
        <v>113</v>
      </c>
      <c r="R4720" t="s">
        <v>24223</v>
      </c>
      <c r="S4720" t="s">
        <v>8467</v>
      </c>
      <c r="T4720" t="s">
        <v>116</v>
      </c>
      <c r="U4720" t="s">
        <v>117</v>
      </c>
      <c r="V4720" t="str">
        <f>"142131503"</f>
        <v>142131503</v>
      </c>
      <c r="AC4720" t="s">
        <v>119</v>
      </c>
      <c r="AD4720" t="s">
        <v>113</v>
      </c>
      <c r="AE4720" t="s">
        <v>306</v>
      </c>
      <c r="AG4720" t="s">
        <v>121</v>
      </c>
    </row>
    <row r="4721" spans="1:33" x14ac:dyDescent="0.25">
      <c r="A4721" t="str">
        <f>"1306262415"</f>
        <v>1306262415</v>
      </c>
      <c r="B4721" t="str">
        <f>"03881683"</f>
        <v>03881683</v>
      </c>
      <c r="C4721" t="s">
        <v>24224</v>
      </c>
      <c r="D4721" t="s">
        <v>24225</v>
      </c>
      <c r="E4721" t="s">
        <v>24226</v>
      </c>
      <c r="G4721" t="s">
        <v>24227</v>
      </c>
      <c r="H4721" t="s">
        <v>2725</v>
      </c>
      <c r="L4721" t="s">
        <v>150</v>
      </c>
      <c r="M4721" t="s">
        <v>113</v>
      </c>
      <c r="R4721" t="s">
        <v>24226</v>
      </c>
      <c r="W4721" t="s">
        <v>24228</v>
      </c>
      <c r="X4721" t="s">
        <v>24229</v>
      </c>
      <c r="Y4721" t="s">
        <v>116</v>
      </c>
      <c r="Z4721" t="s">
        <v>117</v>
      </c>
      <c r="AA4721" t="str">
        <f>"14201-2398"</f>
        <v>14201-2398</v>
      </c>
      <c r="AB4721" t="s">
        <v>118</v>
      </c>
      <c r="AC4721" t="s">
        <v>119</v>
      </c>
      <c r="AD4721" t="s">
        <v>113</v>
      </c>
      <c r="AE4721" t="s">
        <v>120</v>
      </c>
      <c r="AG4721" t="s">
        <v>121</v>
      </c>
    </row>
    <row r="4722" spans="1:33" x14ac:dyDescent="0.25">
      <c r="A4722" t="str">
        <f>"1851651525"</f>
        <v>1851651525</v>
      </c>
      <c r="B4722" t="str">
        <f>"04273543"</f>
        <v>04273543</v>
      </c>
      <c r="C4722" t="s">
        <v>24230</v>
      </c>
      <c r="D4722" t="s">
        <v>24231</v>
      </c>
      <c r="E4722" t="s">
        <v>24232</v>
      </c>
      <c r="G4722" t="s">
        <v>24233</v>
      </c>
      <c r="H4722" t="s">
        <v>272</v>
      </c>
      <c r="L4722" t="s">
        <v>150</v>
      </c>
      <c r="M4722" t="s">
        <v>113</v>
      </c>
      <c r="R4722" t="s">
        <v>24234</v>
      </c>
      <c r="W4722" t="s">
        <v>24232</v>
      </c>
      <c r="X4722" t="s">
        <v>1986</v>
      </c>
      <c r="Y4722" t="s">
        <v>116</v>
      </c>
      <c r="Z4722" t="s">
        <v>117</v>
      </c>
      <c r="AA4722" t="str">
        <f>"14207-1816"</f>
        <v>14207-1816</v>
      </c>
      <c r="AB4722" t="s">
        <v>118</v>
      </c>
      <c r="AC4722" t="s">
        <v>119</v>
      </c>
      <c r="AD4722" t="s">
        <v>113</v>
      </c>
      <c r="AE4722" t="s">
        <v>120</v>
      </c>
      <c r="AG4722" t="s">
        <v>121</v>
      </c>
    </row>
    <row r="4723" spans="1:33" x14ac:dyDescent="0.25">
      <c r="A4723" t="str">
        <f>"1508810813"</f>
        <v>1508810813</v>
      </c>
      <c r="B4723" t="str">
        <f>"01059618"</f>
        <v>01059618</v>
      </c>
      <c r="C4723" t="s">
        <v>24235</v>
      </c>
      <c r="D4723" t="s">
        <v>24236</v>
      </c>
      <c r="E4723" t="s">
        <v>24237</v>
      </c>
      <c r="G4723" t="s">
        <v>24238</v>
      </c>
      <c r="H4723" t="s">
        <v>24239</v>
      </c>
      <c r="L4723" t="s">
        <v>150</v>
      </c>
      <c r="M4723" t="s">
        <v>199</v>
      </c>
      <c r="R4723" t="s">
        <v>24240</v>
      </c>
      <c r="W4723" t="s">
        <v>24237</v>
      </c>
      <c r="X4723" t="s">
        <v>24241</v>
      </c>
      <c r="Y4723" t="s">
        <v>2741</v>
      </c>
      <c r="Z4723" t="s">
        <v>117</v>
      </c>
      <c r="AA4723" t="str">
        <f>"14062"</f>
        <v>14062</v>
      </c>
      <c r="AB4723" t="s">
        <v>118</v>
      </c>
      <c r="AC4723" t="s">
        <v>119</v>
      </c>
      <c r="AD4723" t="s">
        <v>113</v>
      </c>
      <c r="AE4723" t="s">
        <v>120</v>
      </c>
      <c r="AG4723" t="s">
        <v>121</v>
      </c>
    </row>
    <row r="4724" spans="1:33" x14ac:dyDescent="0.25">
      <c r="A4724" t="str">
        <f>"1548552045"</f>
        <v>1548552045</v>
      </c>
      <c r="B4724" t="str">
        <f>"04099872"</f>
        <v>04099872</v>
      </c>
      <c r="C4724" t="s">
        <v>24242</v>
      </c>
      <c r="D4724" t="s">
        <v>24243</v>
      </c>
      <c r="E4724" t="s">
        <v>24244</v>
      </c>
      <c r="G4724" t="s">
        <v>24245</v>
      </c>
      <c r="H4724" t="s">
        <v>4813</v>
      </c>
      <c r="L4724" t="s">
        <v>728</v>
      </c>
      <c r="M4724" t="s">
        <v>113</v>
      </c>
      <c r="R4724" t="s">
        <v>24246</v>
      </c>
      <c r="W4724" t="s">
        <v>24244</v>
      </c>
      <c r="X4724" t="s">
        <v>24247</v>
      </c>
      <c r="Y4724" t="s">
        <v>816</v>
      </c>
      <c r="Z4724" t="s">
        <v>117</v>
      </c>
      <c r="AA4724" t="str">
        <f>"14120-6563"</f>
        <v>14120-6563</v>
      </c>
      <c r="AB4724" t="s">
        <v>118</v>
      </c>
      <c r="AC4724" t="s">
        <v>119</v>
      </c>
      <c r="AD4724" t="s">
        <v>113</v>
      </c>
      <c r="AE4724" t="s">
        <v>120</v>
      </c>
      <c r="AG4724" t="s">
        <v>121</v>
      </c>
    </row>
    <row r="4725" spans="1:33" x14ac:dyDescent="0.25">
      <c r="C4725" t="s">
        <v>24248</v>
      </c>
      <c r="K4725" t="s">
        <v>303</v>
      </c>
      <c r="L4725" t="s">
        <v>3095</v>
      </c>
      <c r="M4725" t="s">
        <v>113</v>
      </c>
      <c r="AC4725" t="s">
        <v>119</v>
      </c>
      <c r="AD4725" t="s">
        <v>113</v>
      </c>
      <c r="AE4725" t="s">
        <v>3098</v>
      </c>
      <c r="AG4725" t="s">
        <v>121</v>
      </c>
    </row>
    <row r="4726" spans="1:33" x14ac:dyDescent="0.25">
      <c r="A4726" t="str">
        <f>"1710377973"</f>
        <v>1710377973</v>
      </c>
      <c r="C4726" t="s">
        <v>24249</v>
      </c>
      <c r="G4726" t="s">
        <v>20732</v>
      </c>
      <c r="H4726" t="s">
        <v>443</v>
      </c>
      <c r="J4726" t="s">
        <v>24156</v>
      </c>
      <c r="K4726" t="s">
        <v>303</v>
      </c>
      <c r="L4726" t="s">
        <v>229</v>
      </c>
      <c r="M4726" t="s">
        <v>113</v>
      </c>
      <c r="R4726" t="s">
        <v>24250</v>
      </c>
      <c r="S4726" t="s">
        <v>409</v>
      </c>
      <c r="T4726" t="s">
        <v>116</v>
      </c>
      <c r="U4726" t="s">
        <v>117</v>
      </c>
      <c r="V4726" t="str">
        <f>"142152814"</f>
        <v>142152814</v>
      </c>
      <c r="AC4726" t="s">
        <v>119</v>
      </c>
      <c r="AD4726" t="s">
        <v>113</v>
      </c>
      <c r="AE4726" t="s">
        <v>306</v>
      </c>
      <c r="AG4726" t="s">
        <v>121</v>
      </c>
    </row>
    <row r="4727" spans="1:33" x14ac:dyDescent="0.25">
      <c r="A4727" t="str">
        <f>"1740547991"</f>
        <v>1740547991</v>
      </c>
      <c r="B4727" t="str">
        <f>"04207567"</f>
        <v>04207567</v>
      </c>
      <c r="C4727" t="s">
        <v>24202</v>
      </c>
      <c r="D4727" t="s">
        <v>24251</v>
      </c>
      <c r="E4727" t="s">
        <v>24252</v>
      </c>
      <c r="G4727" t="s">
        <v>24253</v>
      </c>
      <c r="H4727" t="s">
        <v>744</v>
      </c>
      <c r="L4727" t="s">
        <v>150</v>
      </c>
      <c r="M4727" t="s">
        <v>113</v>
      </c>
      <c r="R4727" t="s">
        <v>24254</v>
      </c>
      <c r="W4727" t="s">
        <v>24252</v>
      </c>
      <c r="X4727" t="s">
        <v>24208</v>
      </c>
      <c r="Y4727" t="s">
        <v>5228</v>
      </c>
      <c r="Z4727" t="s">
        <v>117</v>
      </c>
      <c r="AA4727" t="str">
        <f>"14228-2044"</f>
        <v>14228-2044</v>
      </c>
      <c r="AB4727" t="s">
        <v>118</v>
      </c>
      <c r="AC4727" t="s">
        <v>119</v>
      </c>
      <c r="AD4727" t="s">
        <v>113</v>
      </c>
      <c r="AE4727" t="s">
        <v>120</v>
      </c>
      <c r="AG4727" t="s">
        <v>121</v>
      </c>
    </row>
    <row r="4728" spans="1:33" x14ac:dyDescent="0.25">
      <c r="C4728" t="s">
        <v>24255</v>
      </c>
      <c r="G4728" t="s">
        <v>24256</v>
      </c>
      <c r="H4728" t="s">
        <v>1050</v>
      </c>
      <c r="K4728" t="s">
        <v>303</v>
      </c>
      <c r="L4728" t="s">
        <v>3095</v>
      </c>
      <c r="M4728" t="s">
        <v>113</v>
      </c>
      <c r="N4728" t="s">
        <v>24257</v>
      </c>
      <c r="O4728" t="s">
        <v>24258</v>
      </c>
      <c r="P4728" t="s">
        <v>117</v>
      </c>
      <c r="Q4728" t="str">
        <f>"14210"</f>
        <v>14210</v>
      </c>
      <c r="AC4728" t="s">
        <v>119</v>
      </c>
      <c r="AD4728" t="s">
        <v>113</v>
      </c>
      <c r="AE4728" t="s">
        <v>3098</v>
      </c>
      <c r="AG4728" t="s">
        <v>121</v>
      </c>
    </row>
    <row r="4729" spans="1:33" x14ac:dyDescent="0.25">
      <c r="B4729" t="str">
        <f>"02005347"</f>
        <v>02005347</v>
      </c>
      <c r="C4729" t="s">
        <v>1585</v>
      </c>
      <c r="D4729" t="s">
        <v>1586</v>
      </c>
      <c r="E4729" t="s">
        <v>1587</v>
      </c>
      <c r="F4729">
        <v>160786061</v>
      </c>
      <c r="L4729" t="s">
        <v>67</v>
      </c>
      <c r="M4729" t="s">
        <v>113</v>
      </c>
      <c r="W4729" t="s">
        <v>1587</v>
      </c>
      <c r="X4729" t="s">
        <v>1588</v>
      </c>
      <c r="Y4729" t="s">
        <v>153</v>
      </c>
      <c r="Z4729" t="s">
        <v>117</v>
      </c>
      <c r="AA4729" t="str">
        <f>"14304-1114"</f>
        <v>14304-1114</v>
      </c>
      <c r="AB4729" t="s">
        <v>291</v>
      </c>
      <c r="AC4729" t="s">
        <v>119</v>
      </c>
      <c r="AD4729" t="s">
        <v>113</v>
      </c>
      <c r="AE4729" t="s">
        <v>120</v>
      </c>
      <c r="AG4729" t="s">
        <v>121</v>
      </c>
    </row>
    <row r="4730" spans="1:33" x14ac:dyDescent="0.25">
      <c r="A4730" t="str">
        <f>"1134116858"</f>
        <v>1134116858</v>
      </c>
      <c r="C4730" t="s">
        <v>24268</v>
      </c>
      <c r="G4730" t="s">
        <v>24269</v>
      </c>
      <c r="H4730" t="s">
        <v>18543</v>
      </c>
      <c r="I4730">
        <v>213</v>
      </c>
      <c r="K4730" t="s">
        <v>303</v>
      </c>
      <c r="L4730" t="s">
        <v>229</v>
      </c>
      <c r="M4730" t="s">
        <v>113</v>
      </c>
      <c r="R4730" t="s">
        <v>24270</v>
      </c>
      <c r="S4730" t="s">
        <v>18546</v>
      </c>
      <c r="T4730" t="s">
        <v>527</v>
      </c>
      <c r="U4730" t="s">
        <v>117</v>
      </c>
      <c r="V4730" t="str">
        <f>"141039706"</f>
        <v>141039706</v>
      </c>
      <c r="AC4730" t="s">
        <v>119</v>
      </c>
      <c r="AD4730" t="s">
        <v>113</v>
      </c>
      <c r="AE4730" t="s">
        <v>306</v>
      </c>
      <c r="AG4730" t="s">
        <v>121</v>
      </c>
    </row>
    <row r="4731" spans="1:33" x14ac:dyDescent="0.25">
      <c r="A4731" t="str">
        <f>"1821386673"</f>
        <v>1821386673</v>
      </c>
      <c r="B4731" t="str">
        <f>"04155217"</f>
        <v>04155217</v>
      </c>
      <c r="C4731" t="s">
        <v>24139</v>
      </c>
      <c r="D4731" t="s">
        <v>24271</v>
      </c>
      <c r="E4731" t="s">
        <v>24272</v>
      </c>
      <c r="G4731" t="s">
        <v>24273</v>
      </c>
      <c r="H4731" t="s">
        <v>6733</v>
      </c>
      <c r="J4731" t="s">
        <v>24274</v>
      </c>
      <c r="L4731" t="s">
        <v>150</v>
      </c>
      <c r="M4731" t="s">
        <v>113</v>
      </c>
      <c r="R4731" t="s">
        <v>24272</v>
      </c>
      <c r="W4731" t="s">
        <v>24275</v>
      </c>
      <c r="X4731" t="s">
        <v>855</v>
      </c>
      <c r="Y4731" t="s">
        <v>116</v>
      </c>
      <c r="Z4731" t="s">
        <v>117</v>
      </c>
      <c r="AA4731" t="str">
        <f>"14213-1573"</f>
        <v>14213-1573</v>
      </c>
      <c r="AB4731" t="s">
        <v>118</v>
      </c>
      <c r="AC4731" t="s">
        <v>119</v>
      </c>
      <c r="AD4731" t="s">
        <v>113</v>
      </c>
      <c r="AE4731" t="s">
        <v>120</v>
      </c>
      <c r="AG4731" t="s">
        <v>121</v>
      </c>
    </row>
    <row r="4732" spans="1:33" x14ac:dyDescent="0.25">
      <c r="A4732" t="str">
        <f>"1073901815"</f>
        <v>1073901815</v>
      </c>
      <c r="B4732" t="str">
        <f>"01894155"</f>
        <v>01894155</v>
      </c>
      <c r="C4732" t="s">
        <v>24139</v>
      </c>
      <c r="D4732" t="s">
        <v>24276</v>
      </c>
      <c r="E4732" t="s">
        <v>24277</v>
      </c>
      <c r="G4732" t="s">
        <v>24278</v>
      </c>
      <c r="H4732" t="s">
        <v>6733</v>
      </c>
      <c r="J4732" t="s">
        <v>24274</v>
      </c>
      <c r="L4732" t="s">
        <v>142</v>
      </c>
      <c r="M4732" t="s">
        <v>113</v>
      </c>
      <c r="R4732" t="s">
        <v>24279</v>
      </c>
      <c r="W4732" t="s">
        <v>24277</v>
      </c>
      <c r="X4732" t="s">
        <v>855</v>
      </c>
      <c r="Y4732" t="s">
        <v>116</v>
      </c>
      <c r="Z4732" t="s">
        <v>117</v>
      </c>
      <c r="AA4732" t="str">
        <f>"14213-1573"</f>
        <v>14213-1573</v>
      </c>
      <c r="AB4732" t="s">
        <v>528</v>
      </c>
      <c r="AC4732" t="s">
        <v>119</v>
      </c>
      <c r="AD4732" t="s">
        <v>113</v>
      </c>
      <c r="AE4732" t="s">
        <v>120</v>
      </c>
      <c r="AG4732" t="s">
        <v>121</v>
      </c>
    </row>
    <row r="4733" spans="1:33" x14ac:dyDescent="0.25">
      <c r="A4733" t="str">
        <f>"1255595138"</f>
        <v>1255595138</v>
      </c>
      <c r="B4733" t="str">
        <f>"03047683"</f>
        <v>03047683</v>
      </c>
      <c r="C4733" t="s">
        <v>24139</v>
      </c>
      <c r="D4733" t="s">
        <v>24280</v>
      </c>
      <c r="E4733" t="s">
        <v>24281</v>
      </c>
      <c r="G4733" t="s">
        <v>24282</v>
      </c>
      <c r="H4733" t="s">
        <v>6733</v>
      </c>
      <c r="L4733" t="s">
        <v>142</v>
      </c>
      <c r="M4733" t="s">
        <v>199</v>
      </c>
      <c r="R4733" t="s">
        <v>24283</v>
      </c>
      <c r="W4733" t="s">
        <v>24284</v>
      </c>
      <c r="X4733" t="s">
        <v>6460</v>
      </c>
      <c r="Y4733" t="s">
        <v>541</v>
      </c>
      <c r="Z4733" t="s">
        <v>117</v>
      </c>
      <c r="AA4733" t="str">
        <f>"14048-2514"</f>
        <v>14048-2514</v>
      </c>
      <c r="AB4733" t="s">
        <v>118</v>
      </c>
      <c r="AC4733" t="s">
        <v>119</v>
      </c>
      <c r="AD4733" t="s">
        <v>113</v>
      </c>
      <c r="AE4733" t="s">
        <v>120</v>
      </c>
      <c r="AG4733" t="s">
        <v>121</v>
      </c>
    </row>
    <row r="4734" spans="1:33" x14ac:dyDescent="0.25">
      <c r="A4734" t="str">
        <f>"1689042442"</f>
        <v>1689042442</v>
      </c>
      <c r="C4734" t="s">
        <v>24285</v>
      </c>
      <c r="G4734" t="s">
        <v>24286</v>
      </c>
      <c r="H4734" t="s">
        <v>272</v>
      </c>
      <c r="K4734" t="s">
        <v>303</v>
      </c>
      <c r="L4734" t="s">
        <v>728</v>
      </c>
      <c r="M4734" t="s">
        <v>113</v>
      </c>
      <c r="R4734" t="s">
        <v>24287</v>
      </c>
      <c r="S4734" t="s">
        <v>966</v>
      </c>
      <c r="T4734" t="s">
        <v>116</v>
      </c>
      <c r="U4734" t="s">
        <v>117</v>
      </c>
      <c r="V4734" t="str">
        <f>"142071816"</f>
        <v>142071816</v>
      </c>
      <c r="AC4734" t="s">
        <v>119</v>
      </c>
      <c r="AD4734" t="s">
        <v>113</v>
      </c>
      <c r="AE4734" t="s">
        <v>306</v>
      </c>
      <c r="AG4734" t="s">
        <v>121</v>
      </c>
    </row>
    <row r="4735" spans="1:33" x14ac:dyDescent="0.25">
      <c r="C4735" t="s">
        <v>24288</v>
      </c>
      <c r="G4735" t="s">
        <v>24289</v>
      </c>
      <c r="J4735" t="s">
        <v>24290</v>
      </c>
      <c r="K4735" t="s">
        <v>303</v>
      </c>
      <c r="L4735" t="s">
        <v>3095</v>
      </c>
      <c r="M4735" t="s">
        <v>113</v>
      </c>
      <c r="AC4735" t="s">
        <v>119</v>
      </c>
      <c r="AD4735" t="s">
        <v>113</v>
      </c>
      <c r="AE4735" t="s">
        <v>3098</v>
      </c>
      <c r="AG4735" t="s">
        <v>121</v>
      </c>
    </row>
    <row r="4736" spans="1:33" x14ac:dyDescent="0.25">
      <c r="C4736" t="s">
        <v>24291</v>
      </c>
      <c r="G4736" t="s">
        <v>24292</v>
      </c>
      <c r="J4736" t="s">
        <v>24293</v>
      </c>
      <c r="K4736" t="s">
        <v>303</v>
      </c>
      <c r="L4736" t="s">
        <v>3095</v>
      </c>
      <c r="M4736" t="s">
        <v>113</v>
      </c>
      <c r="AC4736" t="s">
        <v>119</v>
      </c>
      <c r="AD4736" t="s">
        <v>113</v>
      </c>
      <c r="AE4736" t="s">
        <v>3098</v>
      </c>
      <c r="AG4736" t="s">
        <v>121</v>
      </c>
    </row>
    <row r="4737" spans="1:33" x14ac:dyDescent="0.25">
      <c r="A4737" t="str">
        <f>"1932224763"</f>
        <v>1932224763</v>
      </c>
      <c r="C4737" t="s">
        <v>24294</v>
      </c>
      <c r="G4737" t="s">
        <v>24159</v>
      </c>
      <c r="H4737" t="s">
        <v>6328</v>
      </c>
      <c r="J4737" t="s">
        <v>24160</v>
      </c>
      <c r="K4737" t="s">
        <v>303</v>
      </c>
      <c r="L4737" t="s">
        <v>112</v>
      </c>
      <c r="M4737" t="s">
        <v>113</v>
      </c>
      <c r="R4737" t="s">
        <v>24295</v>
      </c>
      <c r="S4737" t="s">
        <v>21597</v>
      </c>
      <c r="T4737" t="s">
        <v>541</v>
      </c>
      <c r="U4737" t="s">
        <v>117</v>
      </c>
      <c r="V4737" t="str">
        <f>"140482137"</f>
        <v>140482137</v>
      </c>
      <c r="AC4737" t="s">
        <v>119</v>
      </c>
      <c r="AD4737" t="s">
        <v>113</v>
      </c>
      <c r="AE4737" t="s">
        <v>306</v>
      </c>
      <c r="AG4737" t="s">
        <v>121</v>
      </c>
    </row>
    <row r="4738" spans="1:33" x14ac:dyDescent="0.25">
      <c r="A4738" t="str">
        <f>"1053704478"</f>
        <v>1053704478</v>
      </c>
      <c r="C4738" t="s">
        <v>24296</v>
      </c>
      <c r="G4738" t="s">
        <v>20732</v>
      </c>
      <c r="H4738" t="s">
        <v>443</v>
      </c>
      <c r="J4738" t="s">
        <v>24156</v>
      </c>
      <c r="K4738" t="s">
        <v>303</v>
      </c>
      <c r="L4738" t="s">
        <v>229</v>
      </c>
      <c r="M4738" t="s">
        <v>113</v>
      </c>
      <c r="R4738" t="s">
        <v>24297</v>
      </c>
      <c r="S4738" t="s">
        <v>409</v>
      </c>
      <c r="T4738" t="s">
        <v>116</v>
      </c>
      <c r="U4738" t="s">
        <v>117</v>
      </c>
      <c r="V4738" t="str">
        <f>"142152814"</f>
        <v>142152814</v>
      </c>
      <c r="AC4738" t="s">
        <v>119</v>
      </c>
      <c r="AD4738" t="s">
        <v>113</v>
      </c>
      <c r="AE4738" t="s">
        <v>306</v>
      </c>
      <c r="AG4738" t="s">
        <v>121</v>
      </c>
    </row>
    <row r="4739" spans="1:33" x14ac:dyDescent="0.25">
      <c r="A4739" t="str">
        <f>"1407232671"</f>
        <v>1407232671</v>
      </c>
      <c r="B4739" t="str">
        <f>"04490777"</f>
        <v>04490777</v>
      </c>
      <c r="C4739" t="s">
        <v>24298</v>
      </c>
      <c r="D4739" t="s">
        <v>24299</v>
      </c>
      <c r="E4739" t="s">
        <v>24300</v>
      </c>
      <c r="G4739" t="s">
        <v>24301</v>
      </c>
      <c r="H4739" t="s">
        <v>4940</v>
      </c>
      <c r="L4739" t="s">
        <v>229</v>
      </c>
      <c r="M4739" t="s">
        <v>113</v>
      </c>
      <c r="R4739" t="s">
        <v>24302</v>
      </c>
      <c r="W4739" t="s">
        <v>24300</v>
      </c>
      <c r="AB4739" t="s">
        <v>118</v>
      </c>
      <c r="AC4739" t="s">
        <v>119</v>
      </c>
      <c r="AD4739" t="s">
        <v>113</v>
      </c>
      <c r="AE4739" t="s">
        <v>120</v>
      </c>
      <c r="AG4739" t="s">
        <v>121</v>
      </c>
    </row>
    <row r="4740" spans="1:33" x14ac:dyDescent="0.25">
      <c r="A4740" t="str">
        <f>"1639542483"</f>
        <v>1639542483</v>
      </c>
      <c r="B4740" t="str">
        <f>"04382945"</f>
        <v>04382945</v>
      </c>
      <c r="C4740" t="s">
        <v>24303</v>
      </c>
      <c r="D4740" t="s">
        <v>24304</v>
      </c>
      <c r="E4740" t="s">
        <v>24305</v>
      </c>
      <c r="G4740" t="s">
        <v>24306</v>
      </c>
      <c r="H4740" t="s">
        <v>24307</v>
      </c>
      <c r="L4740" t="s">
        <v>150</v>
      </c>
      <c r="M4740" t="s">
        <v>113</v>
      </c>
      <c r="R4740" t="s">
        <v>24308</v>
      </c>
      <c r="W4740" t="s">
        <v>24309</v>
      </c>
      <c r="X4740" t="s">
        <v>24310</v>
      </c>
      <c r="Y4740" t="s">
        <v>663</v>
      </c>
      <c r="Z4740" t="s">
        <v>117</v>
      </c>
      <c r="AA4740" t="str">
        <f>"14094-3616"</f>
        <v>14094-3616</v>
      </c>
      <c r="AB4740" t="s">
        <v>118</v>
      </c>
      <c r="AC4740" t="s">
        <v>119</v>
      </c>
      <c r="AD4740" t="s">
        <v>113</v>
      </c>
      <c r="AE4740" t="s">
        <v>120</v>
      </c>
      <c r="AG4740" t="s">
        <v>121</v>
      </c>
    </row>
    <row r="4741" spans="1:33" x14ac:dyDescent="0.25">
      <c r="C4741" t="s">
        <v>24311</v>
      </c>
      <c r="G4741" t="s">
        <v>24312</v>
      </c>
      <c r="K4741" t="s">
        <v>303</v>
      </c>
      <c r="L4741" t="s">
        <v>3095</v>
      </c>
      <c r="M4741" t="s">
        <v>113</v>
      </c>
      <c r="AC4741" t="s">
        <v>119</v>
      </c>
      <c r="AD4741" t="s">
        <v>113</v>
      </c>
      <c r="AE4741" t="s">
        <v>3098</v>
      </c>
      <c r="AG4741" t="s">
        <v>121</v>
      </c>
    </row>
    <row r="4742" spans="1:33" x14ac:dyDescent="0.25">
      <c r="C4742" t="s">
        <v>24313</v>
      </c>
      <c r="G4742" t="s">
        <v>24314</v>
      </c>
      <c r="K4742" t="s">
        <v>303</v>
      </c>
      <c r="L4742" t="s">
        <v>3095</v>
      </c>
      <c r="M4742" t="s">
        <v>113</v>
      </c>
      <c r="AC4742" t="s">
        <v>119</v>
      </c>
      <c r="AD4742" t="s">
        <v>113</v>
      </c>
      <c r="AE4742" t="s">
        <v>3098</v>
      </c>
      <c r="AG4742" t="s">
        <v>121</v>
      </c>
    </row>
    <row r="4743" spans="1:33" x14ac:dyDescent="0.25">
      <c r="A4743" t="str">
        <f>"1992108039"</f>
        <v>1992108039</v>
      </c>
      <c r="C4743" t="s">
        <v>24315</v>
      </c>
      <c r="G4743" t="s">
        <v>20732</v>
      </c>
      <c r="H4743" t="s">
        <v>443</v>
      </c>
      <c r="J4743" t="s">
        <v>24156</v>
      </c>
      <c r="K4743" t="s">
        <v>303</v>
      </c>
      <c r="L4743" t="s">
        <v>229</v>
      </c>
      <c r="M4743" t="s">
        <v>113</v>
      </c>
      <c r="R4743" t="s">
        <v>24316</v>
      </c>
      <c r="S4743" t="s">
        <v>409</v>
      </c>
      <c r="T4743" t="s">
        <v>116</v>
      </c>
      <c r="U4743" t="s">
        <v>117</v>
      </c>
      <c r="V4743" t="str">
        <f>"142152814"</f>
        <v>142152814</v>
      </c>
      <c r="AC4743" t="s">
        <v>119</v>
      </c>
      <c r="AD4743" t="s">
        <v>113</v>
      </c>
      <c r="AE4743" t="s">
        <v>306</v>
      </c>
      <c r="AG4743" t="s">
        <v>121</v>
      </c>
    </row>
    <row r="4744" spans="1:33" x14ac:dyDescent="0.25">
      <c r="A4744" t="str">
        <f>"1164478574"</f>
        <v>1164478574</v>
      </c>
      <c r="B4744" t="str">
        <f>"02225354"</f>
        <v>02225354</v>
      </c>
      <c r="C4744" t="s">
        <v>24317</v>
      </c>
      <c r="D4744" t="s">
        <v>24318</v>
      </c>
      <c r="E4744" t="s">
        <v>24319</v>
      </c>
      <c r="G4744" t="s">
        <v>20732</v>
      </c>
      <c r="H4744" t="s">
        <v>443</v>
      </c>
      <c r="J4744" t="s">
        <v>24156</v>
      </c>
      <c r="L4744" t="s">
        <v>150</v>
      </c>
      <c r="M4744" t="s">
        <v>113</v>
      </c>
      <c r="R4744" t="s">
        <v>24320</v>
      </c>
      <c r="W4744" t="s">
        <v>24319</v>
      </c>
      <c r="X4744" t="s">
        <v>10527</v>
      </c>
      <c r="Y4744" t="s">
        <v>663</v>
      </c>
      <c r="Z4744" t="s">
        <v>117</v>
      </c>
      <c r="AA4744" t="str">
        <f>"14094-5370"</f>
        <v>14094-5370</v>
      </c>
      <c r="AB4744" t="s">
        <v>118</v>
      </c>
      <c r="AC4744" t="s">
        <v>119</v>
      </c>
      <c r="AD4744" t="s">
        <v>113</v>
      </c>
      <c r="AE4744" t="s">
        <v>120</v>
      </c>
      <c r="AG4744" t="s">
        <v>121</v>
      </c>
    </row>
    <row r="4745" spans="1:33" x14ac:dyDescent="0.25">
      <c r="A4745" t="str">
        <f>"1528180080"</f>
        <v>1528180080</v>
      </c>
      <c r="B4745" t="str">
        <f>"02563844"</f>
        <v>02563844</v>
      </c>
      <c r="C4745" t="s">
        <v>24321</v>
      </c>
      <c r="D4745" t="s">
        <v>24322</v>
      </c>
      <c r="E4745" t="s">
        <v>24323</v>
      </c>
      <c r="G4745" t="s">
        <v>24324</v>
      </c>
      <c r="H4745" t="s">
        <v>24307</v>
      </c>
      <c r="L4745" t="s">
        <v>112</v>
      </c>
      <c r="M4745" t="s">
        <v>113</v>
      </c>
      <c r="R4745" t="s">
        <v>24325</v>
      </c>
      <c r="W4745" t="s">
        <v>24323</v>
      </c>
      <c r="X4745" t="s">
        <v>24323</v>
      </c>
      <c r="Y4745" t="s">
        <v>116</v>
      </c>
      <c r="Z4745" t="s">
        <v>117</v>
      </c>
      <c r="AA4745" t="str">
        <f>"14209-1806"</f>
        <v>14209-1806</v>
      </c>
      <c r="AB4745" t="s">
        <v>118</v>
      </c>
      <c r="AC4745" t="s">
        <v>119</v>
      </c>
      <c r="AD4745" t="s">
        <v>113</v>
      </c>
      <c r="AE4745" t="s">
        <v>120</v>
      </c>
      <c r="AG4745" t="s">
        <v>121</v>
      </c>
    </row>
    <row r="4746" spans="1:33" x14ac:dyDescent="0.25">
      <c r="A4746" t="str">
        <f>"1518108992"</f>
        <v>1518108992</v>
      </c>
      <c r="B4746" t="str">
        <f>"03114849"</f>
        <v>03114849</v>
      </c>
      <c r="C4746" t="s">
        <v>24326</v>
      </c>
      <c r="D4746" t="s">
        <v>24327</v>
      </c>
      <c r="E4746" t="s">
        <v>24328</v>
      </c>
      <c r="G4746" t="s">
        <v>24329</v>
      </c>
      <c r="H4746" t="s">
        <v>23444</v>
      </c>
      <c r="L4746" t="s">
        <v>112</v>
      </c>
      <c r="M4746" t="s">
        <v>113</v>
      </c>
      <c r="R4746" t="s">
        <v>24330</v>
      </c>
      <c r="W4746" t="s">
        <v>24331</v>
      </c>
      <c r="X4746" t="s">
        <v>3440</v>
      </c>
      <c r="Y4746" t="s">
        <v>116</v>
      </c>
      <c r="Z4746" t="s">
        <v>117</v>
      </c>
      <c r="AA4746" t="str">
        <f>"14215-1436"</f>
        <v>14215-1436</v>
      </c>
      <c r="AB4746" t="s">
        <v>118</v>
      </c>
      <c r="AC4746" t="s">
        <v>119</v>
      </c>
      <c r="AD4746" t="s">
        <v>113</v>
      </c>
      <c r="AE4746" t="s">
        <v>120</v>
      </c>
      <c r="AG4746" t="s">
        <v>121</v>
      </c>
    </row>
    <row r="4747" spans="1:33" x14ac:dyDescent="0.25">
      <c r="A4747" t="str">
        <f>"1912090184"</f>
        <v>1912090184</v>
      </c>
      <c r="C4747" t="s">
        <v>24332</v>
      </c>
      <c r="G4747" t="s">
        <v>24333</v>
      </c>
      <c r="H4747" t="s">
        <v>17703</v>
      </c>
      <c r="J4747" t="s">
        <v>24334</v>
      </c>
      <c r="K4747" t="s">
        <v>303</v>
      </c>
      <c r="L4747" t="s">
        <v>229</v>
      </c>
      <c r="M4747" t="s">
        <v>113</v>
      </c>
      <c r="R4747" t="s">
        <v>17699</v>
      </c>
      <c r="S4747" t="s">
        <v>9256</v>
      </c>
      <c r="T4747" t="s">
        <v>9257</v>
      </c>
      <c r="U4747" t="s">
        <v>117</v>
      </c>
      <c r="V4747" t="str">
        <f>"14742"</f>
        <v>14742</v>
      </c>
      <c r="AC4747" t="s">
        <v>119</v>
      </c>
      <c r="AD4747" t="s">
        <v>113</v>
      </c>
      <c r="AE4747" t="s">
        <v>306</v>
      </c>
      <c r="AG4747" t="s">
        <v>121</v>
      </c>
    </row>
    <row r="4748" spans="1:33" x14ac:dyDescent="0.25">
      <c r="A4748" t="str">
        <f>"1932105053"</f>
        <v>1932105053</v>
      </c>
      <c r="C4748" t="s">
        <v>24332</v>
      </c>
      <c r="G4748" t="s">
        <v>24333</v>
      </c>
      <c r="H4748" t="s">
        <v>17703</v>
      </c>
      <c r="J4748" t="s">
        <v>24334</v>
      </c>
      <c r="K4748" t="s">
        <v>303</v>
      </c>
      <c r="L4748" t="s">
        <v>229</v>
      </c>
      <c r="M4748" t="s">
        <v>113</v>
      </c>
      <c r="R4748" t="s">
        <v>24335</v>
      </c>
      <c r="S4748" t="s">
        <v>20722</v>
      </c>
      <c r="T4748" t="s">
        <v>2247</v>
      </c>
      <c r="U4748" t="s">
        <v>117</v>
      </c>
      <c r="V4748" t="str">
        <f>"147409562"</f>
        <v>147409562</v>
      </c>
      <c r="AC4748" t="s">
        <v>119</v>
      </c>
      <c r="AD4748" t="s">
        <v>113</v>
      </c>
      <c r="AE4748" t="s">
        <v>306</v>
      </c>
      <c r="AG4748" t="s">
        <v>121</v>
      </c>
    </row>
    <row r="4749" spans="1:33" x14ac:dyDescent="0.25">
      <c r="A4749" t="str">
        <f>"1881669281"</f>
        <v>1881669281</v>
      </c>
      <c r="B4749" t="str">
        <f>"01564007"</f>
        <v>01564007</v>
      </c>
      <c r="C4749" t="s">
        <v>24336</v>
      </c>
      <c r="D4749" t="s">
        <v>24337</v>
      </c>
      <c r="E4749" t="s">
        <v>24338</v>
      </c>
      <c r="G4749" t="s">
        <v>20732</v>
      </c>
      <c r="H4749" t="s">
        <v>443</v>
      </c>
      <c r="J4749" t="s">
        <v>24156</v>
      </c>
      <c r="L4749" t="s">
        <v>1033</v>
      </c>
      <c r="M4749" t="s">
        <v>113</v>
      </c>
      <c r="R4749" t="s">
        <v>24339</v>
      </c>
      <c r="W4749" t="s">
        <v>24338</v>
      </c>
      <c r="X4749" t="s">
        <v>4077</v>
      </c>
      <c r="Y4749" t="s">
        <v>663</v>
      </c>
      <c r="Z4749" t="s">
        <v>117</v>
      </c>
      <c r="AA4749" t="str">
        <f>"14094-5338"</f>
        <v>14094-5338</v>
      </c>
      <c r="AB4749" t="s">
        <v>118</v>
      </c>
      <c r="AC4749" t="s">
        <v>119</v>
      </c>
      <c r="AD4749" t="s">
        <v>113</v>
      </c>
      <c r="AE4749" t="s">
        <v>120</v>
      </c>
      <c r="AG4749" t="s">
        <v>121</v>
      </c>
    </row>
    <row r="4750" spans="1:33" x14ac:dyDescent="0.25">
      <c r="A4750" t="str">
        <f>"1376952945"</f>
        <v>1376952945</v>
      </c>
      <c r="B4750" t="str">
        <f>"04306369"</f>
        <v>04306369</v>
      </c>
      <c r="C4750" t="s">
        <v>24340</v>
      </c>
      <c r="D4750" t="s">
        <v>24341</v>
      </c>
      <c r="E4750" t="s">
        <v>24342</v>
      </c>
      <c r="G4750" t="s">
        <v>24343</v>
      </c>
      <c r="H4750" t="s">
        <v>24344</v>
      </c>
      <c r="L4750" t="s">
        <v>728</v>
      </c>
      <c r="M4750" t="s">
        <v>113</v>
      </c>
      <c r="R4750" t="s">
        <v>24345</v>
      </c>
      <c r="W4750" t="s">
        <v>24342</v>
      </c>
      <c r="X4750" t="s">
        <v>253</v>
      </c>
      <c r="Y4750" t="s">
        <v>116</v>
      </c>
      <c r="Z4750" t="s">
        <v>117</v>
      </c>
      <c r="AA4750" t="str">
        <f>"14215-3021"</f>
        <v>14215-3021</v>
      </c>
      <c r="AB4750" t="s">
        <v>118</v>
      </c>
      <c r="AC4750" t="s">
        <v>119</v>
      </c>
      <c r="AD4750" t="s">
        <v>113</v>
      </c>
      <c r="AE4750" t="s">
        <v>120</v>
      </c>
      <c r="AG4750" t="s">
        <v>121</v>
      </c>
    </row>
    <row r="4751" spans="1:33" x14ac:dyDescent="0.25">
      <c r="A4751" t="str">
        <f>"1144222340"</f>
        <v>1144222340</v>
      </c>
      <c r="B4751" t="str">
        <f>"01687301"</f>
        <v>01687301</v>
      </c>
      <c r="C4751" t="s">
        <v>24346</v>
      </c>
      <c r="D4751" t="s">
        <v>24347</v>
      </c>
      <c r="E4751" t="s">
        <v>24348</v>
      </c>
      <c r="G4751" t="s">
        <v>24349</v>
      </c>
      <c r="H4751" t="s">
        <v>24350</v>
      </c>
      <c r="L4751" t="s">
        <v>150</v>
      </c>
      <c r="M4751" t="s">
        <v>113</v>
      </c>
      <c r="R4751" t="s">
        <v>24351</v>
      </c>
      <c r="W4751" t="s">
        <v>24348</v>
      </c>
      <c r="X4751" t="s">
        <v>24352</v>
      </c>
      <c r="Y4751" t="s">
        <v>1767</v>
      </c>
      <c r="Z4751" t="s">
        <v>117</v>
      </c>
      <c r="AA4751" t="str">
        <f>"14779-1924"</f>
        <v>14779-1924</v>
      </c>
      <c r="AB4751" t="s">
        <v>118</v>
      </c>
      <c r="AC4751" t="s">
        <v>119</v>
      </c>
      <c r="AD4751" t="s">
        <v>113</v>
      </c>
      <c r="AE4751" t="s">
        <v>120</v>
      </c>
      <c r="AG4751" t="s">
        <v>121</v>
      </c>
    </row>
    <row r="4752" spans="1:33" x14ac:dyDescent="0.25">
      <c r="C4752" t="s">
        <v>24353</v>
      </c>
      <c r="H4752" t="s">
        <v>24354</v>
      </c>
      <c r="K4752" t="s">
        <v>303</v>
      </c>
      <c r="L4752" t="s">
        <v>3095</v>
      </c>
      <c r="M4752" t="s">
        <v>113</v>
      </c>
      <c r="N4752" t="s">
        <v>24355</v>
      </c>
      <c r="O4752" t="s">
        <v>3097</v>
      </c>
      <c r="P4752" t="s">
        <v>117</v>
      </c>
      <c r="Q4752" t="str">
        <f>"14215"</f>
        <v>14215</v>
      </c>
      <c r="AC4752" t="s">
        <v>119</v>
      </c>
      <c r="AD4752" t="s">
        <v>113</v>
      </c>
      <c r="AE4752" t="s">
        <v>3098</v>
      </c>
      <c r="AG4752" t="s">
        <v>121</v>
      </c>
    </row>
    <row r="4753" spans="1:33" x14ac:dyDescent="0.25">
      <c r="A4753" t="str">
        <f>"1184017410"</f>
        <v>1184017410</v>
      </c>
      <c r="C4753" t="s">
        <v>24356</v>
      </c>
      <c r="G4753" t="s">
        <v>20732</v>
      </c>
      <c r="H4753" t="s">
        <v>443</v>
      </c>
      <c r="J4753" t="s">
        <v>24156</v>
      </c>
      <c r="K4753" t="s">
        <v>303</v>
      </c>
      <c r="L4753" t="s">
        <v>229</v>
      </c>
      <c r="M4753" t="s">
        <v>113</v>
      </c>
      <c r="R4753" t="s">
        <v>24357</v>
      </c>
      <c r="S4753" t="s">
        <v>409</v>
      </c>
      <c r="T4753" t="s">
        <v>116</v>
      </c>
      <c r="U4753" t="s">
        <v>117</v>
      </c>
      <c r="V4753" t="str">
        <f>"142152814"</f>
        <v>142152814</v>
      </c>
      <c r="AC4753" t="s">
        <v>119</v>
      </c>
      <c r="AD4753" t="s">
        <v>113</v>
      </c>
      <c r="AE4753" t="s">
        <v>306</v>
      </c>
      <c r="AG4753" t="s">
        <v>121</v>
      </c>
    </row>
    <row r="4754" spans="1:33" x14ac:dyDescent="0.25">
      <c r="A4754" t="str">
        <f>"1124424353"</f>
        <v>1124424353</v>
      </c>
      <c r="C4754" t="s">
        <v>24358</v>
      </c>
      <c r="G4754" t="s">
        <v>20732</v>
      </c>
      <c r="H4754" t="s">
        <v>443</v>
      </c>
      <c r="J4754" t="s">
        <v>24156</v>
      </c>
      <c r="K4754" t="s">
        <v>303</v>
      </c>
      <c r="L4754" t="s">
        <v>229</v>
      </c>
      <c r="M4754" t="s">
        <v>113</v>
      </c>
      <c r="R4754" t="s">
        <v>24359</v>
      </c>
      <c r="S4754" t="s">
        <v>409</v>
      </c>
      <c r="T4754" t="s">
        <v>116</v>
      </c>
      <c r="U4754" t="s">
        <v>117</v>
      </c>
      <c r="V4754" t="str">
        <f>"142152814"</f>
        <v>142152814</v>
      </c>
      <c r="AC4754" t="s">
        <v>119</v>
      </c>
      <c r="AD4754" t="s">
        <v>113</v>
      </c>
      <c r="AE4754" t="s">
        <v>306</v>
      </c>
      <c r="AG4754" t="s">
        <v>121</v>
      </c>
    </row>
    <row r="4755" spans="1:33" x14ac:dyDescent="0.25">
      <c r="A4755" t="str">
        <f>"1770707689"</f>
        <v>1770707689</v>
      </c>
      <c r="B4755" t="str">
        <f>"02892831"</f>
        <v>02892831</v>
      </c>
      <c r="C4755" t="s">
        <v>24242</v>
      </c>
      <c r="D4755" t="s">
        <v>24360</v>
      </c>
      <c r="E4755" t="s">
        <v>24361</v>
      </c>
      <c r="G4755" t="s">
        <v>24362</v>
      </c>
      <c r="H4755" t="s">
        <v>13301</v>
      </c>
      <c r="L4755" t="s">
        <v>142</v>
      </c>
      <c r="M4755" t="s">
        <v>113</v>
      </c>
      <c r="R4755" t="s">
        <v>24363</v>
      </c>
      <c r="W4755" t="s">
        <v>24361</v>
      </c>
      <c r="AB4755" t="s">
        <v>118</v>
      </c>
      <c r="AC4755" t="s">
        <v>119</v>
      </c>
      <c r="AD4755" t="s">
        <v>113</v>
      </c>
      <c r="AE4755" t="s">
        <v>120</v>
      </c>
      <c r="AG4755" t="s">
        <v>121</v>
      </c>
    </row>
    <row r="4756" spans="1:33" x14ac:dyDescent="0.25">
      <c r="A4756" t="str">
        <f>"1821060583"</f>
        <v>1821060583</v>
      </c>
      <c r="B4756" t="str">
        <f>"02102192"</f>
        <v>02102192</v>
      </c>
      <c r="C4756" t="s">
        <v>24364</v>
      </c>
      <c r="D4756" t="s">
        <v>24365</v>
      </c>
      <c r="E4756" t="s">
        <v>24366</v>
      </c>
      <c r="G4756" t="s">
        <v>24367</v>
      </c>
      <c r="H4756" t="s">
        <v>24368</v>
      </c>
      <c r="L4756" t="s">
        <v>150</v>
      </c>
      <c r="M4756" t="s">
        <v>199</v>
      </c>
      <c r="R4756" t="s">
        <v>24369</v>
      </c>
      <c r="W4756" t="s">
        <v>24370</v>
      </c>
      <c r="X4756" t="s">
        <v>24371</v>
      </c>
      <c r="Y4756" t="s">
        <v>1248</v>
      </c>
      <c r="Z4756" t="s">
        <v>117</v>
      </c>
      <c r="AA4756" t="str">
        <f>"14870-9705"</f>
        <v>14870-9705</v>
      </c>
      <c r="AB4756" t="s">
        <v>118</v>
      </c>
      <c r="AC4756" t="s">
        <v>119</v>
      </c>
      <c r="AD4756" t="s">
        <v>113</v>
      </c>
      <c r="AE4756" t="s">
        <v>120</v>
      </c>
      <c r="AG4756" t="s">
        <v>121</v>
      </c>
    </row>
    <row r="4757" spans="1:33" x14ac:dyDescent="0.25">
      <c r="A4757" t="str">
        <f>"1346291408"</f>
        <v>1346291408</v>
      </c>
      <c r="B4757" t="str">
        <f>"02344118"</f>
        <v>02344118</v>
      </c>
      <c r="C4757" t="s">
        <v>24372</v>
      </c>
      <c r="D4757" t="s">
        <v>24373</v>
      </c>
      <c r="E4757" t="s">
        <v>24374</v>
      </c>
      <c r="G4757" t="s">
        <v>24375</v>
      </c>
      <c r="H4757" t="s">
        <v>4189</v>
      </c>
      <c r="L4757" t="s">
        <v>142</v>
      </c>
      <c r="M4757" t="s">
        <v>113</v>
      </c>
      <c r="R4757" t="s">
        <v>24376</v>
      </c>
      <c r="W4757" t="s">
        <v>24374</v>
      </c>
      <c r="X4757" t="s">
        <v>6632</v>
      </c>
      <c r="Y4757" t="s">
        <v>326</v>
      </c>
      <c r="Z4757" t="s">
        <v>117</v>
      </c>
      <c r="AA4757" t="str">
        <f>"14127-4116"</f>
        <v>14127-4116</v>
      </c>
      <c r="AB4757" t="s">
        <v>118</v>
      </c>
      <c r="AC4757" t="s">
        <v>119</v>
      </c>
      <c r="AD4757" t="s">
        <v>113</v>
      </c>
      <c r="AE4757" t="s">
        <v>120</v>
      </c>
      <c r="AG4757" t="s">
        <v>121</v>
      </c>
    </row>
    <row r="4758" spans="1:33" x14ac:dyDescent="0.25">
      <c r="C4758" t="s">
        <v>24144</v>
      </c>
      <c r="G4758" t="s">
        <v>24377</v>
      </c>
      <c r="H4758" t="s">
        <v>4837</v>
      </c>
      <c r="K4758" t="s">
        <v>303</v>
      </c>
      <c r="L4758" t="s">
        <v>3095</v>
      </c>
      <c r="M4758" t="s">
        <v>113</v>
      </c>
      <c r="N4758" t="s">
        <v>24378</v>
      </c>
      <c r="O4758" t="s">
        <v>24379</v>
      </c>
      <c r="P4758" t="s">
        <v>117</v>
      </c>
      <c r="Q4758" t="str">
        <f>"14070"</f>
        <v>14070</v>
      </c>
      <c r="AC4758" t="s">
        <v>119</v>
      </c>
      <c r="AD4758" t="s">
        <v>113</v>
      </c>
      <c r="AE4758" t="s">
        <v>3098</v>
      </c>
      <c r="AG4758" t="s">
        <v>121</v>
      </c>
    </row>
    <row r="4759" spans="1:33" x14ac:dyDescent="0.25">
      <c r="A4759" t="str">
        <f>"1285774885"</f>
        <v>1285774885</v>
      </c>
      <c r="C4759" t="s">
        <v>24380</v>
      </c>
      <c r="G4759" t="s">
        <v>18939</v>
      </c>
      <c r="H4759" t="s">
        <v>17930</v>
      </c>
      <c r="J4759" t="s">
        <v>24381</v>
      </c>
      <c r="K4759" t="s">
        <v>303</v>
      </c>
      <c r="L4759" t="s">
        <v>229</v>
      </c>
      <c r="M4759" t="s">
        <v>113</v>
      </c>
      <c r="R4759" t="s">
        <v>24382</v>
      </c>
      <c r="S4759" t="s">
        <v>21373</v>
      </c>
      <c r="T4759" t="s">
        <v>1872</v>
      </c>
      <c r="U4759" t="s">
        <v>117</v>
      </c>
      <c r="V4759" t="str">
        <f>"141329014"</f>
        <v>141329014</v>
      </c>
      <c r="AC4759" t="s">
        <v>119</v>
      </c>
      <c r="AD4759" t="s">
        <v>113</v>
      </c>
      <c r="AE4759" t="s">
        <v>306</v>
      </c>
      <c r="AG4759" t="s">
        <v>121</v>
      </c>
    </row>
    <row r="4760" spans="1:33" x14ac:dyDescent="0.25">
      <c r="A4760" t="str">
        <f>"1295131563"</f>
        <v>1295131563</v>
      </c>
      <c r="C4760" t="s">
        <v>24383</v>
      </c>
      <c r="G4760" t="s">
        <v>20732</v>
      </c>
      <c r="H4760" t="s">
        <v>443</v>
      </c>
      <c r="J4760" t="s">
        <v>24156</v>
      </c>
      <c r="K4760" t="s">
        <v>303</v>
      </c>
      <c r="L4760" t="s">
        <v>112</v>
      </c>
      <c r="M4760" t="s">
        <v>113</v>
      </c>
      <c r="R4760" t="s">
        <v>24384</v>
      </c>
      <c r="S4760" t="s">
        <v>409</v>
      </c>
      <c r="T4760" t="s">
        <v>116</v>
      </c>
      <c r="U4760" t="s">
        <v>117</v>
      </c>
      <c r="V4760" t="str">
        <f>"142152814"</f>
        <v>142152814</v>
      </c>
      <c r="AC4760" t="s">
        <v>119</v>
      </c>
      <c r="AD4760" t="s">
        <v>113</v>
      </c>
      <c r="AE4760" t="s">
        <v>306</v>
      </c>
      <c r="AG4760" t="s">
        <v>121</v>
      </c>
    </row>
    <row r="4761" spans="1:33" x14ac:dyDescent="0.25">
      <c r="A4761" t="str">
        <f>"1366801698"</f>
        <v>1366801698</v>
      </c>
      <c r="B4761" t="str">
        <f>"04393248"</f>
        <v>04393248</v>
      </c>
      <c r="C4761" t="s">
        <v>24230</v>
      </c>
      <c r="D4761" t="s">
        <v>24385</v>
      </c>
      <c r="E4761" t="s">
        <v>24386</v>
      </c>
      <c r="G4761" t="s">
        <v>24387</v>
      </c>
      <c r="H4761" t="s">
        <v>272</v>
      </c>
      <c r="L4761" t="s">
        <v>150</v>
      </c>
      <c r="M4761" t="s">
        <v>113</v>
      </c>
      <c r="R4761" t="s">
        <v>24388</v>
      </c>
      <c r="W4761" t="s">
        <v>24386</v>
      </c>
      <c r="X4761" t="s">
        <v>15760</v>
      </c>
      <c r="Y4761" t="s">
        <v>116</v>
      </c>
      <c r="Z4761" t="s">
        <v>117</v>
      </c>
      <c r="AA4761" t="str">
        <f>"14207-1816"</f>
        <v>14207-1816</v>
      </c>
      <c r="AB4761" t="s">
        <v>118</v>
      </c>
      <c r="AC4761" t="s">
        <v>119</v>
      </c>
      <c r="AD4761" t="s">
        <v>113</v>
      </c>
      <c r="AE4761" t="s">
        <v>120</v>
      </c>
      <c r="AG4761" t="s">
        <v>121</v>
      </c>
    </row>
    <row r="4762" spans="1:33" x14ac:dyDescent="0.25">
      <c r="C4762" t="s">
        <v>24389</v>
      </c>
      <c r="G4762" t="s">
        <v>24390</v>
      </c>
      <c r="H4762" t="s">
        <v>23444</v>
      </c>
      <c r="K4762" t="s">
        <v>303</v>
      </c>
      <c r="L4762" t="s">
        <v>3095</v>
      </c>
      <c r="M4762" t="s">
        <v>113</v>
      </c>
      <c r="N4762" t="s">
        <v>24391</v>
      </c>
      <c r="O4762" t="s">
        <v>19880</v>
      </c>
      <c r="P4762" t="s">
        <v>117</v>
      </c>
      <c r="Q4762" t="str">
        <f>"14226"</f>
        <v>14226</v>
      </c>
      <c r="AC4762" t="s">
        <v>119</v>
      </c>
      <c r="AD4762" t="s">
        <v>113</v>
      </c>
      <c r="AE4762" t="s">
        <v>3098</v>
      </c>
      <c r="AG4762" t="s">
        <v>121</v>
      </c>
    </row>
    <row r="4763" spans="1:33" x14ac:dyDescent="0.25">
      <c r="A4763" t="str">
        <f>"1093190639"</f>
        <v>1093190639</v>
      </c>
      <c r="B4763" t="str">
        <f>"04405414"</f>
        <v>04405414</v>
      </c>
      <c r="C4763" t="s">
        <v>24230</v>
      </c>
      <c r="D4763" t="s">
        <v>24392</v>
      </c>
      <c r="E4763" t="s">
        <v>24393</v>
      </c>
      <c r="G4763" t="s">
        <v>24394</v>
      </c>
      <c r="H4763" t="s">
        <v>744</v>
      </c>
      <c r="L4763" t="s">
        <v>150</v>
      </c>
      <c r="M4763" t="s">
        <v>113</v>
      </c>
      <c r="R4763" t="s">
        <v>24395</v>
      </c>
      <c r="W4763" t="s">
        <v>24393</v>
      </c>
      <c r="X4763" t="s">
        <v>966</v>
      </c>
      <c r="Y4763" t="s">
        <v>116</v>
      </c>
      <c r="Z4763" t="s">
        <v>117</v>
      </c>
      <c r="AA4763" t="str">
        <f>"14207-1816"</f>
        <v>14207-1816</v>
      </c>
      <c r="AB4763" t="s">
        <v>118</v>
      </c>
      <c r="AC4763" t="s">
        <v>119</v>
      </c>
      <c r="AD4763" t="s">
        <v>113</v>
      </c>
      <c r="AE4763" t="s">
        <v>120</v>
      </c>
      <c r="AG4763" t="s">
        <v>121</v>
      </c>
    </row>
    <row r="4764" spans="1:33" x14ac:dyDescent="0.25">
      <c r="A4764" t="str">
        <f>"1952370017"</f>
        <v>1952370017</v>
      </c>
      <c r="B4764" t="str">
        <f>"00193953"</f>
        <v>00193953</v>
      </c>
      <c r="C4764" t="s">
        <v>24197</v>
      </c>
      <c r="D4764" t="s">
        <v>24396</v>
      </c>
      <c r="E4764" t="s">
        <v>24397</v>
      </c>
      <c r="G4764" t="s">
        <v>24398</v>
      </c>
      <c r="H4764" t="s">
        <v>24201</v>
      </c>
      <c r="L4764" t="s">
        <v>112</v>
      </c>
      <c r="M4764" t="s">
        <v>113</v>
      </c>
      <c r="R4764" t="s">
        <v>24399</v>
      </c>
      <c r="W4764" t="s">
        <v>24397</v>
      </c>
      <c r="X4764" t="s">
        <v>24400</v>
      </c>
      <c r="Y4764" t="s">
        <v>116</v>
      </c>
      <c r="Z4764" t="s">
        <v>117</v>
      </c>
      <c r="AA4764" t="str">
        <f>"14215-3098"</f>
        <v>14215-3098</v>
      </c>
      <c r="AB4764" t="s">
        <v>118</v>
      </c>
      <c r="AC4764" t="s">
        <v>119</v>
      </c>
      <c r="AD4764" t="s">
        <v>113</v>
      </c>
      <c r="AE4764" t="s">
        <v>120</v>
      </c>
      <c r="AG4764" t="s">
        <v>121</v>
      </c>
    </row>
    <row r="4765" spans="1:33" x14ac:dyDescent="0.25">
      <c r="C4765" t="s">
        <v>24401</v>
      </c>
      <c r="K4765" t="s">
        <v>303</v>
      </c>
      <c r="L4765" t="s">
        <v>3095</v>
      </c>
      <c r="M4765" t="s">
        <v>113</v>
      </c>
      <c r="AC4765" t="s">
        <v>119</v>
      </c>
      <c r="AD4765" t="s">
        <v>113</v>
      </c>
      <c r="AE4765" t="s">
        <v>3098</v>
      </c>
      <c r="AG4765" t="s">
        <v>121</v>
      </c>
    </row>
    <row r="4766" spans="1:33" x14ac:dyDescent="0.25">
      <c r="C4766" t="s">
        <v>24402</v>
      </c>
      <c r="K4766" t="s">
        <v>303</v>
      </c>
      <c r="L4766" t="s">
        <v>3095</v>
      </c>
      <c r="M4766" t="s">
        <v>113</v>
      </c>
      <c r="AC4766" t="s">
        <v>119</v>
      </c>
      <c r="AD4766" t="s">
        <v>113</v>
      </c>
      <c r="AE4766" t="s">
        <v>3098</v>
      </c>
      <c r="AG4766" t="s">
        <v>121</v>
      </c>
    </row>
    <row r="4767" spans="1:33" x14ac:dyDescent="0.25">
      <c r="A4767" t="str">
        <f>"1114978103"</f>
        <v>1114978103</v>
      </c>
      <c r="B4767" t="str">
        <f>"02552927"</f>
        <v>02552927</v>
      </c>
      <c r="C4767" t="s">
        <v>24403</v>
      </c>
      <c r="D4767" t="s">
        <v>24404</v>
      </c>
      <c r="E4767" t="s">
        <v>24405</v>
      </c>
      <c r="G4767" t="s">
        <v>24406</v>
      </c>
      <c r="H4767" t="s">
        <v>24407</v>
      </c>
      <c r="L4767" t="s">
        <v>142</v>
      </c>
      <c r="M4767" t="s">
        <v>113</v>
      </c>
      <c r="R4767" t="s">
        <v>24408</v>
      </c>
      <c r="W4767" t="s">
        <v>24405</v>
      </c>
      <c r="X4767" t="s">
        <v>10576</v>
      </c>
      <c r="Y4767" t="s">
        <v>958</v>
      </c>
      <c r="Z4767" t="s">
        <v>117</v>
      </c>
      <c r="AA4767" t="str">
        <f>"14226-2547"</f>
        <v>14226-2547</v>
      </c>
      <c r="AB4767" t="s">
        <v>118</v>
      </c>
      <c r="AC4767" t="s">
        <v>119</v>
      </c>
      <c r="AD4767" t="s">
        <v>113</v>
      </c>
      <c r="AE4767" t="s">
        <v>120</v>
      </c>
      <c r="AG4767" t="s">
        <v>121</v>
      </c>
    </row>
    <row r="4768" spans="1:33" x14ac:dyDescent="0.25">
      <c r="A4768" t="str">
        <f>"1740314335"</f>
        <v>1740314335</v>
      </c>
      <c r="B4768" t="str">
        <f>"01314396"</f>
        <v>01314396</v>
      </c>
      <c r="C4768" t="s">
        <v>24202</v>
      </c>
      <c r="D4768" t="s">
        <v>24409</v>
      </c>
      <c r="E4768" t="s">
        <v>24410</v>
      </c>
      <c r="G4768" t="s">
        <v>24411</v>
      </c>
      <c r="H4768" t="s">
        <v>744</v>
      </c>
      <c r="L4768" t="s">
        <v>150</v>
      </c>
      <c r="M4768" t="s">
        <v>199</v>
      </c>
      <c r="R4768" t="s">
        <v>24412</v>
      </c>
      <c r="W4768" t="s">
        <v>24410</v>
      </c>
      <c r="X4768" t="s">
        <v>2619</v>
      </c>
      <c r="Y4768" t="s">
        <v>116</v>
      </c>
      <c r="Z4768" t="s">
        <v>117</v>
      </c>
      <c r="AA4768" t="str">
        <f>"14228-2044"</f>
        <v>14228-2044</v>
      </c>
      <c r="AB4768" t="s">
        <v>118</v>
      </c>
      <c r="AC4768" t="s">
        <v>119</v>
      </c>
      <c r="AD4768" t="s">
        <v>113</v>
      </c>
      <c r="AE4768" t="s">
        <v>120</v>
      </c>
      <c r="AG4768" t="s">
        <v>121</v>
      </c>
    </row>
    <row r="4769" spans="1:33" x14ac:dyDescent="0.25">
      <c r="A4769" t="str">
        <f>"1457768483"</f>
        <v>1457768483</v>
      </c>
      <c r="B4769" t="str">
        <f>"03974870"</f>
        <v>03974870</v>
      </c>
      <c r="C4769" t="s">
        <v>24413</v>
      </c>
      <c r="D4769" t="s">
        <v>24414</v>
      </c>
      <c r="E4769" t="s">
        <v>24415</v>
      </c>
      <c r="G4769" t="s">
        <v>24416</v>
      </c>
      <c r="H4769" t="s">
        <v>24417</v>
      </c>
      <c r="L4769" t="s">
        <v>142</v>
      </c>
      <c r="M4769" t="s">
        <v>113</v>
      </c>
      <c r="R4769" t="s">
        <v>24418</v>
      </c>
      <c r="W4769" t="s">
        <v>24415</v>
      </c>
      <c r="X4769" t="s">
        <v>24419</v>
      </c>
      <c r="Y4769" t="s">
        <v>2946</v>
      </c>
      <c r="Z4769" t="s">
        <v>117</v>
      </c>
      <c r="AA4769" t="str">
        <f>"14075-4915"</f>
        <v>14075-4915</v>
      </c>
      <c r="AB4769" t="s">
        <v>118</v>
      </c>
      <c r="AC4769" t="s">
        <v>119</v>
      </c>
      <c r="AD4769" t="s">
        <v>113</v>
      </c>
      <c r="AE4769" t="s">
        <v>120</v>
      </c>
      <c r="AG4769" t="s">
        <v>121</v>
      </c>
    </row>
    <row r="4770" spans="1:33" x14ac:dyDescent="0.25">
      <c r="C4770" t="s">
        <v>24420</v>
      </c>
      <c r="G4770" t="s">
        <v>24421</v>
      </c>
      <c r="J4770" t="s">
        <v>24422</v>
      </c>
      <c r="K4770" t="s">
        <v>303</v>
      </c>
      <c r="L4770" t="s">
        <v>3095</v>
      </c>
      <c r="M4770" t="s">
        <v>113</v>
      </c>
      <c r="AC4770" t="s">
        <v>119</v>
      </c>
      <c r="AD4770" t="s">
        <v>113</v>
      </c>
      <c r="AE4770" t="s">
        <v>3098</v>
      </c>
      <c r="AG4770" t="s">
        <v>121</v>
      </c>
    </row>
    <row r="4771" spans="1:33" x14ac:dyDescent="0.25">
      <c r="A4771" t="str">
        <f>"1184897563"</f>
        <v>1184897563</v>
      </c>
      <c r="C4771" t="s">
        <v>24423</v>
      </c>
      <c r="G4771" t="s">
        <v>18939</v>
      </c>
      <c r="H4771" t="s">
        <v>17930</v>
      </c>
      <c r="J4771" t="s">
        <v>24160</v>
      </c>
      <c r="K4771" t="s">
        <v>303</v>
      </c>
      <c r="L4771" t="s">
        <v>229</v>
      </c>
      <c r="M4771" t="s">
        <v>113</v>
      </c>
      <c r="R4771" t="s">
        <v>24424</v>
      </c>
      <c r="S4771" t="s">
        <v>24425</v>
      </c>
      <c r="T4771" t="s">
        <v>116</v>
      </c>
      <c r="U4771" t="s">
        <v>117</v>
      </c>
      <c r="V4771" t="str">
        <f>"14213"</f>
        <v>14213</v>
      </c>
      <c r="AC4771" t="s">
        <v>119</v>
      </c>
      <c r="AD4771" t="s">
        <v>113</v>
      </c>
      <c r="AE4771" t="s">
        <v>306</v>
      </c>
      <c r="AG4771" t="s">
        <v>121</v>
      </c>
    </row>
    <row r="4772" spans="1:33" x14ac:dyDescent="0.25">
      <c r="A4772" t="str">
        <f>"1811929524"</f>
        <v>1811929524</v>
      </c>
      <c r="B4772" t="str">
        <f>"02689930"</f>
        <v>02689930</v>
      </c>
      <c r="C4772" t="s">
        <v>24426</v>
      </c>
      <c r="D4772" t="s">
        <v>24427</v>
      </c>
      <c r="E4772" t="s">
        <v>24428</v>
      </c>
      <c r="G4772" t="s">
        <v>20732</v>
      </c>
      <c r="H4772" t="s">
        <v>443</v>
      </c>
      <c r="J4772" t="s">
        <v>24156</v>
      </c>
      <c r="L4772" t="s">
        <v>1033</v>
      </c>
      <c r="M4772" t="s">
        <v>199</v>
      </c>
      <c r="R4772" t="s">
        <v>24429</v>
      </c>
      <c r="W4772" t="s">
        <v>24428</v>
      </c>
      <c r="X4772" t="s">
        <v>17611</v>
      </c>
      <c r="Y4772" t="s">
        <v>116</v>
      </c>
      <c r="Z4772" t="s">
        <v>117</v>
      </c>
      <c r="AA4772" t="str">
        <f>"14215"</f>
        <v>14215</v>
      </c>
      <c r="AB4772" t="s">
        <v>118</v>
      </c>
      <c r="AC4772" t="s">
        <v>119</v>
      </c>
      <c r="AD4772" t="s">
        <v>113</v>
      </c>
      <c r="AE4772" t="s">
        <v>120</v>
      </c>
      <c r="AG4772" t="s">
        <v>121</v>
      </c>
    </row>
    <row r="4773" spans="1:33" x14ac:dyDescent="0.25">
      <c r="A4773" t="str">
        <f>"1235528738"</f>
        <v>1235528738</v>
      </c>
      <c r="B4773" t="str">
        <f>"04243532"</f>
        <v>04243532</v>
      </c>
      <c r="C4773" t="s">
        <v>24430</v>
      </c>
      <c r="D4773" t="s">
        <v>24431</v>
      </c>
      <c r="E4773" t="s">
        <v>24432</v>
      </c>
      <c r="G4773" t="s">
        <v>24433</v>
      </c>
      <c r="H4773" t="s">
        <v>1050</v>
      </c>
      <c r="L4773" t="s">
        <v>142</v>
      </c>
      <c r="M4773" t="s">
        <v>113</v>
      </c>
      <c r="R4773" t="s">
        <v>24434</v>
      </c>
      <c r="W4773" t="s">
        <v>24432</v>
      </c>
      <c r="X4773" t="s">
        <v>24435</v>
      </c>
      <c r="Y4773" t="s">
        <v>4071</v>
      </c>
      <c r="Z4773" t="s">
        <v>117</v>
      </c>
      <c r="AA4773" t="str">
        <f>"14070-1143"</f>
        <v>14070-1143</v>
      </c>
      <c r="AB4773" t="s">
        <v>118</v>
      </c>
      <c r="AC4773" t="s">
        <v>119</v>
      </c>
      <c r="AD4773" t="s">
        <v>113</v>
      </c>
      <c r="AE4773" t="s">
        <v>120</v>
      </c>
      <c r="AG4773" t="s">
        <v>121</v>
      </c>
    </row>
    <row r="4774" spans="1:33" x14ac:dyDescent="0.25">
      <c r="A4774" t="str">
        <f>"1841444221"</f>
        <v>1841444221</v>
      </c>
      <c r="B4774" t="str">
        <f>"02347051"</f>
        <v>02347051</v>
      </c>
      <c r="C4774" t="s">
        <v>24230</v>
      </c>
      <c r="D4774" t="s">
        <v>24436</v>
      </c>
      <c r="E4774" t="s">
        <v>24437</v>
      </c>
      <c r="G4774" t="s">
        <v>24438</v>
      </c>
      <c r="H4774" t="s">
        <v>744</v>
      </c>
      <c r="L4774" t="s">
        <v>150</v>
      </c>
      <c r="M4774" t="s">
        <v>113</v>
      </c>
      <c r="R4774" t="s">
        <v>24439</v>
      </c>
      <c r="W4774" t="s">
        <v>24437</v>
      </c>
      <c r="X4774" t="s">
        <v>24437</v>
      </c>
      <c r="Y4774" t="s">
        <v>4695</v>
      </c>
      <c r="Z4774" t="s">
        <v>117</v>
      </c>
      <c r="AA4774" t="str">
        <f>"14105-1027"</f>
        <v>14105-1027</v>
      </c>
      <c r="AB4774" t="s">
        <v>118</v>
      </c>
      <c r="AC4774" t="s">
        <v>119</v>
      </c>
      <c r="AD4774" t="s">
        <v>113</v>
      </c>
      <c r="AE4774" t="s">
        <v>120</v>
      </c>
      <c r="AG4774" t="s">
        <v>121</v>
      </c>
    </row>
    <row r="4775" spans="1:33" x14ac:dyDescent="0.25">
      <c r="C4775" t="s">
        <v>24440</v>
      </c>
      <c r="G4775" t="s">
        <v>24441</v>
      </c>
      <c r="H4775" t="s">
        <v>24442</v>
      </c>
      <c r="J4775" t="s">
        <v>24443</v>
      </c>
      <c r="K4775" t="s">
        <v>303</v>
      </c>
      <c r="L4775" t="s">
        <v>3095</v>
      </c>
      <c r="M4775" t="s">
        <v>113</v>
      </c>
      <c r="N4775" t="s">
        <v>24444</v>
      </c>
      <c r="O4775" t="s">
        <v>3097</v>
      </c>
      <c r="P4775" t="s">
        <v>117</v>
      </c>
      <c r="Q4775" t="str">
        <f>"14203"</f>
        <v>14203</v>
      </c>
      <c r="AC4775" t="s">
        <v>119</v>
      </c>
      <c r="AD4775" t="s">
        <v>113</v>
      </c>
      <c r="AE4775" t="s">
        <v>3098</v>
      </c>
      <c r="AG4775" t="s">
        <v>121</v>
      </c>
    </row>
    <row r="4776" spans="1:33" x14ac:dyDescent="0.25">
      <c r="C4776" t="s">
        <v>24445</v>
      </c>
      <c r="G4776" t="s">
        <v>24446</v>
      </c>
      <c r="H4776" t="s">
        <v>24447</v>
      </c>
      <c r="J4776" t="s">
        <v>24448</v>
      </c>
      <c r="K4776" t="s">
        <v>303</v>
      </c>
      <c r="L4776" t="s">
        <v>3095</v>
      </c>
      <c r="M4776" t="s">
        <v>113</v>
      </c>
      <c r="N4776" t="s">
        <v>24449</v>
      </c>
      <c r="O4776" t="s">
        <v>3097</v>
      </c>
      <c r="P4776" t="s">
        <v>117</v>
      </c>
      <c r="Q4776" t="str">
        <f>"14203"</f>
        <v>14203</v>
      </c>
      <c r="AC4776" t="s">
        <v>119</v>
      </c>
      <c r="AD4776" t="s">
        <v>113</v>
      </c>
      <c r="AE4776" t="s">
        <v>3098</v>
      </c>
      <c r="AG4776" t="s">
        <v>121</v>
      </c>
    </row>
    <row r="4777" spans="1:33" x14ac:dyDescent="0.25">
      <c r="A4777" t="str">
        <f>"1568845659"</f>
        <v>1568845659</v>
      </c>
      <c r="C4777" t="s">
        <v>24450</v>
      </c>
      <c r="G4777" t="s">
        <v>20732</v>
      </c>
      <c r="H4777" t="s">
        <v>443</v>
      </c>
      <c r="J4777" t="s">
        <v>24156</v>
      </c>
      <c r="K4777" t="s">
        <v>303</v>
      </c>
      <c r="L4777" t="s">
        <v>229</v>
      </c>
      <c r="M4777" t="s">
        <v>113</v>
      </c>
      <c r="R4777" t="s">
        <v>24451</v>
      </c>
      <c r="S4777" t="s">
        <v>409</v>
      </c>
      <c r="T4777" t="s">
        <v>116</v>
      </c>
      <c r="U4777" t="s">
        <v>117</v>
      </c>
      <c r="V4777" t="str">
        <f>"142152814"</f>
        <v>142152814</v>
      </c>
      <c r="AC4777" t="s">
        <v>119</v>
      </c>
      <c r="AD4777" t="s">
        <v>113</v>
      </c>
      <c r="AE4777" t="s">
        <v>306</v>
      </c>
      <c r="AG4777" t="s">
        <v>121</v>
      </c>
    </row>
    <row r="4778" spans="1:33" x14ac:dyDescent="0.25">
      <c r="A4778" t="str">
        <f>"1801102017"</f>
        <v>1801102017</v>
      </c>
      <c r="C4778" t="s">
        <v>24452</v>
      </c>
      <c r="G4778" t="s">
        <v>20732</v>
      </c>
      <c r="H4778" t="s">
        <v>443</v>
      </c>
      <c r="J4778" t="s">
        <v>24156</v>
      </c>
      <c r="K4778" t="s">
        <v>303</v>
      </c>
      <c r="L4778" t="s">
        <v>229</v>
      </c>
      <c r="M4778" t="s">
        <v>113</v>
      </c>
      <c r="R4778" t="s">
        <v>24453</v>
      </c>
      <c r="S4778" t="s">
        <v>409</v>
      </c>
      <c r="T4778" t="s">
        <v>116</v>
      </c>
      <c r="U4778" t="s">
        <v>117</v>
      </c>
      <c r="V4778" t="str">
        <f>"142152814"</f>
        <v>142152814</v>
      </c>
      <c r="AC4778" t="s">
        <v>119</v>
      </c>
      <c r="AD4778" t="s">
        <v>113</v>
      </c>
      <c r="AE4778" t="s">
        <v>306</v>
      </c>
      <c r="AG4778" t="s">
        <v>121</v>
      </c>
    </row>
    <row r="4779" spans="1:33" x14ac:dyDescent="0.25">
      <c r="A4779" t="str">
        <f>"1427453059"</f>
        <v>1427453059</v>
      </c>
      <c r="B4779" t="str">
        <f>"04325962"</f>
        <v>04325962</v>
      </c>
      <c r="C4779" t="s">
        <v>24454</v>
      </c>
      <c r="D4779" t="s">
        <v>24455</v>
      </c>
      <c r="E4779" t="s">
        <v>24456</v>
      </c>
      <c r="G4779" t="s">
        <v>24457</v>
      </c>
      <c r="H4779" t="s">
        <v>5327</v>
      </c>
      <c r="L4779" t="s">
        <v>728</v>
      </c>
      <c r="M4779" t="s">
        <v>113</v>
      </c>
      <c r="R4779" t="s">
        <v>24456</v>
      </c>
      <c r="W4779" t="s">
        <v>24456</v>
      </c>
      <c r="X4779" t="s">
        <v>5874</v>
      </c>
      <c r="Y4779" t="s">
        <v>663</v>
      </c>
      <c r="Z4779" t="s">
        <v>117</v>
      </c>
      <c r="AA4779" t="str">
        <f>"14094"</f>
        <v>14094</v>
      </c>
      <c r="AB4779" t="s">
        <v>118</v>
      </c>
      <c r="AC4779" t="s">
        <v>119</v>
      </c>
      <c r="AD4779" t="s">
        <v>113</v>
      </c>
      <c r="AE4779" t="s">
        <v>120</v>
      </c>
      <c r="AG4779" t="s">
        <v>121</v>
      </c>
    </row>
    <row r="4780" spans="1:33" x14ac:dyDescent="0.25">
      <c r="A4780" t="str">
        <f>"1528335072"</f>
        <v>1528335072</v>
      </c>
      <c r="B4780" t="str">
        <f>"03549566"</f>
        <v>03549566</v>
      </c>
      <c r="C4780" t="s">
        <v>24458</v>
      </c>
      <c r="D4780" t="s">
        <v>24459</v>
      </c>
      <c r="E4780" t="s">
        <v>24460</v>
      </c>
      <c r="G4780" t="s">
        <v>24461</v>
      </c>
      <c r="H4780" t="s">
        <v>1141</v>
      </c>
      <c r="L4780" t="s">
        <v>142</v>
      </c>
      <c r="M4780" t="s">
        <v>113</v>
      </c>
      <c r="R4780" t="s">
        <v>24462</v>
      </c>
      <c r="W4780" t="s">
        <v>24460</v>
      </c>
      <c r="X4780" t="s">
        <v>1145</v>
      </c>
      <c r="Y4780" t="s">
        <v>541</v>
      </c>
      <c r="Z4780" t="s">
        <v>117</v>
      </c>
      <c r="AA4780" t="str">
        <f>"14048-2137"</f>
        <v>14048-2137</v>
      </c>
      <c r="AB4780" t="s">
        <v>118</v>
      </c>
      <c r="AC4780" t="s">
        <v>119</v>
      </c>
      <c r="AD4780" t="s">
        <v>113</v>
      </c>
      <c r="AE4780" t="s">
        <v>120</v>
      </c>
      <c r="AG4780" t="s">
        <v>121</v>
      </c>
    </row>
    <row r="4781" spans="1:33" x14ac:dyDescent="0.25">
      <c r="C4781" t="s">
        <v>24463</v>
      </c>
      <c r="G4781" t="s">
        <v>24464</v>
      </c>
      <c r="J4781" t="s">
        <v>24465</v>
      </c>
      <c r="K4781" t="s">
        <v>303</v>
      </c>
      <c r="L4781" t="s">
        <v>3095</v>
      </c>
      <c r="M4781" t="s">
        <v>113</v>
      </c>
      <c r="AC4781" t="s">
        <v>119</v>
      </c>
      <c r="AD4781" t="s">
        <v>113</v>
      </c>
      <c r="AE4781" t="s">
        <v>3098</v>
      </c>
      <c r="AG4781" t="s">
        <v>121</v>
      </c>
    </row>
    <row r="4782" spans="1:33" x14ac:dyDescent="0.25">
      <c r="C4782" t="s">
        <v>24466</v>
      </c>
      <c r="G4782" t="s">
        <v>24467</v>
      </c>
      <c r="J4782" t="s">
        <v>24468</v>
      </c>
      <c r="K4782" t="s">
        <v>303</v>
      </c>
      <c r="L4782" t="s">
        <v>3095</v>
      </c>
      <c r="M4782" t="s">
        <v>113</v>
      </c>
      <c r="AC4782" t="s">
        <v>119</v>
      </c>
      <c r="AD4782" t="s">
        <v>113</v>
      </c>
      <c r="AE4782" t="s">
        <v>3098</v>
      </c>
      <c r="AG4782" t="s">
        <v>121</v>
      </c>
    </row>
    <row r="4783" spans="1:33" x14ac:dyDescent="0.25">
      <c r="A4783" t="str">
        <f>"1750768594"</f>
        <v>1750768594</v>
      </c>
      <c r="C4783" t="s">
        <v>24469</v>
      </c>
      <c r="G4783" t="s">
        <v>20732</v>
      </c>
      <c r="H4783" t="s">
        <v>443</v>
      </c>
      <c r="J4783" t="s">
        <v>24156</v>
      </c>
      <c r="K4783" t="s">
        <v>303</v>
      </c>
      <c r="L4783" t="s">
        <v>229</v>
      </c>
      <c r="M4783" t="s">
        <v>113</v>
      </c>
      <c r="R4783" t="s">
        <v>24470</v>
      </c>
      <c r="S4783" t="s">
        <v>409</v>
      </c>
      <c r="T4783" t="s">
        <v>116</v>
      </c>
      <c r="U4783" t="s">
        <v>117</v>
      </c>
      <c r="V4783" t="str">
        <f>"142152814"</f>
        <v>142152814</v>
      </c>
      <c r="AC4783" t="s">
        <v>119</v>
      </c>
      <c r="AD4783" t="s">
        <v>113</v>
      </c>
      <c r="AE4783" t="s">
        <v>306</v>
      </c>
      <c r="AG4783" t="s">
        <v>121</v>
      </c>
    </row>
    <row r="4784" spans="1:33" x14ac:dyDescent="0.25">
      <c r="A4784" t="str">
        <f>"1841677184"</f>
        <v>1841677184</v>
      </c>
      <c r="C4784" t="s">
        <v>24471</v>
      </c>
      <c r="G4784" t="s">
        <v>20732</v>
      </c>
      <c r="H4784" t="s">
        <v>443</v>
      </c>
      <c r="J4784" t="s">
        <v>24156</v>
      </c>
      <c r="K4784" t="s">
        <v>303</v>
      </c>
      <c r="L4784" t="s">
        <v>229</v>
      </c>
      <c r="M4784" t="s">
        <v>113</v>
      </c>
      <c r="R4784" t="s">
        <v>24472</v>
      </c>
      <c r="S4784" t="s">
        <v>409</v>
      </c>
      <c r="T4784" t="s">
        <v>116</v>
      </c>
      <c r="U4784" t="s">
        <v>117</v>
      </c>
      <c r="V4784" t="str">
        <f>"142152814"</f>
        <v>142152814</v>
      </c>
      <c r="AC4784" t="s">
        <v>119</v>
      </c>
      <c r="AD4784" t="s">
        <v>113</v>
      </c>
      <c r="AE4784" t="s">
        <v>306</v>
      </c>
      <c r="AG4784" t="s">
        <v>121</v>
      </c>
    </row>
    <row r="4785" spans="1:33" x14ac:dyDescent="0.25">
      <c r="A4785" t="str">
        <f>"1124023650"</f>
        <v>1124023650</v>
      </c>
      <c r="B4785" t="str">
        <f>"02107317"</f>
        <v>02107317</v>
      </c>
      <c r="C4785" t="s">
        <v>24181</v>
      </c>
      <c r="D4785" t="s">
        <v>24473</v>
      </c>
      <c r="E4785" t="s">
        <v>24474</v>
      </c>
      <c r="G4785" t="s">
        <v>24475</v>
      </c>
      <c r="H4785" t="s">
        <v>24185</v>
      </c>
      <c r="L4785" t="s">
        <v>150</v>
      </c>
      <c r="M4785" t="s">
        <v>113</v>
      </c>
      <c r="R4785" t="s">
        <v>24476</v>
      </c>
      <c r="W4785" t="s">
        <v>24477</v>
      </c>
      <c r="X4785" t="s">
        <v>7409</v>
      </c>
      <c r="Y4785" t="s">
        <v>3012</v>
      </c>
      <c r="Z4785" t="s">
        <v>117</v>
      </c>
      <c r="AA4785" t="str">
        <f>"14052-2531"</f>
        <v>14052-2531</v>
      </c>
      <c r="AB4785" t="s">
        <v>118</v>
      </c>
      <c r="AC4785" t="s">
        <v>119</v>
      </c>
      <c r="AD4785" t="s">
        <v>113</v>
      </c>
      <c r="AE4785" t="s">
        <v>120</v>
      </c>
      <c r="AG4785" t="s">
        <v>121</v>
      </c>
    </row>
    <row r="4786" spans="1:33" x14ac:dyDescent="0.25">
      <c r="A4786" t="str">
        <f>"1649214347"</f>
        <v>1649214347</v>
      </c>
      <c r="B4786" t="str">
        <f>"01759580"</f>
        <v>01759580</v>
      </c>
      <c r="C4786" t="s">
        <v>24478</v>
      </c>
      <c r="D4786" t="s">
        <v>24479</v>
      </c>
      <c r="E4786" t="s">
        <v>24480</v>
      </c>
      <c r="G4786" t="s">
        <v>24481</v>
      </c>
      <c r="H4786" t="s">
        <v>24482</v>
      </c>
      <c r="L4786" t="s">
        <v>150</v>
      </c>
      <c r="M4786" t="s">
        <v>113</v>
      </c>
      <c r="R4786" t="s">
        <v>24483</v>
      </c>
      <c r="W4786" t="s">
        <v>24480</v>
      </c>
      <c r="X4786" t="s">
        <v>11474</v>
      </c>
      <c r="Y4786" t="s">
        <v>116</v>
      </c>
      <c r="Z4786" t="s">
        <v>117</v>
      </c>
      <c r="AA4786" t="str">
        <f>"14209-2027"</f>
        <v>14209-2027</v>
      </c>
      <c r="AB4786" t="s">
        <v>118</v>
      </c>
      <c r="AC4786" t="s">
        <v>119</v>
      </c>
      <c r="AD4786" t="s">
        <v>113</v>
      </c>
      <c r="AE4786" t="s">
        <v>120</v>
      </c>
      <c r="AG4786" t="s">
        <v>121</v>
      </c>
    </row>
    <row r="4787" spans="1:33" x14ac:dyDescent="0.25">
      <c r="C4787" t="s">
        <v>24224</v>
      </c>
      <c r="G4787" t="s">
        <v>24484</v>
      </c>
      <c r="H4787" t="s">
        <v>744</v>
      </c>
      <c r="K4787" t="s">
        <v>303</v>
      </c>
      <c r="L4787" t="s">
        <v>3095</v>
      </c>
      <c r="M4787" t="s">
        <v>113</v>
      </c>
      <c r="N4787" t="s">
        <v>24485</v>
      </c>
      <c r="O4787" t="s">
        <v>24486</v>
      </c>
      <c r="P4787" t="s">
        <v>117</v>
      </c>
      <c r="Q4787" t="str">
        <f>"14228"</f>
        <v>14228</v>
      </c>
      <c r="AC4787" t="s">
        <v>119</v>
      </c>
      <c r="AD4787" t="s">
        <v>113</v>
      </c>
      <c r="AE4787" t="s">
        <v>3098</v>
      </c>
      <c r="AG4787" t="s">
        <v>121</v>
      </c>
    </row>
    <row r="4788" spans="1:33" x14ac:dyDescent="0.25">
      <c r="A4788" t="str">
        <f>"1104026905"</f>
        <v>1104026905</v>
      </c>
      <c r="B4788" t="str">
        <f>"04023483"</f>
        <v>04023483</v>
      </c>
      <c r="C4788" t="s">
        <v>24487</v>
      </c>
      <c r="D4788" t="s">
        <v>24488</v>
      </c>
      <c r="E4788" t="s">
        <v>24489</v>
      </c>
      <c r="G4788" t="s">
        <v>24490</v>
      </c>
      <c r="H4788" t="s">
        <v>8070</v>
      </c>
      <c r="L4788" t="s">
        <v>142</v>
      </c>
      <c r="M4788" t="s">
        <v>113</v>
      </c>
      <c r="R4788" t="s">
        <v>24489</v>
      </c>
      <c r="W4788" t="s">
        <v>24489</v>
      </c>
      <c r="X4788" t="s">
        <v>24491</v>
      </c>
      <c r="Y4788" t="s">
        <v>116</v>
      </c>
      <c r="Z4788" t="s">
        <v>117</v>
      </c>
      <c r="AA4788" t="str">
        <f>"14226-1908"</f>
        <v>14226-1908</v>
      </c>
      <c r="AB4788" t="s">
        <v>118</v>
      </c>
      <c r="AC4788" t="s">
        <v>119</v>
      </c>
      <c r="AD4788" t="s">
        <v>113</v>
      </c>
      <c r="AE4788" t="s">
        <v>120</v>
      </c>
      <c r="AG4788" t="s">
        <v>121</v>
      </c>
    </row>
    <row r="4789" spans="1:33" x14ac:dyDescent="0.25">
      <c r="B4789" t="str">
        <f>"01492153"</f>
        <v>01492153</v>
      </c>
      <c r="C4789" t="s">
        <v>18511</v>
      </c>
      <c r="D4789" t="s">
        <v>18512</v>
      </c>
      <c r="E4789" t="s">
        <v>18511</v>
      </c>
      <c r="F4789">
        <v>160786061</v>
      </c>
      <c r="L4789" t="s">
        <v>69</v>
      </c>
      <c r="M4789" t="s">
        <v>199</v>
      </c>
      <c r="W4789" t="s">
        <v>18511</v>
      </c>
      <c r="X4789" t="s">
        <v>18513</v>
      </c>
      <c r="Y4789" t="s">
        <v>153</v>
      </c>
      <c r="Z4789" t="s">
        <v>117</v>
      </c>
      <c r="AA4789" t="str">
        <f>"14304-1114"</f>
        <v>14304-1114</v>
      </c>
      <c r="AB4789" t="s">
        <v>291</v>
      </c>
      <c r="AC4789" t="s">
        <v>119</v>
      </c>
      <c r="AD4789" t="s">
        <v>113</v>
      </c>
      <c r="AE4789" t="s">
        <v>120</v>
      </c>
      <c r="AG4789" t="s">
        <v>121</v>
      </c>
    </row>
    <row r="4790" spans="1:33" x14ac:dyDescent="0.25">
      <c r="C4790" t="s">
        <v>24498</v>
      </c>
      <c r="K4790" t="s">
        <v>303</v>
      </c>
      <c r="L4790" t="s">
        <v>3095</v>
      </c>
      <c r="M4790" t="s">
        <v>113</v>
      </c>
      <c r="AC4790" t="s">
        <v>119</v>
      </c>
      <c r="AD4790" t="s">
        <v>113</v>
      </c>
      <c r="AE4790" t="s">
        <v>3098</v>
      </c>
      <c r="AG4790" t="s">
        <v>121</v>
      </c>
    </row>
    <row r="4791" spans="1:33" x14ac:dyDescent="0.25">
      <c r="A4791" t="str">
        <f>"1578973665"</f>
        <v>1578973665</v>
      </c>
      <c r="B4791" t="str">
        <f>"03920803"</f>
        <v>03920803</v>
      </c>
      <c r="C4791" t="s">
        <v>24285</v>
      </c>
      <c r="D4791" t="s">
        <v>24499</v>
      </c>
      <c r="E4791" t="s">
        <v>24500</v>
      </c>
      <c r="G4791" t="s">
        <v>24501</v>
      </c>
      <c r="H4791" t="s">
        <v>272</v>
      </c>
      <c r="L4791" t="s">
        <v>142</v>
      </c>
      <c r="M4791" t="s">
        <v>113</v>
      </c>
      <c r="R4791" t="s">
        <v>24502</v>
      </c>
      <c r="W4791" t="s">
        <v>24503</v>
      </c>
      <c r="X4791" t="s">
        <v>966</v>
      </c>
      <c r="Y4791" t="s">
        <v>116</v>
      </c>
      <c r="Z4791" t="s">
        <v>117</v>
      </c>
      <c r="AA4791" t="str">
        <f>"14207-1816"</f>
        <v>14207-1816</v>
      </c>
      <c r="AB4791" t="s">
        <v>118</v>
      </c>
      <c r="AC4791" t="s">
        <v>119</v>
      </c>
      <c r="AD4791" t="s">
        <v>113</v>
      </c>
      <c r="AE4791" t="s">
        <v>120</v>
      </c>
      <c r="AG4791" t="s">
        <v>121</v>
      </c>
    </row>
    <row r="4792" spans="1:33" x14ac:dyDescent="0.25">
      <c r="A4792" t="str">
        <f>"1881760049"</f>
        <v>1881760049</v>
      </c>
      <c r="B4792" t="str">
        <f>"02793777"</f>
        <v>02793777</v>
      </c>
      <c r="C4792" t="s">
        <v>24197</v>
      </c>
      <c r="D4792" t="s">
        <v>24504</v>
      </c>
      <c r="E4792" t="s">
        <v>24505</v>
      </c>
      <c r="G4792" t="s">
        <v>24506</v>
      </c>
      <c r="H4792" t="s">
        <v>24201</v>
      </c>
      <c r="L4792" t="s">
        <v>112</v>
      </c>
      <c r="M4792" t="s">
        <v>113</v>
      </c>
      <c r="R4792" t="s">
        <v>24507</v>
      </c>
      <c r="W4792" t="s">
        <v>24508</v>
      </c>
      <c r="X4792" t="s">
        <v>24509</v>
      </c>
      <c r="Y4792" t="s">
        <v>16373</v>
      </c>
      <c r="Z4792" t="s">
        <v>117</v>
      </c>
      <c r="AA4792" t="str">
        <f>"12401-4626"</f>
        <v>12401-4626</v>
      </c>
      <c r="AB4792" t="s">
        <v>118</v>
      </c>
      <c r="AC4792" t="s">
        <v>119</v>
      </c>
      <c r="AD4792" t="s">
        <v>113</v>
      </c>
      <c r="AE4792" t="s">
        <v>120</v>
      </c>
      <c r="AG4792" t="s">
        <v>121</v>
      </c>
    </row>
    <row r="4793" spans="1:33" x14ac:dyDescent="0.25">
      <c r="A4793" t="str">
        <f>"1124378724"</f>
        <v>1124378724</v>
      </c>
      <c r="B4793" t="str">
        <f>"03569697"</f>
        <v>03569697</v>
      </c>
      <c r="C4793" t="s">
        <v>24224</v>
      </c>
      <c r="D4793" t="s">
        <v>24510</v>
      </c>
      <c r="E4793" t="s">
        <v>24511</v>
      </c>
      <c r="G4793" t="s">
        <v>24512</v>
      </c>
      <c r="H4793" t="s">
        <v>24148</v>
      </c>
      <c r="L4793" t="s">
        <v>142</v>
      </c>
      <c r="M4793" t="s">
        <v>113</v>
      </c>
      <c r="R4793" t="s">
        <v>24513</v>
      </c>
      <c r="W4793" t="s">
        <v>24511</v>
      </c>
      <c r="X4793" t="s">
        <v>24514</v>
      </c>
      <c r="Y4793" t="s">
        <v>116</v>
      </c>
      <c r="Z4793" t="s">
        <v>117</v>
      </c>
      <c r="AA4793" t="str">
        <f>"14201-2398"</f>
        <v>14201-2398</v>
      </c>
      <c r="AB4793" t="s">
        <v>118</v>
      </c>
      <c r="AC4793" t="s">
        <v>119</v>
      </c>
      <c r="AD4793" t="s">
        <v>113</v>
      </c>
      <c r="AE4793" t="s">
        <v>120</v>
      </c>
      <c r="AG4793" t="s">
        <v>121</v>
      </c>
    </row>
    <row r="4794" spans="1:33" x14ac:dyDescent="0.25">
      <c r="A4794" t="str">
        <f>"1326075631"</f>
        <v>1326075631</v>
      </c>
      <c r="B4794" t="str">
        <f>"02136441"</f>
        <v>02136441</v>
      </c>
      <c r="C4794" t="s">
        <v>24224</v>
      </c>
      <c r="D4794" t="s">
        <v>24515</v>
      </c>
      <c r="E4794" t="s">
        <v>24516</v>
      </c>
      <c r="G4794" t="s">
        <v>24517</v>
      </c>
      <c r="H4794" t="s">
        <v>744</v>
      </c>
      <c r="L4794" t="s">
        <v>150</v>
      </c>
      <c r="M4794" t="s">
        <v>113</v>
      </c>
      <c r="R4794" t="s">
        <v>24518</v>
      </c>
      <c r="W4794" t="s">
        <v>24516</v>
      </c>
      <c r="X4794" t="s">
        <v>2728</v>
      </c>
      <c r="Y4794" t="s">
        <v>116</v>
      </c>
      <c r="Z4794" t="s">
        <v>117</v>
      </c>
      <c r="AA4794" t="str">
        <f>"14201-2398"</f>
        <v>14201-2398</v>
      </c>
      <c r="AB4794" t="s">
        <v>118</v>
      </c>
      <c r="AC4794" t="s">
        <v>119</v>
      </c>
      <c r="AD4794" t="s">
        <v>113</v>
      </c>
      <c r="AE4794" t="s">
        <v>120</v>
      </c>
      <c r="AG4794" t="s">
        <v>121</v>
      </c>
    </row>
    <row r="4795" spans="1:33" x14ac:dyDescent="0.25">
      <c r="A4795" t="str">
        <f>"1922123140"</f>
        <v>1922123140</v>
      </c>
      <c r="B4795" t="str">
        <f>"00582581"</f>
        <v>00582581</v>
      </c>
      <c r="C4795" t="s">
        <v>971</v>
      </c>
      <c r="D4795" t="s">
        <v>19230</v>
      </c>
      <c r="E4795" t="s">
        <v>19231</v>
      </c>
      <c r="H4795" t="s">
        <v>974</v>
      </c>
      <c r="L4795" t="s">
        <v>280</v>
      </c>
      <c r="M4795" t="s">
        <v>199</v>
      </c>
      <c r="R4795" t="s">
        <v>971</v>
      </c>
      <c r="W4795" t="s">
        <v>19232</v>
      </c>
      <c r="X4795" t="s">
        <v>19233</v>
      </c>
      <c r="Y4795" t="s">
        <v>978</v>
      </c>
      <c r="Z4795" t="s">
        <v>117</v>
      </c>
      <c r="AA4795" t="str">
        <f>"14081-9706"</f>
        <v>14081-9706</v>
      </c>
      <c r="AB4795" t="s">
        <v>979</v>
      </c>
      <c r="AC4795" t="s">
        <v>119</v>
      </c>
      <c r="AD4795" t="s">
        <v>113</v>
      </c>
      <c r="AE4795" t="s">
        <v>120</v>
      </c>
      <c r="AG4795" t="s">
        <v>121</v>
      </c>
    </row>
    <row r="4796" spans="1:33" x14ac:dyDescent="0.25">
      <c r="B4796" t="str">
        <f>"02592170"</f>
        <v>02592170</v>
      </c>
      <c r="C4796" t="s">
        <v>18012</v>
      </c>
      <c r="D4796" t="s">
        <v>18013</v>
      </c>
      <c r="E4796" t="s">
        <v>18012</v>
      </c>
      <c r="F4796">
        <v>160786061</v>
      </c>
      <c r="L4796" t="s">
        <v>69</v>
      </c>
      <c r="M4796" t="s">
        <v>199</v>
      </c>
      <c r="W4796" t="s">
        <v>18012</v>
      </c>
      <c r="X4796" t="s">
        <v>1588</v>
      </c>
      <c r="Y4796" t="s">
        <v>153</v>
      </c>
      <c r="Z4796" t="s">
        <v>117</v>
      </c>
      <c r="AA4796" t="str">
        <f>"14304-1114"</f>
        <v>14304-1114</v>
      </c>
      <c r="AB4796" t="s">
        <v>291</v>
      </c>
      <c r="AC4796" t="s">
        <v>119</v>
      </c>
      <c r="AD4796" t="s">
        <v>113</v>
      </c>
      <c r="AE4796" t="s">
        <v>120</v>
      </c>
      <c r="AG4796" t="s">
        <v>121</v>
      </c>
    </row>
    <row r="4797" spans="1:33" x14ac:dyDescent="0.25">
      <c r="A4797" t="str">
        <f>"1124414263"</f>
        <v>1124414263</v>
      </c>
      <c r="C4797" t="s">
        <v>24535</v>
      </c>
      <c r="G4797" t="s">
        <v>20732</v>
      </c>
      <c r="H4797" t="s">
        <v>443</v>
      </c>
      <c r="J4797" t="s">
        <v>24156</v>
      </c>
      <c r="K4797" t="s">
        <v>303</v>
      </c>
      <c r="L4797" t="s">
        <v>229</v>
      </c>
      <c r="M4797" t="s">
        <v>113</v>
      </c>
      <c r="R4797" t="s">
        <v>24536</v>
      </c>
      <c r="S4797" t="s">
        <v>409</v>
      </c>
      <c r="T4797" t="s">
        <v>116</v>
      </c>
      <c r="U4797" t="s">
        <v>117</v>
      </c>
      <c r="V4797" t="str">
        <f>"142152814"</f>
        <v>142152814</v>
      </c>
      <c r="AC4797" t="s">
        <v>119</v>
      </c>
      <c r="AD4797" t="s">
        <v>113</v>
      </c>
      <c r="AE4797" t="s">
        <v>306</v>
      </c>
      <c r="AG4797" t="s">
        <v>121</v>
      </c>
    </row>
    <row r="4798" spans="1:33" x14ac:dyDescent="0.25">
      <c r="A4798" t="str">
        <f>"1053714899"</f>
        <v>1053714899</v>
      </c>
      <c r="C4798" t="s">
        <v>24537</v>
      </c>
      <c r="G4798" t="s">
        <v>20732</v>
      </c>
      <c r="H4798" t="s">
        <v>443</v>
      </c>
      <c r="J4798" t="s">
        <v>24156</v>
      </c>
      <c r="K4798" t="s">
        <v>303</v>
      </c>
      <c r="L4798" t="s">
        <v>112</v>
      </c>
      <c r="M4798" t="s">
        <v>113</v>
      </c>
      <c r="R4798" t="s">
        <v>24538</v>
      </c>
      <c r="S4798" t="s">
        <v>409</v>
      </c>
      <c r="T4798" t="s">
        <v>116</v>
      </c>
      <c r="U4798" t="s">
        <v>117</v>
      </c>
      <c r="V4798" t="str">
        <f>"142152814"</f>
        <v>142152814</v>
      </c>
      <c r="AC4798" t="s">
        <v>119</v>
      </c>
      <c r="AD4798" t="s">
        <v>113</v>
      </c>
      <c r="AE4798" t="s">
        <v>306</v>
      </c>
      <c r="AG4798" t="s">
        <v>121</v>
      </c>
    </row>
    <row r="4799" spans="1:33" x14ac:dyDescent="0.25">
      <c r="A4799" t="str">
        <f>"1558344564"</f>
        <v>1558344564</v>
      </c>
      <c r="B4799" t="str">
        <f>"02339917"</f>
        <v>02339917</v>
      </c>
      <c r="C4799" t="s">
        <v>24326</v>
      </c>
      <c r="D4799" t="s">
        <v>24539</v>
      </c>
      <c r="E4799" t="s">
        <v>24540</v>
      </c>
      <c r="G4799" t="s">
        <v>24541</v>
      </c>
      <c r="H4799" t="s">
        <v>17380</v>
      </c>
      <c r="L4799" t="s">
        <v>112</v>
      </c>
      <c r="M4799" t="s">
        <v>113</v>
      </c>
      <c r="R4799" t="s">
        <v>24542</v>
      </c>
      <c r="W4799" t="s">
        <v>24540</v>
      </c>
      <c r="X4799" t="s">
        <v>24543</v>
      </c>
      <c r="Y4799" t="s">
        <v>116</v>
      </c>
      <c r="Z4799" t="s">
        <v>117</v>
      </c>
      <c r="AA4799" t="str">
        <f>"14263-0001"</f>
        <v>14263-0001</v>
      </c>
      <c r="AB4799" t="s">
        <v>118</v>
      </c>
      <c r="AC4799" t="s">
        <v>119</v>
      </c>
      <c r="AD4799" t="s">
        <v>113</v>
      </c>
      <c r="AE4799" t="s">
        <v>120</v>
      </c>
      <c r="AG4799" t="s">
        <v>121</v>
      </c>
    </row>
    <row r="4800" spans="1:33" x14ac:dyDescent="0.25">
      <c r="A4800" t="str">
        <f>"1457633943"</f>
        <v>1457633943</v>
      </c>
      <c r="B4800" t="str">
        <f>"03391288"</f>
        <v>03391288</v>
      </c>
      <c r="C4800" t="s">
        <v>24544</v>
      </c>
      <c r="D4800" t="s">
        <v>24545</v>
      </c>
      <c r="E4800" t="s">
        <v>24546</v>
      </c>
      <c r="G4800" t="s">
        <v>24547</v>
      </c>
      <c r="H4800" t="s">
        <v>20791</v>
      </c>
      <c r="L4800" t="s">
        <v>142</v>
      </c>
      <c r="M4800" t="s">
        <v>113</v>
      </c>
      <c r="R4800" t="s">
        <v>24548</v>
      </c>
      <c r="W4800" t="s">
        <v>24546</v>
      </c>
      <c r="X4800" t="s">
        <v>24549</v>
      </c>
      <c r="Y4800" t="s">
        <v>986</v>
      </c>
      <c r="Z4800" t="s">
        <v>117</v>
      </c>
      <c r="AA4800" t="str">
        <f>"14701-6627"</f>
        <v>14701-6627</v>
      </c>
      <c r="AB4800" t="s">
        <v>118</v>
      </c>
      <c r="AC4800" t="s">
        <v>119</v>
      </c>
      <c r="AD4800" t="s">
        <v>113</v>
      </c>
      <c r="AE4800" t="s">
        <v>120</v>
      </c>
      <c r="AG4800" t="s">
        <v>121</v>
      </c>
    </row>
    <row r="4801" spans="1:33" x14ac:dyDescent="0.25">
      <c r="C4801" t="s">
        <v>24550</v>
      </c>
      <c r="G4801" t="s">
        <v>24551</v>
      </c>
      <c r="J4801" t="s">
        <v>24552</v>
      </c>
      <c r="K4801" t="s">
        <v>303</v>
      </c>
      <c r="L4801" t="s">
        <v>3095</v>
      </c>
      <c r="M4801" t="s">
        <v>113</v>
      </c>
      <c r="AC4801" t="s">
        <v>119</v>
      </c>
      <c r="AD4801" t="s">
        <v>113</v>
      </c>
      <c r="AE4801" t="s">
        <v>3098</v>
      </c>
      <c r="AG4801" t="s">
        <v>121</v>
      </c>
    </row>
    <row r="4802" spans="1:33" x14ac:dyDescent="0.25">
      <c r="C4802" t="s">
        <v>24553</v>
      </c>
      <c r="G4802" t="s">
        <v>24554</v>
      </c>
      <c r="J4802" t="s">
        <v>24555</v>
      </c>
      <c r="K4802" t="s">
        <v>303</v>
      </c>
      <c r="L4802" t="s">
        <v>3095</v>
      </c>
      <c r="M4802" t="s">
        <v>113</v>
      </c>
      <c r="AC4802" t="s">
        <v>119</v>
      </c>
      <c r="AD4802" t="s">
        <v>113</v>
      </c>
      <c r="AE4802" t="s">
        <v>3098</v>
      </c>
      <c r="AG4802" t="s">
        <v>121</v>
      </c>
    </row>
    <row r="4803" spans="1:33" x14ac:dyDescent="0.25">
      <c r="A4803" t="str">
        <f>"1093113482"</f>
        <v>1093113482</v>
      </c>
      <c r="C4803" t="s">
        <v>24556</v>
      </c>
      <c r="G4803" t="s">
        <v>20732</v>
      </c>
      <c r="H4803" t="s">
        <v>443</v>
      </c>
      <c r="J4803" t="s">
        <v>24156</v>
      </c>
      <c r="K4803" t="s">
        <v>303</v>
      </c>
      <c r="L4803" t="s">
        <v>229</v>
      </c>
      <c r="M4803" t="s">
        <v>113</v>
      </c>
      <c r="R4803" t="s">
        <v>24557</v>
      </c>
      <c r="S4803" t="s">
        <v>409</v>
      </c>
      <c r="T4803" t="s">
        <v>116</v>
      </c>
      <c r="U4803" t="s">
        <v>117</v>
      </c>
      <c r="V4803" t="str">
        <f>"142152814"</f>
        <v>142152814</v>
      </c>
      <c r="AC4803" t="s">
        <v>119</v>
      </c>
      <c r="AD4803" t="s">
        <v>113</v>
      </c>
      <c r="AE4803" t="s">
        <v>306</v>
      </c>
      <c r="AG4803" t="s">
        <v>121</v>
      </c>
    </row>
    <row r="4804" spans="1:33" x14ac:dyDescent="0.25">
      <c r="A4804" t="str">
        <f>"1578602074"</f>
        <v>1578602074</v>
      </c>
      <c r="B4804" t="str">
        <f>"03773008"</f>
        <v>03773008</v>
      </c>
      <c r="C4804" t="s">
        <v>24558</v>
      </c>
      <c r="D4804" t="s">
        <v>24559</v>
      </c>
      <c r="E4804" t="s">
        <v>24560</v>
      </c>
      <c r="G4804" t="s">
        <v>24159</v>
      </c>
      <c r="H4804" t="s">
        <v>6328</v>
      </c>
      <c r="J4804" t="s">
        <v>24160</v>
      </c>
      <c r="L4804" t="s">
        <v>112</v>
      </c>
      <c r="M4804" t="s">
        <v>113</v>
      </c>
      <c r="R4804" t="s">
        <v>24561</v>
      </c>
      <c r="W4804" t="s">
        <v>24560</v>
      </c>
      <c r="X4804" t="s">
        <v>21601</v>
      </c>
      <c r="Y4804" t="s">
        <v>986</v>
      </c>
      <c r="Z4804" t="s">
        <v>117</v>
      </c>
      <c r="AA4804" t="str">
        <f>"14701-5433"</f>
        <v>14701-5433</v>
      </c>
      <c r="AB4804" t="s">
        <v>621</v>
      </c>
      <c r="AC4804" t="s">
        <v>119</v>
      </c>
      <c r="AD4804" t="s">
        <v>113</v>
      </c>
      <c r="AE4804" t="s">
        <v>120</v>
      </c>
      <c r="AG4804" t="s">
        <v>121</v>
      </c>
    </row>
    <row r="4805" spans="1:33" x14ac:dyDescent="0.25">
      <c r="A4805" t="str">
        <f>"1699953596"</f>
        <v>1699953596</v>
      </c>
      <c r="B4805" t="str">
        <f>"03297270"</f>
        <v>03297270</v>
      </c>
      <c r="C4805" t="s">
        <v>24562</v>
      </c>
      <c r="D4805" t="s">
        <v>24563</v>
      </c>
      <c r="E4805" t="s">
        <v>24564</v>
      </c>
      <c r="G4805" t="s">
        <v>24565</v>
      </c>
      <c r="H4805" t="s">
        <v>24566</v>
      </c>
      <c r="L4805" t="s">
        <v>142</v>
      </c>
      <c r="M4805" t="s">
        <v>113</v>
      </c>
      <c r="R4805" t="s">
        <v>24567</v>
      </c>
      <c r="W4805" t="s">
        <v>24564</v>
      </c>
      <c r="X4805" t="s">
        <v>6840</v>
      </c>
      <c r="Y4805" t="s">
        <v>2946</v>
      </c>
      <c r="Z4805" t="s">
        <v>117</v>
      </c>
      <c r="AA4805" t="str">
        <f>"14075-4231"</f>
        <v>14075-4231</v>
      </c>
      <c r="AB4805" t="s">
        <v>118</v>
      </c>
      <c r="AC4805" t="s">
        <v>119</v>
      </c>
      <c r="AD4805" t="s">
        <v>113</v>
      </c>
      <c r="AE4805" t="s">
        <v>120</v>
      </c>
      <c r="AG4805" t="s">
        <v>121</v>
      </c>
    </row>
    <row r="4806" spans="1:33" x14ac:dyDescent="0.25">
      <c r="A4806" t="str">
        <f>"1124460217"</f>
        <v>1124460217</v>
      </c>
      <c r="B4806" t="str">
        <f>"03690342"</f>
        <v>03690342</v>
      </c>
      <c r="C4806" t="s">
        <v>24346</v>
      </c>
      <c r="D4806" t="s">
        <v>24568</v>
      </c>
      <c r="E4806" t="s">
        <v>24569</v>
      </c>
      <c r="G4806" t="s">
        <v>24570</v>
      </c>
      <c r="H4806" t="s">
        <v>24571</v>
      </c>
      <c r="L4806" t="s">
        <v>142</v>
      </c>
      <c r="M4806" t="s">
        <v>113</v>
      </c>
      <c r="R4806" t="s">
        <v>24572</v>
      </c>
      <c r="W4806" t="s">
        <v>24569</v>
      </c>
      <c r="X4806" t="s">
        <v>24573</v>
      </c>
      <c r="Y4806" t="s">
        <v>305</v>
      </c>
      <c r="Z4806" t="s">
        <v>117</v>
      </c>
      <c r="AA4806" t="str">
        <f>"14760-1951"</f>
        <v>14760-1951</v>
      </c>
      <c r="AB4806" t="s">
        <v>118</v>
      </c>
      <c r="AC4806" t="s">
        <v>119</v>
      </c>
      <c r="AD4806" t="s">
        <v>113</v>
      </c>
      <c r="AE4806" t="s">
        <v>120</v>
      </c>
      <c r="AG4806" t="s">
        <v>121</v>
      </c>
    </row>
    <row r="4807" spans="1:33" x14ac:dyDescent="0.25">
      <c r="C4807" t="s">
        <v>24574</v>
      </c>
      <c r="G4807" t="s">
        <v>24575</v>
      </c>
      <c r="H4807" t="s">
        <v>24576</v>
      </c>
      <c r="J4807" t="s">
        <v>24577</v>
      </c>
      <c r="K4807" t="s">
        <v>303</v>
      </c>
      <c r="L4807" t="s">
        <v>3095</v>
      </c>
      <c r="M4807" t="s">
        <v>113</v>
      </c>
      <c r="AC4807" t="s">
        <v>119</v>
      </c>
      <c r="AD4807" t="s">
        <v>113</v>
      </c>
      <c r="AE4807" t="s">
        <v>3098</v>
      </c>
      <c r="AG4807" t="s">
        <v>121</v>
      </c>
    </row>
    <row r="4808" spans="1:33" x14ac:dyDescent="0.25">
      <c r="C4808" t="s">
        <v>24578</v>
      </c>
      <c r="G4808" t="s">
        <v>24579</v>
      </c>
      <c r="H4808" t="s">
        <v>24580</v>
      </c>
      <c r="J4808" t="s">
        <v>24581</v>
      </c>
      <c r="K4808" t="s">
        <v>303</v>
      </c>
      <c r="L4808" t="s">
        <v>3095</v>
      </c>
      <c r="M4808" t="s">
        <v>113</v>
      </c>
      <c r="AC4808" t="s">
        <v>119</v>
      </c>
      <c r="AD4808" t="s">
        <v>113</v>
      </c>
      <c r="AE4808" t="s">
        <v>3098</v>
      </c>
      <c r="AG4808" t="s">
        <v>121</v>
      </c>
    </row>
    <row r="4809" spans="1:33" x14ac:dyDescent="0.25">
      <c r="A4809" t="str">
        <f>"1477943512"</f>
        <v>1477943512</v>
      </c>
      <c r="C4809" t="s">
        <v>24582</v>
      </c>
      <c r="G4809" t="s">
        <v>20732</v>
      </c>
      <c r="H4809" t="s">
        <v>443</v>
      </c>
      <c r="J4809" t="s">
        <v>24156</v>
      </c>
      <c r="K4809" t="s">
        <v>303</v>
      </c>
      <c r="L4809" t="s">
        <v>112</v>
      </c>
      <c r="M4809" t="s">
        <v>113</v>
      </c>
      <c r="R4809" t="s">
        <v>24583</v>
      </c>
      <c r="S4809" t="s">
        <v>409</v>
      </c>
      <c r="T4809" t="s">
        <v>116</v>
      </c>
      <c r="U4809" t="s">
        <v>117</v>
      </c>
      <c r="V4809" t="str">
        <f>"142152814"</f>
        <v>142152814</v>
      </c>
      <c r="AC4809" t="s">
        <v>119</v>
      </c>
      <c r="AD4809" t="s">
        <v>113</v>
      </c>
      <c r="AE4809" t="s">
        <v>306</v>
      </c>
      <c r="AG4809" t="s">
        <v>121</v>
      </c>
    </row>
    <row r="4810" spans="1:33" x14ac:dyDescent="0.25">
      <c r="A4810" t="str">
        <f>"1285025197"</f>
        <v>1285025197</v>
      </c>
      <c r="C4810" t="s">
        <v>24584</v>
      </c>
      <c r="G4810" t="s">
        <v>20732</v>
      </c>
      <c r="H4810" t="s">
        <v>443</v>
      </c>
      <c r="J4810" t="s">
        <v>24156</v>
      </c>
      <c r="K4810" t="s">
        <v>303</v>
      </c>
      <c r="L4810" t="s">
        <v>112</v>
      </c>
      <c r="M4810" t="s">
        <v>113</v>
      </c>
      <c r="R4810" t="s">
        <v>24585</v>
      </c>
      <c r="S4810" t="s">
        <v>409</v>
      </c>
      <c r="T4810" t="s">
        <v>116</v>
      </c>
      <c r="U4810" t="s">
        <v>117</v>
      </c>
      <c r="V4810" t="str">
        <f>"142152814"</f>
        <v>142152814</v>
      </c>
      <c r="AC4810" t="s">
        <v>119</v>
      </c>
      <c r="AD4810" t="s">
        <v>113</v>
      </c>
      <c r="AE4810" t="s">
        <v>306</v>
      </c>
      <c r="AG4810" t="s">
        <v>121</v>
      </c>
    </row>
    <row r="4811" spans="1:33" x14ac:dyDescent="0.25">
      <c r="A4811" t="str">
        <f>"1215262035"</f>
        <v>1215262035</v>
      </c>
      <c r="B4811" t="str">
        <f>"03164418"</f>
        <v>03164418</v>
      </c>
      <c r="C4811" t="s">
        <v>24586</v>
      </c>
      <c r="D4811" t="s">
        <v>24587</v>
      </c>
      <c r="E4811" t="s">
        <v>24588</v>
      </c>
      <c r="G4811" t="s">
        <v>24589</v>
      </c>
      <c r="H4811" t="s">
        <v>24590</v>
      </c>
      <c r="L4811" t="s">
        <v>150</v>
      </c>
      <c r="M4811" t="s">
        <v>113</v>
      </c>
      <c r="R4811" t="s">
        <v>24588</v>
      </c>
      <c r="W4811" t="s">
        <v>24588</v>
      </c>
      <c r="X4811" t="s">
        <v>24591</v>
      </c>
      <c r="Y4811" t="s">
        <v>305</v>
      </c>
      <c r="Z4811" t="s">
        <v>117</v>
      </c>
      <c r="AA4811" t="str">
        <f>"14760-2237"</f>
        <v>14760-2237</v>
      </c>
      <c r="AB4811" t="s">
        <v>118</v>
      </c>
      <c r="AC4811" t="s">
        <v>119</v>
      </c>
      <c r="AD4811" t="s">
        <v>113</v>
      </c>
      <c r="AE4811" t="s">
        <v>120</v>
      </c>
      <c r="AG4811" t="s">
        <v>121</v>
      </c>
    </row>
    <row r="4812" spans="1:33" x14ac:dyDescent="0.25">
      <c r="A4812" t="str">
        <f>"1235459066"</f>
        <v>1235459066</v>
      </c>
      <c r="B4812" t="str">
        <f>"04038919"</f>
        <v>04038919</v>
      </c>
      <c r="C4812" t="s">
        <v>24592</v>
      </c>
      <c r="D4812" t="s">
        <v>24593</v>
      </c>
      <c r="E4812" t="s">
        <v>24594</v>
      </c>
      <c r="G4812" t="s">
        <v>24595</v>
      </c>
      <c r="H4812" t="s">
        <v>10122</v>
      </c>
      <c r="L4812" t="s">
        <v>142</v>
      </c>
      <c r="M4812" t="s">
        <v>113</v>
      </c>
      <c r="R4812" t="s">
        <v>24596</v>
      </c>
      <c r="W4812" t="s">
        <v>24596</v>
      </c>
      <c r="X4812" t="s">
        <v>15902</v>
      </c>
      <c r="Y4812" t="s">
        <v>1257</v>
      </c>
      <c r="Z4812" t="s">
        <v>117</v>
      </c>
      <c r="AA4812" t="str">
        <f>"14141-9705"</f>
        <v>14141-9705</v>
      </c>
      <c r="AB4812" t="s">
        <v>118</v>
      </c>
      <c r="AC4812" t="s">
        <v>119</v>
      </c>
      <c r="AD4812" t="s">
        <v>113</v>
      </c>
      <c r="AE4812" t="s">
        <v>120</v>
      </c>
      <c r="AG4812" t="s">
        <v>121</v>
      </c>
    </row>
    <row r="4813" spans="1:33" x14ac:dyDescent="0.25">
      <c r="C4813" t="s">
        <v>24597</v>
      </c>
      <c r="G4813" t="s">
        <v>24598</v>
      </c>
      <c r="J4813" t="s">
        <v>24599</v>
      </c>
      <c r="K4813" t="s">
        <v>303</v>
      </c>
      <c r="L4813" t="s">
        <v>3095</v>
      </c>
      <c r="M4813" t="s">
        <v>113</v>
      </c>
      <c r="AC4813" t="s">
        <v>119</v>
      </c>
      <c r="AD4813" t="s">
        <v>113</v>
      </c>
      <c r="AE4813" t="s">
        <v>3098</v>
      </c>
      <c r="AG4813" t="s">
        <v>121</v>
      </c>
    </row>
    <row r="4814" spans="1:33" x14ac:dyDescent="0.25">
      <c r="C4814" t="s">
        <v>24600</v>
      </c>
      <c r="G4814" t="s">
        <v>24601</v>
      </c>
      <c r="J4814" t="s">
        <v>24602</v>
      </c>
      <c r="K4814" t="s">
        <v>303</v>
      </c>
      <c r="L4814" t="s">
        <v>3095</v>
      </c>
      <c r="M4814" t="s">
        <v>113</v>
      </c>
      <c r="AC4814" t="s">
        <v>119</v>
      </c>
      <c r="AD4814" t="s">
        <v>113</v>
      </c>
      <c r="AE4814" t="s">
        <v>3098</v>
      </c>
      <c r="AG4814" t="s">
        <v>121</v>
      </c>
    </row>
    <row r="4815" spans="1:33" x14ac:dyDescent="0.25">
      <c r="A4815" t="str">
        <f>"1780079483"</f>
        <v>1780079483</v>
      </c>
      <c r="C4815" t="s">
        <v>24603</v>
      </c>
      <c r="G4815" t="s">
        <v>20732</v>
      </c>
      <c r="H4815" t="s">
        <v>443</v>
      </c>
      <c r="J4815" t="s">
        <v>24156</v>
      </c>
      <c r="K4815" t="s">
        <v>303</v>
      </c>
      <c r="L4815" t="s">
        <v>229</v>
      </c>
      <c r="M4815" t="s">
        <v>113</v>
      </c>
      <c r="R4815" t="s">
        <v>24604</v>
      </c>
      <c r="S4815" t="s">
        <v>409</v>
      </c>
      <c r="T4815" t="s">
        <v>116</v>
      </c>
      <c r="U4815" t="s">
        <v>117</v>
      </c>
      <c r="V4815" t="str">
        <f>"142152814"</f>
        <v>142152814</v>
      </c>
      <c r="AC4815" t="s">
        <v>119</v>
      </c>
      <c r="AD4815" t="s">
        <v>113</v>
      </c>
      <c r="AE4815" t="s">
        <v>306</v>
      </c>
      <c r="AG4815" t="s">
        <v>121</v>
      </c>
    </row>
    <row r="4816" spans="1:33" x14ac:dyDescent="0.25">
      <c r="A4816" t="str">
        <f>"1821471541"</f>
        <v>1821471541</v>
      </c>
      <c r="C4816" t="s">
        <v>24605</v>
      </c>
      <c r="G4816" t="s">
        <v>20732</v>
      </c>
      <c r="H4816" t="s">
        <v>443</v>
      </c>
      <c r="J4816" t="s">
        <v>24156</v>
      </c>
      <c r="K4816" t="s">
        <v>303</v>
      </c>
      <c r="L4816" t="s">
        <v>112</v>
      </c>
      <c r="M4816" t="s">
        <v>113</v>
      </c>
      <c r="R4816" t="s">
        <v>24606</v>
      </c>
      <c r="S4816" t="s">
        <v>409</v>
      </c>
      <c r="T4816" t="s">
        <v>116</v>
      </c>
      <c r="U4816" t="s">
        <v>117</v>
      </c>
      <c r="V4816" t="str">
        <f>"142152814"</f>
        <v>142152814</v>
      </c>
      <c r="AC4816" t="s">
        <v>119</v>
      </c>
      <c r="AD4816" t="s">
        <v>113</v>
      </c>
      <c r="AE4816" t="s">
        <v>306</v>
      </c>
      <c r="AG4816" t="s">
        <v>121</v>
      </c>
    </row>
    <row r="4817" spans="1:33" x14ac:dyDescent="0.25">
      <c r="A4817" t="str">
        <f>"1346226271"</f>
        <v>1346226271</v>
      </c>
      <c r="B4817" t="str">
        <f>"02335197"</f>
        <v>02335197</v>
      </c>
      <c r="C4817" t="s">
        <v>24607</v>
      </c>
      <c r="D4817" t="s">
        <v>24608</v>
      </c>
      <c r="E4817" t="s">
        <v>24609</v>
      </c>
      <c r="G4817" t="s">
        <v>24610</v>
      </c>
      <c r="H4817" t="s">
        <v>13301</v>
      </c>
      <c r="L4817" t="s">
        <v>150</v>
      </c>
      <c r="M4817" t="s">
        <v>113</v>
      </c>
      <c r="R4817" t="s">
        <v>24611</v>
      </c>
      <c r="W4817" t="s">
        <v>24609</v>
      </c>
      <c r="X4817" t="s">
        <v>2531</v>
      </c>
      <c r="Y4817" t="s">
        <v>240</v>
      </c>
      <c r="Z4817" t="s">
        <v>117</v>
      </c>
      <c r="AA4817" t="str">
        <f>"14221-5438"</f>
        <v>14221-5438</v>
      </c>
      <c r="AB4817" t="s">
        <v>118</v>
      </c>
      <c r="AC4817" t="s">
        <v>119</v>
      </c>
      <c r="AD4817" t="s">
        <v>113</v>
      </c>
      <c r="AE4817" t="s">
        <v>120</v>
      </c>
      <c r="AG4817" t="s">
        <v>121</v>
      </c>
    </row>
    <row r="4818" spans="1:33" x14ac:dyDescent="0.25">
      <c r="A4818" t="str">
        <f>"1346575156"</f>
        <v>1346575156</v>
      </c>
      <c r="B4818" t="str">
        <f>"02345471"</f>
        <v>02345471</v>
      </c>
      <c r="C4818" t="s">
        <v>24255</v>
      </c>
      <c r="D4818" t="s">
        <v>24612</v>
      </c>
      <c r="E4818" t="s">
        <v>24613</v>
      </c>
      <c r="G4818" t="s">
        <v>24614</v>
      </c>
      <c r="H4818" t="s">
        <v>1050</v>
      </c>
      <c r="L4818" t="s">
        <v>150</v>
      </c>
      <c r="M4818" t="s">
        <v>113</v>
      </c>
      <c r="R4818" t="s">
        <v>24615</v>
      </c>
      <c r="W4818" t="s">
        <v>24613</v>
      </c>
      <c r="X4818" t="s">
        <v>1054</v>
      </c>
      <c r="Y4818" t="s">
        <v>816</v>
      </c>
      <c r="Z4818" t="s">
        <v>117</v>
      </c>
      <c r="AA4818" t="str">
        <f>"14120-1114"</f>
        <v>14120-1114</v>
      </c>
      <c r="AB4818" t="s">
        <v>118</v>
      </c>
      <c r="AC4818" t="s">
        <v>119</v>
      </c>
      <c r="AD4818" t="s">
        <v>113</v>
      </c>
      <c r="AE4818" t="s">
        <v>120</v>
      </c>
      <c r="AG4818" t="s">
        <v>121</v>
      </c>
    </row>
    <row r="4819" spans="1:33" x14ac:dyDescent="0.25">
      <c r="C4819" t="s">
        <v>24616</v>
      </c>
      <c r="G4819" t="s">
        <v>24617</v>
      </c>
      <c r="K4819" t="s">
        <v>303</v>
      </c>
      <c r="L4819" t="s">
        <v>3095</v>
      </c>
      <c r="M4819" t="s">
        <v>113</v>
      </c>
      <c r="AC4819" t="s">
        <v>119</v>
      </c>
      <c r="AD4819" t="s">
        <v>113</v>
      </c>
      <c r="AE4819" t="s">
        <v>3098</v>
      </c>
      <c r="AG4819" t="s">
        <v>121</v>
      </c>
    </row>
    <row r="4820" spans="1:33" x14ac:dyDescent="0.25">
      <c r="C4820" t="s">
        <v>24618</v>
      </c>
      <c r="G4820" t="s">
        <v>24619</v>
      </c>
      <c r="K4820" t="s">
        <v>303</v>
      </c>
      <c r="L4820" t="s">
        <v>3095</v>
      </c>
      <c r="M4820" t="s">
        <v>113</v>
      </c>
      <c r="AC4820" t="s">
        <v>119</v>
      </c>
      <c r="AD4820" t="s">
        <v>113</v>
      </c>
      <c r="AE4820" t="s">
        <v>3098</v>
      </c>
      <c r="AG4820" t="s">
        <v>121</v>
      </c>
    </row>
    <row r="4821" spans="1:33" x14ac:dyDescent="0.25">
      <c r="A4821" t="str">
        <f>"1841667490"</f>
        <v>1841667490</v>
      </c>
      <c r="C4821" t="s">
        <v>24620</v>
      </c>
      <c r="G4821" t="s">
        <v>18939</v>
      </c>
      <c r="H4821" t="s">
        <v>17930</v>
      </c>
      <c r="J4821" t="s">
        <v>24381</v>
      </c>
      <c r="K4821" t="s">
        <v>303</v>
      </c>
      <c r="L4821" t="s">
        <v>229</v>
      </c>
      <c r="M4821" t="s">
        <v>113</v>
      </c>
      <c r="R4821" t="s">
        <v>24621</v>
      </c>
      <c r="S4821" t="s">
        <v>651</v>
      </c>
      <c r="T4821" t="s">
        <v>116</v>
      </c>
      <c r="U4821" t="s">
        <v>117</v>
      </c>
      <c r="V4821" t="str">
        <f>"142091912"</f>
        <v>142091912</v>
      </c>
      <c r="AC4821" t="s">
        <v>119</v>
      </c>
      <c r="AD4821" t="s">
        <v>113</v>
      </c>
      <c r="AE4821" t="s">
        <v>306</v>
      </c>
      <c r="AG4821" t="s">
        <v>121</v>
      </c>
    </row>
    <row r="4822" spans="1:33" x14ac:dyDescent="0.25">
      <c r="A4822" t="str">
        <f>"1386877959"</f>
        <v>1386877959</v>
      </c>
      <c r="B4822" t="str">
        <f>"04202897"</f>
        <v>04202897</v>
      </c>
      <c r="C4822" t="s">
        <v>24622</v>
      </c>
      <c r="D4822" t="s">
        <v>24623</v>
      </c>
      <c r="E4822" t="s">
        <v>24624</v>
      </c>
      <c r="G4822" t="s">
        <v>20732</v>
      </c>
      <c r="H4822" t="s">
        <v>443</v>
      </c>
      <c r="J4822" t="s">
        <v>24156</v>
      </c>
      <c r="L4822" t="s">
        <v>112</v>
      </c>
      <c r="M4822" t="s">
        <v>113</v>
      </c>
      <c r="R4822" t="s">
        <v>24625</v>
      </c>
      <c r="W4822" t="s">
        <v>24624</v>
      </c>
      <c r="X4822" t="s">
        <v>4856</v>
      </c>
      <c r="Y4822" t="s">
        <v>326</v>
      </c>
      <c r="Z4822" t="s">
        <v>117</v>
      </c>
      <c r="AA4822" t="str">
        <f>"14127-1506"</f>
        <v>14127-1506</v>
      </c>
      <c r="AB4822" t="s">
        <v>621</v>
      </c>
      <c r="AC4822" t="s">
        <v>119</v>
      </c>
      <c r="AD4822" t="s">
        <v>113</v>
      </c>
      <c r="AE4822" t="s">
        <v>120</v>
      </c>
      <c r="AG4822" t="s">
        <v>121</v>
      </c>
    </row>
    <row r="4823" spans="1:33" x14ac:dyDescent="0.25">
      <c r="A4823" t="str">
        <f>"1043500192"</f>
        <v>1043500192</v>
      </c>
      <c r="B4823" t="str">
        <f>"04168618"</f>
        <v>04168618</v>
      </c>
      <c r="C4823" t="s">
        <v>24626</v>
      </c>
      <c r="D4823" t="s">
        <v>24627</v>
      </c>
      <c r="E4823" t="s">
        <v>24628</v>
      </c>
      <c r="G4823" t="s">
        <v>24629</v>
      </c>
      <c r="H4823" t="s">
        <v>2725</v>
      </c>
      <c r="L4823" t="s">
        <v>1033</v>
      </c>
      <c r="M4823" t="s">
        <v>113</v>
      </c>
      <c r="R4823" t="s">
        <v>24630</v>
      </c>
      <c r="W4823" t="s">
        <v>24628</v>
      </c>
      <c r="X4823" t="s">
        <v>152</v>
      </c>
      <c r="Y4823" t="s">
        <v>153</v>
      </c>
      <c r="Z4823" t="s">
        <v>117</v>
      </c>
      <c r="AA4823" t="str">
        <f>"14301-1813"</f>
        <v>14301-1813</v>
      </c>
      <c r="AB4823" t="s">
        <v>118</v>
      </c>
      <c r="AC4823" t="s">
        <v>119</v>
      </c>
      <c r="AD4823" t="s">
        <v>113</v>
      </c>
      <c r="AE4823" t="s">
        <v>120</v>
      </c>
      <c r="AG4823" t="s">
        <v>121</v>
      </c>
    </row>
    <row r="4824" spans="1:33" x14ac:dyDescent="0.25">
      <c r="A4824" t="str">
        <f>"1962666107"</f>
        <v>1962666107</v>
      </c>
      <c r="B4824" t="str">
        <f>"03360905"</f>
        <v>03360905</v>
      </c>
      <c r="C4824" t="s">
        <v>24562</v>
      </c>
      <c r="D4824" t="s">
        <v>24631</v>
      </c>
      <c r="E4824" t="s">
        <v>24632</v>
      </c>
      <c r="G4824" t="s">
        <v>24633</v>
      </c>
      <c r="H4824" t="s">
        <v>2725</v>
      </c>
      <c r="L4824" t="s">
        <v>112</v>
      </c>
      <c r="M4824" t="s">
        <v>113</v>
      </c>
      <c r="R4824" t="s">
        <v>24634</v>
      </c>
      <c r="W4824" t="s">
        <v>24632</v>
      </c>
      <c r="X4824" t="s">
        <v>3599</v>
      </c>
      <c r="Y4824" t="s">
        <v>986</v>
      </c>
      <c r="Z4824" t="s">
        <v>117</v>
      </c>
      <c r="AA4824" t="str">
        <f>"14701-7077"</f>
        <v>14701-7077</v>
      </c>
      <c r="AB4824" t="s">
        <v>118</v>
      </c>
      <c r="AC4824" t="s">
        <v>119</v>
      </c>
      <c r="AD4824" t="s">
        <v>113</v>
      </c>
      <c r="AE4824" t="s">
        <v>120</v>
      </c>
      <c r="AG4824" t="s">
        <v>121</v>
      </c>
    </row>
    <row r="4825" spans="1:33" x14ac:dyDescent="0.25">
      <c r="C4825" t="s">
        <v>24635</v>
      </c>
      <c r="G4825" t="s">
        <v>24636</v>
      </c>
      <c r="H4825" t="s">
        <v>24637</v>
      </c>
      <c r="J4825" t="s">
        <v>24638</v>
      </c>
      <c r="K4825" t="s">
        <v>303</v>
      </c>
      <c r="L4825" t="s">
        <v>3095</v>
      </c>
      <c r="M4825" t="s">
        <v>113</v>
      </c>
      <c r="N4825" t="s">
        <v>24639</v>
      </c>
      <c r="O4825" t="s">
        <v>3097</v>
      </c>
      <c r="P4825" t="s">
        <v>22800</v>
      </c>
      <c r="Q4825" t="str">
        <f>"14226"</f>
        <v>14226</v>
      </c>
      <c r="AC4825" t="s">
        <v>119</v>
      </c>
      <c r="AD4825" t="s">
        <v>113</v>
      </c>
      <c r="AE4825" t="s">
        <v>3098</v>
      </c>
      <c r="AG4825" t="s">
        <v>121</v>
      </c>
    </row>
    <row r="4826" spans="1:33" x14ac:dyDescent="0.25">
      <c r="C4826" t="s">
        <v>24640</v>
      </c>
      <c r="G4826" t="s">
        <v>24641</v>
      </c>
      <c r="H4826" t="s">
        <v>24642</v>
      </c>
      <c r="J4826" t="s">
        <v>24643</v>
      </c>
      <c r="K4826" t="s">
        <v>303</v>
      </c>
      <c r="L4826" t="s">
        <v>3095</v>
      </c>
      <c r="M4826" t="s">
        <v>113</v>
      </c>
      <c r="N4826" t="s">
        <v>24644</v>
      </c>
      <c r="O4826" t="s">
        <v>24645</v>
      </c>
      <c r="P4826" t="s">
        <v>117</v>
      </c>
      <c r="Q4826" t="str">
        <f>"14040"</f>
        <v>14040</v>
      </c>
      <c r="AC4826" t="s">
        <v>119</v>
      </c>
      <c r="AD4826" t="s">
        <v>113</v>
      </c>
      <c r="AE4826" t="s">
        <v>3098</v>
      </c>
      <c r="AG4826" t="s">
        <v>121</v>
      </c>
    </row>
    <row r="4827" spans="1:33" x14ac:dyDescent="0.25">
      <c r="A4827" t="str">
        <f>"1386022689"</f>
        <v>1386022689</v>
      </c>
      <c r="C4827" t="s">
        <v>24646</v>
      </c>
      <c r="G4827" t="s">
        <v>20732</v>
      </c>
      <c r="H4827" t="s">
        <v>443</v>
      </c>
      <c r="J4827" t="s">
        <v>24156</v>
      </c>
      <c r="K4827" t="s">
        <v>303</v>
      </c>
      <c r="L4827" t="s">
        <v>229</v>
      </c>
      <c r="M4827" t="s">
        <v>113</v>
      </c>
      <c r="R4827" t="s">
        <v>24647</v>
      </c>
      <c r="S4827" t="s">
        <v>409</v>
      </c>
      <c r="T4827" t="s">
        <v>116</v>
      </c>
      <c r="U4827" t="s">
        <v>117</v>
      </c>
      <c r="V4827" t="str">
        <f>"142152814"</f>
        <v>142152814</v>
      </c>
      <c r="AC4827" t="s">
        <v>119</v>
      </c>
      <c r="AD4827" t="s">
        <v>113</v>
      </c>
      <c r="AE4827" t="s">
        <v>306</v>
      </c>
      <c r="AG4827" t="s">
        <v>121</v>
      </c>
    </row>
    <row r="4828" spans="1:33" x14ac:dyDescent="0.25">
      <c r="A4828" t="str">
        <f>"1215315866"</f>
        <v>1215315866</v>
      </c>
      <c r="C4828" t="s">
        <v>24648</v>
      </c>
      <c r="G4828" t="s">
        <v>20732</v>
      </c>
      <c r="H4828" t="s">
        <v>443</v>
      </c>
      <c r="J4828" t="s">
        <v>24156</v>
      </c>
      <c r="K4828" t="s">
        <v>303</v>
      </c>
      <c r="L4828" t="s">
        <v>112</v>
      </c>
      <c r="M4828" t="s">
        <v>113</v>
      </c>
      <c r="R4828" t="s">
        <v>24649</v>
      </c>
      <c r="S4828" t="s">
        <v>409</v>
      </c>
      <c r="T4828" t="s">
        <v>116</v>
      </c>
      <c r="U4828" t="s">
        <v>117</v>
      </c>
      <c r="V4828" t="str">
        <f>"142152814"</f>
        <v>142152814</v>
      </c>
      <c r="AC4828" t="s">
        <v>119</v>
      </c>
      <c r="AD4828" t="s">
        <v>113</v>
      </c>
      <c r="AE4828" t="s">
        <v>306</v>
      </c>
      <c r="AG4828" t="s">
        <v>121</v>
      </c>
    </row>
    <row r="4829" spans="1:33" x14ac:dyDescent="0.25">
      <c r="A4829" t="str">
        <f>"1245519800"</f>
        <v>1245519800</v>
      </c>
      <c r="B4829" t="str">
        <f>"03387482"</f>
        <v>03387482</v>
      </c>
      <c r="C4829" t="s">
        <v>24144</v>
      </c>
      <c r="D4829" t="s">
        <v>24650</v>
      </c>
      <c r="E4829" t="s">
        <v>24651</v>
      </c>
      <c r="G4829" t="s">
        <v>24652</v>
      </c>
      <c r="H4829" t="s">
        <v>4837</v>
      </c>
      <c r="L4829" t="s">
        <v>150</v>
      </c>
      <c r="M4829" t="s">
        <v>199</v>
      </c>
      <c r="R4829" t="s">
        <v>24653</v>
      </c>
      <c r="W4829" t="s">
        <v>24651</v>
      </c>
      <c r="X4829" t="s">
        <v>18507</v>
      </c>
      <c r="Y4829" t="s">
        <v>116</v>
      </c>
      <c r="Z4829" t="s">
        <v>117</v>
      </c>
      <c r="AA4829" t="str">
        <f>"14207-1910"</f>
        <v>14207-1910</v>
      </c>
      <c r="AB4829" t="s">
        <v>118</v>
      </c>
      <c r="AC4829" t="s">
        <v>119</v>
      </c>
      <c r="AD4829" t="s">
        <v>113</v>
      </c>
      <c r="AE4829" t="s">
        <v>120</v>
      </c>
      <c r="AG4829" t="s">
        <v>121</v>
      </c>
    </row>
    <row r="4830" spans="1:33" x14ac:dyDescent="0.25">
      <c r="A4830" t="str">
        <f>"1578859476"</f>
        <v>1578859476</v>
      </c>
      <c r="B4830" t="str">
        <f>"04283556"</f>
        <v>04283556</v>
      </c>
      <c r="C4830" t="s">
        <v>24202</v>
      </c>
      <c r="D4830" t="s">
        <v>24654</v>
      </c>
      <c r="E4830" t="s">
        <v>24655</v>
      </c>
      <c r="G4830" t="s">
        <v>24656</v>
      </c>
      <c r="H4830" t="s">
        <v>272</v>
      </c>
      <c r="L4830" t="s">
        <v>150</v>
      </c>
      <c r="M4830" t="s">
        <v>113</v>
      </c>
      <c r="R4830" t="s">
        <v>24655</v>
      </c>
      <c r="W4830" t="s">
        <v>24655</v>
      </c>
      <c r="X4830" t="s">
        <v>24208</v>
      </c>
      <c r="Y4830" t="s">
        <v>17202</v>
      </c>
      <c r="Z4830" t="s">
        <v>117</v>
      </c>
      <c r="AA4830" t="str">
        <f>"14228-2044"</f>
        <v>14228-2044</v>
      </c>
      <c r="AB4830" t="s">
        <v>118</v>
      </c>
      <c r="AC4830" t="s">
        <v>119</v>
      </c>
      <c r="AD4830" t="s">
        <v>113</v>
      </c>
      <c r="AE4830" t="s">
        <v>120</v>
      </c>
      <c r="AG4830" t="s">
        <v>121</v>
      </c>
    </row>
    <row r="4831" spans="1:33" x14ac:dyDescent="0.25">
      <c r="A4831" t="str">
        <f>"1093191488"</f>
        <v>1093191488</v>
      </c>
      <c r="B4831" t="str">
        <f>"01032897"</f>
        <v>01032897</v>
      </c>
      <c r="C4831" t="s">
        <v>24657</v>
      </c>
      <c r="D4831" t="s">
        <v>24658</v>
      </c>
      <c r="E4831" t="s">
        <v>24659</v>
      </c>
      <c r="G4831" t="s">
        <v>24660</v>
      </c>
      <c r="H4831" t="s">
        <v>24661</v>
      </c>
      <c r="J4831" t="s">
        <v>24662</v>
      </c>
      <c r="L4831" t="s">
        <v>229</v>
      </c>
      <c r="M4831" t="s">
        <v>199</v>
      </c>
      <c r="R4831" t="s">
        <v>24663</v>
      </c>
      <c r="W4831" t="s">
        <v>24659</v>
      </c>
      <c r="X4831" t="s">
        <v>4245</v>
      </c>
      <c r="Y4831" t="s">
        <v>268</v>
      </c>
      <c r="Z4831" t="s">
        <v>117</v>
      </c>
      <c r="AA4831" t="str">
        <f>"14150-9463"</f>
        <v>14150-9463</v>
      </c>
      <c r="AB4831" t="s">
        <v>282</v>
      </c>
      <c r="AC4831" t="s">
        <v>119</v>
      </c>
      <c r="AD4831" t="s">
        <v>113</v>
      </c>
      <c r="AE4831" t="s">
        <v>120</v>
      </c>
      <c r="AG4831" t="s">
        <v>121</v>
      </c>
    </row>
    <row r="4832" spans="1:33" x14ac:dyDescent="0.25">
      <c r="A4832" t="str">
        <f>"1528444916"</f>
        <v>1528444916</v>
      </c>
      <c r="C4832" t="s">
        <v>24664</v>
      </c>
      <c r="G4832" t="s">
        <v>24665</v>
      </c>
      <c r="H4832" t="s">
        <v>24666</v>
      </c>
      <c r="J4832" t="s">
        <v>24667</v>
      </c>
      <c r="K4832" t="s">
        <v>303</v>
      </c>
      <c r="L4832" t="s">
        <v>229</v>
      </c>
      <c r="M4832" t="s">
        <v>113</v>
      </c>
      <c r="R4832" t="s">
        <v>24668</v>
      </c>
      <c r="S4832" t="s">
        <v>9587</v>
      </c>
      <c r="T4832" t="s">
        <v>116</v>
      </c>
      <c r="U4832" t="s">
        <v>117</v>
      </c>
      <c r="V4832" t="str">
        <f>"142202704"</f>
        <v>142202704</v>
      </c>
      <c r="AC4832" t="s">
        <v>119</v>
      </c>
      <c r="AD4832" t="s">
        <v>113</v>
      </c>
      <c r="AE4832" t="s">
        <v>306</v>
      </c>
      <c r="AG4832" t="s">
        <v>121</v>
      </c>
    </row>
    <row r="4833" spans="1:33" x14ac:dyDescent="0.25">
      <c r="A4833" t="str">
        <f>"1457747115"</f>
        <v>1457747115</v>
      </c>
      <c r="C4833" t="s">
        <v>24669</v>
      </c>
      <c r="G4833" t="s">
        <v>20732</v>
      </c>
      <c r="H4833" t="s">
        <v>443</v>
      </c>
      <c r="J4833" t="s">
        <v>24156</v>
      </c>
      <c r="K4833" t="s">
        <v>303</v>
      </c>
      <c r="L4833" t="s">
        <v>229</v>
      </c>
      <c r="M4833" t="s">
        <v>113</v>
      </c>
      <c r="R4833" t="s">
        <v>24670</v>
      </c>
      <c r="S4833" t="s">
        <v>409</v>
      </c>
      <c r="T4833" t="s">
        <v>116</v>
      </c>
      <c r="U4833" t="s">
        <v>117</v>
      </c>
      <c r="V4833" t="str">
        <f>"142152814"</f>
        <v>142152814</v>
      </c>
      <c r="AC4833" t="s">
        <v>119</v>
      </c>
      <c r="AD4833" t="s">
        <v>113</v>
      </c>
      <c r="AE4833" t="s">
        <v>306</v>
      </c>
      <c r="AG4833" t="s">
        <v>121</v>
      </c>
    </row>
    <row r="4834" spans="1:33" x14ac:dyDescent="0.25">
      <c r="A4834" t="str">
        <f>"1740684141"</f>
        <v>1740684141</v>
      </c>
      <c r="C4834" t="s">
        <v>24671</v>
      </c>
      <c r="G4834" t="s">
        <v>18939</v>
      </c>
      <c r="H4834" t="s">
        <v>17930</v>
      </c>
      <c r="J4834" t="s">
        <v>24381</v>
      </c>
      <c r="K4834" t="s">
        <v>303</v>
      </c>
      <c r="L4834" t="s">
        <v>229</v>
      </c>
      <c r="M4834" t="s">
        <v>113</v>
      </c>
      <c r="R4834" t="s">
        <v>24672</v>
      </c>
      <c r="S4834" t="s">
        <v>409</v>
      </c>
      <c r="T4834" t="s">
        <v>116</v>
      </c>
      <c r="U4834" t="s">
        <v>117</v>
      </c>
      <c r="V4834" t="str">
        <f>"142152814"</f>
        <v>142152814</v>
      </c>
      <c r="AC4834" t="s">
        <v>119</v>
      </c>
      <c r="AD4834" t="s">
        <v>113</v>
      </c>
      <c r="AE4834" t="s">
        <v>306</v>
      </c>
      <c r="AG4834" t="s">
        <v>121</v>
      </c>
    </row>
    <row r="4835" spans="1:33" x14ac:dyDescent="0.25">
      <c r="A4835" t="str">
        <f>"1588699417"</f>
        <v>1588699417</v>
      </c>
      <c r="B4835" t="str">
        <f>"01926407"</f>
        <v>01926407</v>
      </c>
      <c r="C4835" t="s">
        <v>24346</v>
      </c>
      <c r="D4835" t="s">
        <v>24673</v>
      </c>
      <c r="E4835" t="s">
        <v>24674</v>
      </c>
      <c r="G4835" t="s">
        <v>24675</v>
      </c>
      <c r="H4835" t="s">
        <v>24571</v>
      </c>
      <c r="L4835" t="s">
        <v>150</v>
      </c>
      <c r="M4835" t="s">
        <v>113</v>
      </c>
      <c r="R4835" t="s">
        <v>24676</v>
      </c>
      <c r="W4835" t="s">
        <v>24674</v>
      </c>
      <c r="X4835" t="s">
        <v>24677</v>
      </c>
      <c r="Y4835" t="s">
        <v>2007</v>
      </c>
      <c r="Z4835" t="s">
        <v>117</v>
      </c>
      <c r="AA4835" t="str">
        <f>"14727-1317"</f>
        <v>14727-1317</v>
      </c>
      <c r="AB4835" t="s">
        <v>118</v>
      </c>
      <c r="AC4835" t="s">
        <v>119</v>
      </c>
      <c r="AD4835" t="s">
        <v>113</v>
      </c>
      <c r="AE4835" t="s">
        <v>120</v>
      </c>
      <c r="AG4835" t="s">
        <v>121</v>
      </c>
    </row>
    <row r="4836" spans="1:33" x14ac:dyDescent="0.25">
      <c r="A4836" t="str">
        <f>"1679562664"</f>
        <v>1679562664</v>
      </c>
      <c r="B4836" t="str">
        <f>"01429712"</f>
        <v>01429712</v>
      </c>
      <c r="C4836" t="s">
        <v>24678</v>
      </c>
      <c r="D4836" t="s">
        <v>24679</v>
      </c>
      <c r="E4836" t="s">
        <v>24680</v>
      </c>
      <c r="G4836" t="s">
        <v>24681</v>
      </c>
      <c r="H4836" t="s">
        <v>24407</v>
      </c>
      <c r="L4836" t="s">
        <v>142</v>
      </c>
      <c r="M4836" t="s">
        <v>113</v>
      </c>
      <c r="R4836" t="s">
        <v>24682</v>
      </c>
      <c r="W4836" t="s">
        <v>24683</v>
      </c>
      <c r="X4836" t="s">
        <v>6443</v>
      </c>
      <c r="Y4836" t="s">
        <v>1562</v>
      </c>
      <c r="Z4836" t="s">
        <v>117</v>
      </c>
      <c r="AA4836" t="str">
        <f>"14047-9591"</f>
        <v>14047-9591</v>
      </c>
      <c r="AB4836" t="s">
        <v>118</v>
      </c>
      <c r="AC4836" t="s">
        <v>119</v>
      </c>
      <c r="AD4836" t="s">
        <v>113</v>
      </c>
      <c r="AE4836" t="s">
        <v>120</v>
      </c>
      <c r="AG4836" t="s">
        <v>121</v>
      </c>
    </row>
    <row r="4837" spans="1:33" x14ac:dyDescent="0.25">
      <c r="A4837" t="str">
        <f>"1285682617"</f>
        <v>1285682617</v>
      </c>
      <c r="B4837" t="str">
        <f>"01614795"</f>
        <v>01614795</v>
      </c>
      <c r="C4837" t="s">
        <v>24478</v>
      </c>
      <c r="D4837" t="s">
        <v>24684</v>
      </c>
      <c r="E4837" t="s">
        <v>24685</v>
      </c>
      <c r="G4837" t="s">
        <v>24686</v>
      </c>
      <c r="H4837" t="s">
        <v>24482</v>
      </c>
      <c r="L4837" t="s">
        <v>150</v>
      </c>
      <c r="M4837" t="s">
        <v>113</v>
      </c>
      <c r="R4837" t="s">
        <v>24687</v>
      </c>
      <c r="W4837" t="s">
        <v>24685</v>
      </c>
      <c r="X4837" t="s">
        <v>7447</v>
      </c>
      <c r="Y4837" t="s">
        <v>240</v>
      </c>
      <c r="Z4837" t="s">
        <v>117</v>
      </c>
      <c r="AA4837" t="str">
        <f>"14221-1200"</f>
        <v>14221-1200</v>
      </c>
      <c r="AB4837" t="s">
        <v>118</v>
      </c>
      <c r="AC4837" t="s">
        <v>119</v>
      </c>
      <c r="AD4837" t="s">
        <v>113</v>
      </c>
      <c r="AE4837" t="s">
        <v>120</v>
      </c>
      <c r="AG4837" t="s">
        <v>121</v>
      </c>
    </row>
    <row r="4838" spans="1:33" x14ac:dyDescent="0.25">
      <c r="A4838" t="str">
        <f>"1568525418"</f>
        <v>1568525418</v>
      </c>
      <c r="B4838" t="str">
        <f>"00932467"</f>
        <v>00932467</v>
      </c>
      <c r="C4838" t="s">
        <v>24688</v>
      </c>
      <c r="D4838" t="s">
        <v>24689</v>
      </c>
      <c r="E4838" t="s">
        <v>24690</v>
      </c>
      <c r="G4838" t="s">
        <v>18939</v>
      </c>
      <c r="H4838" t="s">
        <v>17930</v>
      </c>
      <c r="J4838" t="s">
        <v>24381</v>
      </c>
      <c r="L4838" t="s">
        <v>9979</v>
      </c>
      <c r="M4838" t="s">
        <v>199</v>
      </c>
      <c r="R4838" t="s">
        <v>24691</v>
      </c>
      <c r="W4838" t="s">
        <v>24690</v>
      </c>
      <c r="X4838" t="s">
        <v>24692</v>
      </c>
      <c r="Y4838" t="s">
        <v>663</v>
      </c>
      <c r="Z4838" t="s">
        <v>117</v>
      </c>
      <c r="AA4838" t="str">
        <f>"14094-3606"</f>
        <v>14094-3606</v>
      </c>
      <c r="AB4838" t="s">
        <v>1146</v>
      </c>
      <c r="AC4838" t="s">
        <v>119</v>
      </c>
      <c r="AD4838" t="s">
        <v>113</v>
      </c>
      <c r="AE4838" t="s">
        <v>120</v>
      </c>
      <c r="AG4838" t="s">
        <v>121</v>
      </c>
    </row>
    <row r="4839" spans="1:33" x14ac:dyDescent="0.25">
      <c r="A4839" t="str">
        <f>"1851780563"</f>
        <v>1851780563</v>
      </c>
      <c r="C4839" t="s">
        <v>24693</v>
      </c>
      <c r="G4839" t="s">
        <v>20732</v>
      </c>
      <c r="H4839" t="s">
        <v>443</v>
      </c>
      <c r="J4839" t="s">
        <v>24156</v>
      </c>
      <c r="K4839" t="s">
        <v>303</v>
      </c>
      <c r="L4839" t="s">
        <v>229</v>
      </c>
      <c r="M4839" t="s">
        <v>113</v>
      </c>
      <c r="R4839" t="s">
        <v>24694</v>
      </c>
      <c r="S4839" t="s">
        <v>409</v>
      </c>
      <c r="T4839" t="s">
        <v>116</v>
      </c>
      <c r="U4839" t="s">
        <v>117</v>
      </c>
      <c r="V4839" t="str">
        <f>"142152814"</f>
        <v>142152814</v>
      </c>
      <c r="AC4839" t="s">
        <v>119</v>
      </c>
      <c r="AD4839" t="s">
        <v>113</v>
      </c>
      <c r="AE4839" t="s">
        <v>306</v>
      </c>
      <c r="AG4839" t="s">
        <v>121</v>
      </c>
    </row>
    <row r="4840" spans="1:33" x14ac:dyDescent="0.25">
      <c r="A4840" t="str">
        <f>"1538205968"</f>
        <v>1538205968</v>
      </c>
      <c r="B4840" t="str">
        <f>"02504790"</f>
        <v>02504790</v>
      </c>
      <c r="C4840" t="s">
        <v>24695</v>
      </c>
      <c r="D4840" t="s">
        <v>24696</v>
      </c>
      <c r="E4840" t="s">
        <v>24697</v>
      </c>
      <c r="G4840" t="s">
        <v>24698</v>
      </c>
      <c r="H4840" t="s">
        <v>24699</v>
      </c>
      <c r="L4840" t="s">
        <v>150</v>
      </c>
      <c r="M4840" t="s">
        <v>113</v>
      </c>
      <c r="R4840" t="s">
        <v>24700</v>
      </c>
      <c r="W4840" t="s">
        <v>24701</v>
      </c>
      <c r="X4840" t="s">
        <v>24702</v>
      </c>
      <c r="Y4840" t="s">
        <v>268</v>
      </c>
      <c r="Z4840" t="s">
        <v>117</v>
      </c>
      <c r="AA4840" t="str">
        <f>"14150-1838"</f>
        <v>14150-1838</v>
      </c>
      <c r="AB4840" t="s">
        <v>118</v>
      </c>
      <c r="AC4840" t="s">
        <v>119</v>
      </c>
      <c r="AD4840" t="s">
        <v>113</v>
      </c>
      <c r="AE4840" t="s">
        <v>120</v>
      </c>
      <c r="AG4840" t="s">
        <v>121</v>
      </c>
    </row>
    <row r="4841" spans="1:33" x14ac:dyDescent="0.25">
      <c r="A4841" t="str">
        <f>"1063569408"</f>
        <v>1063569408</v>
      </c>
      <c r="B4841" t="str">
        <f>"02513660"</f>
        <v>02513660</v>
      </c>
      <c r="C4841" t="s">
        <v>24703</v>
      </c>
      <c r="D4841" t="s">
        <v>24704</v>
      </c>
      <c r="E4841" t="s">
        <v>24705</v>
      </c>
      <c r="G4841" t="s">
        <v>24706</v>
      </c>
      <c r="H4841" t="s">
        <v>20679</v>
      </c>
      <c r="L4841" t="s">
        <v>142</v>
      </c>
      <c r="M4841" t="s">
        <v>199</v>
      </c>
      <c r="R4841" t="s">
        <v>24707</v>
      </c>
      <c r="W4841" t="s">
        <v>24705</v>
      </c>
      <c r="X4841" t="s">
        <v>13875</v>
      </c>
      <c r="Y4841" t="s">
        <v>12061</v>
      </c>
      <c r="Z4841" t="s">
        <v>117</v>
      </c>
      <c r="AA4841" t="str">
        <f>"14031-2105"</f>
        <v>14031-2105</v>
      </c>
      <c r="AB4841" t="s">
        <v>118</v>
      </c>
      <c r="AC4841" t="s">
        <v>119</v>
      </c>
      <c r="AD4841" t="s">
        <v>113</v>
      </c>
      <c r="AE4841" t="s">
        <v>120</v>
      </c>
      <c r="AG4841" t="s">
        <v>121</v>
      </c>
    </row>
    <row r="4842" spans="1:33" x14ac:dyDescent="0.25">
      <c r="A4842" t="str">
        <f>"1780857854"</f>
        <v>1780857854</v>
      </c>
      <c r="B4842" t="str">
        <f>"02961200"</f>
        <v>02961200</v>
      </c>
      <c r="C4842" t="s">
        <v>24708</v>
      </c>
      <c r="D4842" t="s">
        <v>24709</v>
      </c>
      <c r="E4842" t="s">
        <v>24710</v>
      </c>
      <c r="G4842" t="s">
        <v>24711</v>
      </c>
      <c r="H4842" t="s">
        <v>8070</v>
      </c>
      <c r="L4842" t="s">
        <v>142</v>
      </c>
      <c r="M4842" t="s">
        <v>113</v>
      </c>
      <c r="R4842" t="s">
        <v>24712</v>
      </c>
      <c r="W4842" t="s">
        <v>24713</v>
      </c>
      <c r="X4842" t="s">
        <v>10576</v>
      </c>
      <c r="Y4842" t="s">
        <v>958</v>
      </c>
      <c r="Z4842" t="s">
        <v>117</v>
      </c>
      <c r="AA4842" t="str">
        <f>"14226-2547"</f>
        <v>14226-2547</v>
      </c>
      <c r="AB4842" t="s">
        <v>118</v>
      </c>
      <c r="AC4842" t="s">
        <v>119</v>
      </c>
      <c r="AD4842" t="s">
        <v>113</v>
      </c>
      <c r="AE4842" t="s">
        <v>120</v>
      </c>
      <c r="AG4842" t="s">
        <v>121</v>
      </c>
    </row>
    <row r="4843" spans="1:33" x14ac:dyDescent="0.25">
      <c r="A4843" t="str">
        <f>"1730268384"</f>
        <v>1730268384</v>
      </c>
      <c r="B4843" t="str">
        <f>"00321857"</f>
        <v>00321857</v>
      </c>
      <c r="C4843" t="s">
        <v>6747</v>
      </c>
      <c r="D4843" t="s">
        <v>6748</v>
      </c>
      <c r="E4843" t="s">
        <v>6749</v>
      </c>
      <c r="G4843" t="s">
        <v>6750</v>
      </c>
      <c r="H4843" t="s">
        <v>6751</v>
      </c>
      <c r="J4843" t="s">
        <v>6752</v>
      </c>
      <c r="L4843" t="s">
        <v>2697</v>
      </c>
      <c r="M4843" t="s">
        <v>113</v>
      </c>
      <c r="R4843" t="s">
        <v>6747</v>
      </c>
      <c r="W4843" t="s">
        <v>6749</v>
      </c>
      <c r="X4843" t="s">
        <v>6753</v>
      </c>
      <c r="Y4843" t="s">
        <v>240</v>
      </c>
      <c r="Z4843" t="s">
        <v>117</v>
      </c>
      <c r="AA4843" t="str">
        <f>"14221-7039"</f>
        <v>14221-7039</v>
      </c>
      <c r="AB4843" t="s">
        <v>291</v>
      </c>
      <c r="AC4843" t="s">
        <v>119</v>
      </c>
      <c r="AD4843" t="s">
        <v>113</v>
      </c>
      <c r="AE4843" t="s">
        <v>120</v>
      </c>
      <c r="AG4843" t="s">
        <v>121</v>
      </c>
    </row>
    <row r="4844" spans="1:33" x14ac:dyDescent="0.25">
      <c r="A4844" t="str">
        <f>"1225019029"</f>
        <v>1225019029</v>
      </c>
      <c r="B4844" t="str">
        <f>"00752167"</f>
        <v>00752167</v>
      </c>
      <c r="C4844" t="s">
        <v>24492</v>
      </c>
      <c r="D4844" t="s">
        <v>24493</v>
      </c>
      <c r="E4844" t="s">
        <v>24494</v>
      </c>
      <c r="H4844" t="s">
        <v>24495</v>
      </c>
      <c r="L4844" t="s">
        <v>280</v>
      </c>
      <c r="M4844" t="s">
        <v>199</v>
      </c>
      <c r="R4844" t="s">
        <v>24496</v>
      </c>
      <c r="W4844" t="s">
        <v>24494</v>
      </c>
      <c r="X4844" t="s">
        <v>24497</v>
      </c>
      <c r="Y4844" t="s">
        <v>922</v>
      </c>
      <c r="Z4844" t="s">
        <v>117</v>
      </c>
      <c r="AA4844" t="str">
        <f>"14895-9325"</f>
        <v>14895-9325</v>
      </c>
      <c r="AB4844" t="s">
        <v>282</v>
      </c>
      <c r="AC4844" t="s">
        <v>119</v>
      </c>
      <c r="AD4844" t="s">
        <v>113</v>
      </c>
      <c r="AE4844" t="s">
        <v>120</v>
      </c>
      <c r="AG4844" t="s">
        <v>121</v>
      </c>
    </row>
    <row r="4845" spans="1:33" x14ac:dyDescent="0.25">
      <c r="A4845" t="str">
        <f>"1659774552"</f>
        <v>1659774552</v>
      </c>
      <c r="C4845" t="s">
        <v>24727</v>
      </c>
      <c r="G4845" t="s">
        <v>24728</v>
      </c>
      <c r="H4845" t="s">
        <v>1115</v>
      </c>
      <c r="J4845" t="s">
        <v>23175</v>
      </c>
      <c r="K4845" t="s">
        <v>303</v>
      </c>
      <c r="L4845" t="s">
        <v>229</v>
      </c>
      <c r="M4845" t="s">
        <v>113</v>
      </c>
      <c r="R4845" t="s">
        <v>24729</v>
      </c>
      <c r="S4845" t="s">
        <v>1117</v>
      </c>
      <c r="T4845" t="s">
        <v>318</v>
      </c>
      <c r="U4845" t="s">
        <v>117</v>
      </c>
      <c r="V4845" t="str">
        <f>"142254965"</f>
        <v>142254965</v>
      </c>
      <c r="AC4845" t="s">
        <v>119</v>
      </c>
      <c r="AD4845" t="s">
        <v>113</v>
      </c>
      <c r="AE4845" t="s">
        <v>306</v>
      </c>
      <c r="AG4845" t="s">
        <v>121</v>
      </c>
    </row>
    <row r="4846" spans="1:33" x14ac:dyDescent="0.25">
      <c r="C4846" t="s">
        <v>24730</v>
      </c>
      <c r="G4846" t="s">
        <v>24728</v>
      </c>
      <c r="H4846" t="s">
        <v>1115</v>
      </c>
      <c r="J4846" t="s">
        <v>23175</v>
      </c>
      <c r="K4846" t="s">
        <v>303</v>
      </c>
      <c r="L4846" t="s">
        <v>3095</v>
      </c>
      <c r="M4846" t="s">
        <v>113</v>
      </c>
      <c r="N4846" t="s">
        <v>24731</v>
      </c>
      <c r="O4846" t="s">
        <v>21543</v>
      </c>
      <c r="P4846" t="s">
        <v>117</v>
      </c>
      <c r="Q4846" t="str">
        <f>"14225"</f>
        <v>14225</v>
      </c>
      <c r="AC4846" t="s">
        <v>119</v>
      </c>
      <c r="AD4846" t="s">
        <v>113</v>
      </c>
      <c r="AE4846" t="s">
        <v>3098</v>
      </c>
      <c r="AG4846" t="s">
        <v>121</v>
      </c>
    </row>
    <row r="4847" spans="1:33" x14ac:dyDescent="0.25">
      <c r="A4847" t="str">
        <f>"1720463474"</f>
        <v>1720463474</v>
      </c>
      <c r="B4847" t="str">
        <f>"04305868"</f>
        <v>04305868</v>
      </c>
      <c r="C4847" t="s">
        <v>24703</v>
      </c>
      <c r="D4847" t="s">
        <v>24732</v>
      </c>
      <c r="E4847" t="s">
        <v>24733</v>
      </c>
      <c r="G4847" t="s">
        <v>24734</v>
      </c>
      <c r="H4847" t="s">
        <v>24735</v>
      </c>
      <c r="L4847" t="s">
        <v>142</v>
      </c>
      <c r="M4847" t="s">
        <v>113</v>
      </c>
      <c r="R4847" t="s">
        <v>24736</v>
      </c>
      <c r="W4847" t="s">
        <v>24733</v>
      </c>
      <c r="X4847" t="s">
        <v>526</v>
      </c>
      <c r="Y4847" t="s">
        <v>527</v>
      </c>
      <c r="Z4847" t="s">
        <v>117</v>
      </c>
      <c r="AA4847" t="str">
        <f>"14103-1191"</f>
        <v>14103-1191</v>
      </c>
      <c r="AB4847" t="s">
        <v>118</v>
      </c>
      <c r="AC4847" t="s">
        <v>119</v>
      </c>
      <c r="AD4847" t="s">
        <v>113</v>
      </c>
      <c r="AE4847" t="s">
        <v>120</v>
      </c>
      <c r="AG4847" t="s">
        <v>121</v>
      </c>
    </row>
    <row r="4848" spans="1:33" x14ac:dyDescent="0.25">
      <c r="A4848" t="str">
        <f>"1124256367"</f>
        <v>1124256367</v>
      </c>
      <c r="B4848" t="str">
        <f>"03173264"</f>
        <v>03173264</v>
      </c>
      <c r="C4848" t="s">
        <v>24224</v>
      </c>
      <c r="D4848" t="s">
        <v>24737</v>
      </c>
      <c r="E4848" t="s">
        <v>24738</v>
      </c>
      <c r="G4848" t="s">
        <v>24739</v>
      </c>
      <c r="H4848" t="s">
        <v>2725</v>
      </c>
      <c r="L4848" t="s">
        <v>142</v>
      </c>
      <c r="M4848" t="s">
        <v>199</v>
      </c>
      <c r="R4848" t="s">
        <v>24740</v>
      </c>
      <c r="W4848" t="s">
        <v>24741</v>
      </c>
      <c r="X4848" t="s">
        <v>2728</v>
      </c>
      <c r="Y4848" t="s">
        <v>116</v>
      </c>
      <c r="Z4848" t="s">
        <v>117</v>
      </c>
      <c r="AA4848" t="str">
        <f>"14201-2398"</f>
        <v>14201-2398</v>
      </c>
      <c r="AB4848" t="s">
        <v>118</v>
      </c>
      <c r="AC4848" t="s">
        <v>119</v>
      </c>
      <c r="AD4848" t="s">
        <v>113</v>
      </c>
      <c r="AE4848" t="s">
        <v>120</v>
      </c>
      <c r="AG4848" t="s">
        <v>121</v>
      </c>
    </row>
    <row r="4849" spans="1:33" x14ac:dyDescent="0.25">
      <c r="C4849" t="s">
        <v>24742</v>
      </c>
      <c r="G4849" t="s">
        <v>24743</v>
      </c>
      <c r="K4849" t="s">
        <v>303</v>
      </c>
      <c r="L4849" t="s">
        <v>3095</v>
      </c>
      <c r="M4849" t="s">
        <v>113</v>
      </c>
      <c r="AC4849" t="s">
        <v>119</v>
      </c>
      <c r="AD4849" t="s">
        <v>113</v>
      </c>
      <c r="AE4849" t="s">
        <v>3098</v>
      </c>
      <c r="AG4849" t="s">
        <v>121</v>
      </c>
    </row>
    <row r="4850" spans="1:33" x14ac:dyDescent="0.25">
      <c r="C4850" t="s">
        <v>24744</v>
      </c>
      <c r="G4850" t="s">
        <v>24745</v>
      </c>
      <c r="K4850" t="s">
        <v>303</v>
      </c>
      <c r="L4850" t="s">
        <v>3095</v>
      </c>
      <c r="M4850" t="s">
        <v>113</v>
      </c>
      <c r="AC4850" t="s">
        <v>119</v>
      </c>
      <c r="AD4850" t="s">
        <v>113</v>
      </c>
      <c r="AE4850" t="s">
        <v>3098</v>
      </c>
      <c r="AG4850" t="s">
        <v>121</v>
      </c>
    </row>
    <row r="4851" spans="1:33" x14ac:dyDescent="0.25">
      <c r="A4851" t="str">
        <f>"1902291982"</f>
        <v>1902291982</v>
      </c>
      <c r="C4851" t="s">
        <v>24746</v>
      </c>
      <c r="G4851" t="s">
        <v>20732</v>
      </c>
      <c r="H4851" t="s">
        <v>443</v>
      </c>
      <c r="J4851" t="s">
        <v>24156</v>
      </c>
      <c r="K4851" t="s">
        <v>303</v>
      </c>
      <c r="L4851" t="s">
        <v>112</v>
      </c>
      <c r="M4851" t="s">
        <v>113</v>
      </c>
      <c r="R4851" t="s">
        <v>24747</v>
      </c>
      <c r="S4851" t="s">
        <v>409</v>
      </c>
      <c r="T4851" t="s">
        <v>116</v>
      </c>
      <c r="U4851" t="s">
        <v>117</v>
      </c>
      <c r="V4851" t="str">
        <f>"142152814"</f>
        <v>142152814</v>
      </c>
      <c r="AC4851" t="s">
        <v>119</v>
      </c>
      <c r="AD4851" t="s">
        <v>113</v>
      </c>
      <c r="AE4851" t="s">
        <v>306</v>
      </c>
      <c r="AG4851" t="s">
        <v>121</v>
      </c>
    </row>
    <row r="4852" spans="1:33" x14ac:dyDescent="0.25">
      <c r="A4852" t="str">
        <f>"1720484892"</f>
        <v>1720484892</v>
      </c>
      <c r="C4852" t="s">
        <v>24748</v>
      </c>
      <c r="G4852" t="s">
        <v>20732</v>
      </c>
      <c r="H4852" t="s">
        <v>443</v>
      </c>
      <c r="J4852" t="s">
        <v>24156</v>
      </c>
      <c r="K4852" t="s">
        <v>303</v>
      </c>
      <c r="L4852" t="s">
        <v>229</v>
      </c>
      <c r="M4852" t="s">
        <v>113</v>
      </c>
      <c r="R4852" t="s">
        <v>24749</v>
      </c>
      <c r="S4852" t="s">
        <v>8467</v>
      </c>
      <c r="T4852" t="s">
        <v>116</v>
      </c>
      <c r="U4852" t="s">
        <v>117</v>
      </c>
      <c r="V4852" t="str">
        <f>"142131503"</f>
        <v>142131503</v>
      </c>
      <c r="AC4852" t="s">
        <v>119</v>
      </c>
      <c r="AD4852" t="s">
        <v>113</v>
      </c>
      <c r="AE4852" t="s">
        <v>306</v>
      </c>
      <c r="AG4852" t="s">
        <v>121</v>
      </c>
    </row>
    <row r="4853" spans="1:33" x14ac:dyDescent="0.25">
      <c r="A4853" t="str">
        <f>"1437499290"</f>
        <v>1437499290</v>
      </c>
      <c r="B4853" t="str">
        <f>"03585935"</f>
        <v>03585935</v>
      </c>
      <c r="C4853" t="s">
        <v>24303</v>
      </c>
      <c r="D4853" t="s">
        <v>24750</v>
      </c>
      <c r="E4853" t="s">
        <v>24751</v>
      </c>
      <c r="G4853" t="s">
        <v>24752</v>
      </c>
      <c r="H4853" t="s">
        <v>17640</v>
      </c>
      <c r="L4853" t="s">
        <v>150</v>
      </c>
      <c r="M4853" t="s">
        <v>113</v>
      </c>
      <c r="R4853" t="s">
        <v>24753</v>
      </c>
      <c r="W4853" t="s">
        <v>24751</v>
      </c>
      <c r="X4853" t="s">
        <v>16747</v>
      </c>
      <c r="Y4853" t="s">
        <v>153</v>
      </c>
      <c r="Z4853" t="s">
        <v>117</v>
      </c>
      <c r="AA4853" t="str">
        <f>"14301-1800"</f>
        <v>14301-1800</v>
      </c>
      <c r="AB4853" t="s">
        <v>118</v>
      </c>
      <c r="AC4853" t="s">
        <v>119</v>
      </c>
      <c r="AD4853" t="s">
        <v>113</v>
      </c>
      <c r="AE4853" t="s">
        <v>120</v>
      </c>
      <c r="AG4853" t="s">
        <v>121</v>
      </c>
    </row>
    <row r="4854" spans="1:33" x14ac:dyDescent="0.25">
      <c r="A4854" t="str">
        <f>"1508175076"</f>
        <v>1508175076</v>
      </c>
      <c r="B4854" t="str">
        <f>"03316447"</f>
        <v>03316447</v>
      </c>
      <c r="C4854" t="s">
        <v>24389</v>
      </c>
      <c r="D4854" t="s">
        <v>24754</v>
      </c>
      <c r="E4854" t="s">
        <v>24755</v>
      </c>
      <c r="G4854" t="s">
        <v>24756</v>
      </c>
      <c r="H4854" t="s">
        <v>4189</v>
      </c>
      <c r="L4854" t="s">
        <v>142</v>
      </c>
      <c r="M4854" t="s">
        <v>113</v>
      </c>
      <c r="R4854" t="s">
        <v>24757</v>
      </c>
      <c r="W4854" t="s">
        <v>24755</v>
      </c>
      <c r="X4854" t="s">
        <v>24758</v>
      </c>
      <c r="Y4854" t="s">
        <v>958</v>
      </c>
      <c r="Z4854" t="s">
        <v>117</v>
      </c>
      <c r="AA4854" t="str">
        <f>"14226-2004"</f>
        <v>14226-2004</v>
      </c>
      <c r="AB4854" t="s">
        <v>118</v>
      </c>
      <c r="AC4854" t="s">
        <v>119</v>
      </c>
      <c r="AD4854" t="s">
        <v>113</v>
      </c>
      <c r="AE4854" t="s">
        <v>120</v>
      </c>
      <c r="AG4854" t="s">
        <v>121</v>
      </c>
    </row>
    <row r="4855" spans="1:33" x14ac:dyDescent="0.25">
      <c r="C4855" t="s">
        <v>24759</v>
      </c>
      <c r="G4855" t="s">
        <v>24717</v>
      </c>
      <c r="H4855" t="s">
        <v>24718</v>
      </c>
      <c r="J4855" t="s">
        <v>24719</v>
      </c>
      <c r="K4855" t="s">
        <v>303</v>
      </c>
      <c r="L4855" t="s">
        <v>3095</v>
      </c>
      <c r="M4855" t="s">
        <v>113</v>
      </c>
      <c r="N4855" t="s">
        <v>24760</v>
      </c>
      <c r="O4855" t="s">
        <v>3097</v>
      </c>
      <c r="P4855" t="s">
        <v>117</v>
      </c>
      <c r="Q4855" t="str">
        <f>"14202"</f>
        <v>14202</v>
      </c>
      <c r="AC4855" t="s">
        <v>119</v>
      </c>
      <c r="AD4855" t="s">
        <v>113</v>
      </c>
      <c r="AE4855" t="s">
        <v>3098</v>
      </c>
      <c r="AG4855" t="s">
        <v>121</v>
      </c>
    </row>
    <row r="4856" spans="1:33" x14ac:dyDescent="0.25">
      <c r="A4856" t="str">
        <f>"1447357157"</f>
        <v>1447357157</v>
      </c>
      <c r="B4856" t="str">
        <f>"00663456"</f>
        <v>00663456</v>
      </c>
      <c r="C4856" t="s">
        <v>276</v>
      </c>
      <c r="D4856" t="s">
        <v>277</v>
      </c>
      <c r="E4856" t="s">
        <v>278</v>
      </c>
      <c r="H4856" t="s">
        <v>279</v>
      </c>
      <c r="L4856" t="s">
        <v>280</v>
      </c>
      <c r="M4856" t="s">
        <v>199</v>
      </c>
      <c r="R4856" t="s">
        <v>276</v>
      </c>
      <c r="W4856" t="s">
        <v>278</v>
      </c>
      <c r="X4856" t="s">
        <v>281</v>
      </c>
      <c r="Y4856" t="s">
        <v>240</v>
      </c>
      <c r="Z4856" t="s">
        <v>117</v>
      </c>
      <c r="AA4856" t="str">
        <f>"14221-6510"</f>
        <v>14221-6510</v>
      </c>
      <c r="AB4856" t="s">
        <v>282</v>
      </c>
      <c r="AC4856" t="s">
        <v>119</v>
      </c>
      <c r="AD4856" t="s">
        <v>113</v>
      </c>
      <c r="AE4856" t="s">
        <v>120</v>
      </c>
      <c r="AG4856" t="s">
        <v>121</v>
      </c>
    </row>
    <row r="4857" spans="1:33" x14ac:dyDescent="0.25">
      <c r="A4857" t="str">
        <f>"1568868842"</f>
        <v>1568868842</v>
      </c>
      <c r="C4857" t="s">
        <v>24767</v>
      </c>
      <c r="G4857" t="s">
        <v>20732</v>
      </c>
      <c r="H4857" t="s">
        <v>443</v>
      </c>
      <c r="J4857" t="s">
        <v>24156</v>
      </c>
      <c r="K4857" t="s">
        <v>303</v>
      </c>
      <c r="L4857" t="s">
        <v>112</v>
      </c>
      <c r="M4857" t="s">
        <v>113</v>
      </c>
      <c r="R4857" t="s">
        <v>24768</v>
      </c>
      <c r="S4857" t="s">
        <v>409</v>
      </c>
      <c r="T4857" t="s">
        <v>116</v>
      </c>
      <c r="U4857" t="s">
        <v>117</v>
      </c>
      <c r="V4857" t="str">
        <f>"142152814"</f>
        <v>142152814</v>
      </c>
      <c r="AC4857" t="s">
        <v>119</v>
      </c>
      <c r="AD4857" t="s">
        <v>113</v>
      </c>
      <c r="AE4857" t="s">
        <v>306</v>
      </c>
      <c r="AG4857" t="s">
        <v>121</v>
      </c>
    </row>
    <row r="4858" spans="1:33" x14ac:dyDescent="0.25">
      <c r="A4858" t="str">
        <f>"1346629557"</f>
        <v>1346629557</v>
      </c>
      <c r="C4858" t="s">
        <v>24769</v>
      </c>
      <c r="G4858" t="s">
        <v>20732</v>
      </c>
      <c r="H4858" t="s">
        <v>443</v>
      </c>
      <c r="J4858" t="s">
        <v>24156</v>
      </c>
      <c r="K4858" t="s">
        <v>303</v>
      </c>
      <c r="L4858" t="s">
        <v>229</v>
      </c>
      <c r="M4858" t="s">
        <v>113</v>
      </c>
      <c r="R4858" t="s">
        <v>24770</v>
      </c>
      <c r="S4858" t="s">
        <v>409</v>
      </c>
      <c r="T4858" t="s">
        <v>116</v>
      </c>
      <c r="U4858" t="s">
        <v>117</v>
      </c>
      <c r="V4858" t="str">
        <f>"142152814"</f>
        <v>142152814</v>
      </c>
      <c r="AC4858" t="s">
        <v>119</v>
      </c>
      <c r="AD4858" t="s">
        <v>113</v>
      </c>
      <c r="AE4858" t="s">
        <v>306</v>
      </c>
      <c r="AG4858" t="s">
        <v>121</v>
      </c>
    </row>
    <row r="4859" spans="1:33" x14ac:dyDescent="0.25">
      <c r="C4859" t="s">
        <v>24771</v>
      </c>
      <c r="G4859" t="s">
        <v>24772</v>
      </c>
      <c r="H4859" t="s">
        <v>3994</v>
      </c>
      <c r="K4859" t="s">
        <v>303</v>
      </c>
      <c r="L4859" t="s">
        <v>3095</v>
      </c>
      <c r="M4859" t="s">
        <v>113</v>
      </c>
      <c r="N4859" t="s">
        <v>24773</v>
      </c>
      <c r="O4859" t="s">
        <v>18806</v>
      </c>
      <c r="P4859" t="s">
        <v>117</v>
      </c>
      <c r="Q4859" t="str">
        <f>"14052"</f>
        <v>14052</v>
      </c>
      <c r="AC4859" t="s">
        <v>119</v>
      </c>
      <c r="AD4859" t="s">
        <v>113</v>
      </c>
      <c r="AE4859" t="s">
        <v>3098</v>
      </c>
      <c r="AG4859" t="s">
        <v>121</v>
      </c>
    </row>
    <row r="4860" spans="1:33" x14ac:dyDescent="0.25">
      <c r="A4860" t="str">
        <f>"1629006580"</f>
        <v>1629006580</v>
      </c>
      <c r="B4860" t="str">
        <f>"02344690"</f>
        <v>02344690</v>
      </c>
      <c r="C4860" t="s">
        <v>24202</v>
      </c>
      <c r="D4860" t="s">
        <v>24774</v>
      </c>
      <c r="E4860" t="s">
        <v>24775</v>
      </c>
      <c r="G4860" t="s">
        <v>24776</v>
      </c>
      <c r="H4860" t="s">
        <v>744</v>
      </c>
      <c r="L4860" t="s">
        <v>150</v>
      </c>
      <c r="M4860" t="s">
        <v>113</v>
      </c>
      <c r="R4860" t="s">
        <v>24777</v>
      </c>
      <c r="W4860" t="s">
        <v>24778</v>
      </c>
      <c r="X4860" t="s">
        <v>24779</v>
      </c>
      <c r="Y4860" t="s">
        <v>145</v>
      </c>
      <c r="Z4860" t="s">
        <v>117</v>
      </c>
      <c r="AA4860" t="str">
        <f>"14051-1427"</f>
        <v>14051-1427</v>
      </c>
      <c r="AB4860" t="s">
        <v>118</v>
      </c>
      <c r="AC4860" t="s">
        <v>119</v>
      </c>
      <c r="AD4860" t="s">
        <v>113</v>
      </c>
      <c r="AE4860" t="s">
        <v>120</v>
      </c>
      <c r="AG4860" t="s">
        <v>121</v>
      </c>
    </row>
    <row r="4861" spans="1:33" x14ac:dyDescent="0.25">
      <c r="A4861" t="str">
        <f>"1023003399"</f>
        <v>1023003399</v>
      </c>
      <c r="B4861" t="str">
        <f>"02681074"</f>
        <v>02681074</v>
      </c>
      <c r="C4861" t="s">
        <v>24586</v>
      </c>
      <c r="D4861" t="s">
        <v>24780</v>
      </c>
      <c r="E4861" t="s">
        <v>24781</v>
      </c>
      <c r="G4861" t="s">
        <v>24782</v>
      </c>
      <c r="H4861" t="s">
        <v>24350</v>
      </c>
      <c r="L4861" t="s">
        <v>150</v>
      </c>
      <c r="M4861" t="s">
        <v>199</v>
      </c>
      <c r="R4861" t="s">
        <v>24783</v>
      </c>
      <c r="W4861" t="s">
        <v>24781</v>
      </c>
      <c r="X4861" t="s">
        <v>518</v>
      </c>
      <c r="Y4861" t="s">
        <v>305</v>
      </c>
      <c r="Z4861" t="s">
        <v>117</v>
      </c>
      <c r="AA4861" t="str">
        <f>"14760-1500"</f>
        <v>14760-1500</v>
      </c>
      <c r="AB4861" t="s">
        <v>118</v>
      </c>
      <c r="AC4861" t="s">
        <v>119</v>
      </c>
      <c r="AD4861" t="s">
        <v>113</v>
      </c>
      <c r="AE4861" t="s">
        <v>120</v>
      </c>
      <c r="AG4861" t="s">
        <v>121</v>
      </c>
    </row>
    <row r="4862" spans="1:33" x14ac:dyDescent="0.25">
      <c r="A4862" t="str">
        <f>"1689909160"</f>
        <v>1689909160</v>
      </c>
      <c r="C4862" t="s">
        <v>24784</v>
      </c>
      <c r="G4862" t="s">
        <v>24785</v>
      </c>
      <c r="H4862" t="s">
        <v>6733</v>
      </c>
      <c r="K4862" t="s">
        <v>303</v>
      </c>
      <c r="L4862" t="s">
        <v>229</v>
      </c>
      <c r="M4862" t="s">
        <v>113</v>
      </c>
      <c r="R4862" t="s">
        <v>24786</v>
      </c>
      <c r="S4862" t="s">
        <v>24787</v>
      </c>
      <c r="T4862" t="s">
        <v>24788</v>
      </c>
      <c r="U4862" t="s">
        <v>16261</v>
      </c>
      <c r="V4862" t="str">
        <f>"974014045"</f>
        <v>974014045</v>
      </c>
      <c r="AC4862" t="s">
        <v>119</v>
      </c>
      <c r="AD4862" t="s">
        <v>113</v>
      </c>
      <c r="AE4862" t="s">
        <v>306</v>
      </c>
      <c r="AG4862" t="s">
        <v>121</v>
      </c>
    </row>
    <row r="4863" spans="1:33" x14ac:dyDescent="0.25">
      <c r="C4863" t="s">
        <v>24789</v>
      </c>
      <c r="H4863" t="s">
        <v>24790</v>
      </c>
      <c r="K4863" t="s">
        <v>303</v>
      </c>
      <c r="L4863" t="s">
        <v>3095</v>
      </c>
      <c r="M4863" t="s">
        <v>113</v>
      </c>
      <c r="N4863" t="s">
        <v>24791</v>
      </c>
      <c r="O4863" t="s">
        <v>24792</v>
      </c>
      <c r="P4863" t="s">
        <v>117</v>
      </c>
      <c r="Q4863" t="str">
        <f>"14411"</f>
        <v>14411</v>
      </c>
      <c r="AC4863" t="s">
        <v>119</v>
      </c>
      <c r="AD4863" t="s">
        <v>113</v>
      </c>
      <c r="AE4863" t="s">
        <v>3098</v>
      </c>
      <c r="AG4863" t="s">
        <v>121</v>
      </c>
    </row>
    <row r="4864" spans="1:33" x14ac:dyDescent="0.25">
      <c r="A4864" t="str">
        <f>"1780689299"</f>
        <v>1780689299</v>
      </c>
      <c r="C4864" t="s">
        <v>24793</v>
      </c>
      <c r="G4864" t="s">
        <v>24794</v>
      </c>
      <c r="H4864" t="s">
        <v>24795</v>
      </c>
      <c r="J4864" t="s">
        <v>24796</v>
      </c>
      <c r="K4864" t="s">
        <v>303</v>
      </c>
      <c r="L4864" t="s">
        <v>229</v>
      </c>
      <c r="M4864" t="s">
        <v>113</v>
      </c>
      <c r="R4864" t="s">
        <v>24797</v>
      </c>
      <c r="S4864" t="s">
        <v>14297</v>
      </c>
      <c r="T4864" t="s">
        <v>116</v>
      </c>
      <c r="U4864" t="s">
        <v>117</v>
      </c>
      <c r="V4864" t="str">
        <f>"142012161"</f>
        <v>142012161</v>
      </c>
      <c r="AC4864" t="s">
        <v>119</v>
      </c>
      <c r="AD4864" t="s">
        <v>113</v>
      </c>
      <c r="AE4864" t="s">
        <v>306</v>
      </c>
      <c r="AG4864" t="s">
        <v>121</v>
      </c>
    </row>
    <row r="4865" spans="1:33" x14ac:dyDescent="0.25">
      <c r="A4865" t="str">
        <f>"1154680734"</f>
        <v>1154680734</v>
      </c>
      <c r="B4865" t="str">
        <f>"04242059"</f>
        <v>04242059</v>
      </c>
      <c r="C4865" t="s">
        <v>24372</v>
      </c>
      <c r="D4865" t="s">
        <v>24798</v>
      </c>
      <c r="E4865" t="s">
        <v>24799</v>
      </c>
      <c r="G4865" t="s">
        <v>24800</v>
      </c>
      <c r="H4865" t="s">
        <v>4189</v>
      </c>
      <c r="L4865" t="s">
        <v>150</v>
      </c>
      <c r="M4865" t="s">
        <v>113</v>
      </c>
      <c r="R4865" t="s">
        <v>24801</v>
      </c>
      <c r="W4865" t="s">
        <v>24799</v>
      </c>
      <c r="X4865" t="s">
        <v>6632</v>
      </c>
      <c r="Y4865" t="s">
        <v>326</v>
      </c>
      <c r="Z4865" t="s">
        <v>117</v>
      </c>
      <c r="AA4865" t="str">
        <f>"14127-4116"</f>
        <v>14127-4116</v>
      </c>
      <c r="AB4865" t="s">
        <v>118</v>
      </c>
      <c r="AC4865" t="s">
        <v>119</v>
      </c>
      <c r="AD4865" t="s">
        <v>113</v>
      </c>
      <c r="AE4865" t="s">
        <v>120</v>
      </c>
      <c r="AG4865" t="s">
        <v>121</v>
      </c>
    </row>
    <row r="4866" spans="1:33" x14ac:dyDescent="0.25">
      <c r="A4866" t="str">
        <f>"1275832412"</f>
        <v>1275832412</v>
      </c>
      <c r="B4866" t="str">
        <f>"03951448"</f>
        <v>03951448</v>
      </c>
      <c r="C4866" t="s">
        <v>24802</v>
      </c>
      <c r="D4866" t="s">
        <v>24803</v>
      </c>
      <c r="E4866" t="s">
        <v>24804</v>
      </c>
      <c r="G4866" t="s">
        <v>24805</v>
      </c>
      <c r="H4866" t="s">
        <v>16519</v>
      </c>
      <c r="L4866" t="s">
        <v>150</v>
      </c>
      <c r="M4866" t="s">
        <v>113</v>
      </c>
      <c r="R4866" t="s">
        <v>24804</v>
      </c>
      <c r="W4866" t="s">
        <v>24804</v>
      </c>
      <c r="X4866" t="s">
        <v>997</v>
      </c>
      <c r="Y4866" t="s">
        <v>153</v>
      </c>
      <c r="Z4866" t="s">
        <v>117</v>
      </c>
      <c r="AA4866" t="str">
        <f>"14301-1841"</f>
        <v>14301-1841</v>
      </c>
      <c r="AB4866" t="s">
        <v>118</v>
      </c>
      <c r="AC4866" t="s">
        <v>119</v>
      </c>
      <c r="AD4866" t="s">
        <v>113</v>
      </c>
      <c r="AE4866" t="s">
        <v>120</v>
      </c>
      <c r="AG4866" t="s">
        <v>121</v>
      </c>
    </row>
    <row r="4867" spans="1:33" x14ac:dyDescent="0.25">
      <c r="A4867" t="str">
        <f>"1326458266"</f>
        <v>1326458266</v>
      </c>
      <c r="B4867" t="str">
        <f>"04336792"</f>
        <v>04336792</v>
      </c>
      <c r="C4867" t="s">
        <v>24202</v>
      </c>
      <c r="D4867" t="s">
        <v>24806</v>
      </c>
      <c r="E4867" t="s">
        <v>24807</v>
      </c>
      <c r="G4867" t="s">
        <v>24808</v>
      </c>
      <c r="H4867" t="s">
        <v>744</v>
      </c>
      <c r="L4867" t="s">
        <v>229</v>
      </c>
      <c r="M4867" t="s">
        <v>113</v>
      </c>
      <c r="R4867" t="s">
        <v>24809</v>
      </c>
      <c r="W4867" t="s">
        <v>24807</v>
      </c>
      <c r="X4867" t="s">
        <v>24208</v>
      </c>
      <c r="Y4867" t="s">
        <v>5228</v>
      </c>
      <c r="Z4867" t="s">
        <v>117</v>
      </c>
      <c r="AA4867" t="str">
        <f>"14228-2044"</f>
        <v>14228-2044</v>
      </c>
      <c r="AB4867" t="s">
        <v>118</v>
      </c>
      <c r="AC4867" t="s">
        <v>119</v>
      </c>
      <c r="AD4867" t="s">
        <v>113</v>
      </c>
      <c r="AE4867" t="s">
        <v>120</v>
      </c>
      <c r="AG4867" t="s">
        <v>121</v>
      </c>
    </row>
    <row r="4868" spans="1:33" x14ac:dyDescent="0.25">
      <c r="A4868" t="str">
        <f>"1649666397"</f>
        <v>1649666397</v>
      </c>
      <c r="B4868" t="str">
        <f>"04145864"</f>
        <v>04145864</v>
      </c>
      <c r="C4868" t="s">
        <v>24810</v>
      </c>
      <c r="D4868" t="s">
        <v>24811</v>
      </c>
      <c r="E4868" t="s">
        <v>24812</v>
      </c>
      <c r="G4868" t="s">
        <v>24813</v>
      </c>
      <c r="H4868" t="s">
        <v>24735</v>
      </c>
      <c r="L4868" t="s">
        <v>150</v>
      </c>
      <c r="M4868" t="s">
        <v>113</v>
      </c>
      <c r="R4868" t="s">
        <v>24814</v>
      </c>
      <c r="W4868" t="s">
        <v>24815</v>
      </c>
      <c r="X4868" t="s">
        <v>22579</v>
      </c>
      <c r="Y4868" t="s">
        <v>2007</v>
      </c>
      <c r="Z4868" t="s">
        <v>117</v>
      </c>
      <c r="AA4868" t="str">
        <f>"14727-1403"</f>
        <v>14727-1403</v>
      </c>
      <c r="AB4868" t="s">
        <v>118</v>
      </c>
      <c r="AC4868" t="s">
        <v>119</v>
      </c>
      <c r="AD4868" t="s">
        <v>113</v>
      </c>
      <c r="AE4868" t="s">
        <v>120</v>
      </c>
      <c r="AG4868" t="s">
        <v>121</v>
      </c>
    </row>
    <row r="4869" spans="1:33" x14ac:dyDescent="0.25">
      <c r="A4869" t="str">
        <f>"1710938618"</f>
        <v>1710938618</v>
      </c>
      <c r="B4869" t="str">
        <f>"02344778"</f>
        <v>02344778</v>
      </c>
      <c r="C4869" t="s">
        <v>24372</v>
      </c>
      <c r="D4869" t="s">
        <v>24816</v>
      </c>
      <c r="E4869" t="s">
        <v>24817</v>
      </c>
      <c r="G4869" t="s">
        <v>24818</v>
      </c>
      <c r="H4869" t="s">
        <v>4189</v>
      </c>
      <c r="L4869" t="s">
        <v>142</v>
      </c>
      <c r="M4869" t="s">
        <v>113</v>
      </c>
      <c r="R4869" t="s">
        <v>24819</v>
      </c>
      <c r="W4869" t="s">
        <v>24817</v>
      </c>
      <c r="X4869" t="s">
        <v>6632</v>
      </c>
      <c r="Y4869" t="s">
        <v>326</v>
      </c>
      <c r="Z4869" t="s">
        <v>117</v>
      </c>
      <c r="AA4869" t="str">
        <f>"14127-4116"</f>
        <v>14127-4116</v>
      </c>
      <c r="AB4869" t="s">
        <v>118</v>
      </c>
      <c r="AC4869" t="s">
        <v>119</v>
      </c>
      <c r="AD4869" t="s">
        <v>113</v>
      </c>
      <c r="AE4869" t="s">
        <v>120</v>
      </c>
      <c r="AG4869" t="s">
        <v>121</v>
      </c>
    </row>
    <row r="4870" spans="1:33" x14ac:dyDescent="0.25">
      <c r="A4870" t="str">
        <f>"1457472599"</f>
        <v>1457472599</v>
      </c>
      <c r="B4870" t="str">
        <f>"01152905"</f>
        <v>01152905</v>
      </c>
      <c r="C4870" t="s">
        <v>9752</v>
      </c>
      <c r="D4870" t="s">
        <v>9753</v>
      </c>
      <c r="E4870" t="s">
        <v>9754</v>
      </c>
      <c r="H4870" t="s">
        <v>6751</v>
      </c>
      <c r="L4870" t="s">
        <v>69</v>
      </c>
      <c r="M4870" t="s">
        <v>199</v>
      </c>
      <c r="R4870" t="s">
        <v>9752</v>
      </c>
      <c r="W4870" t="s">
        <v>9754</v>
      </c>
      <c r="X4870" t="s">
        <v>6753</v>
      </c>
      <c r="Y4870" t="s">
        <v>240</v>
      </c>
      <c r="Z4870" t="s">
        <v>117</v>
      </c>
      <c r="AA4870" t="str">
        <f>"14221-7039"</f>
        <v>14221-7039</v>
      </c>
      <c r="AB4870" t="s">
        <v>291</v>
      </c>
      <c r="AC4870" t="s">
        <v>119</v>
      </c>
      <c r="AD4870" t="s">
        <v>113</v>
      </c>
      <c r="AE4870" t="s">
        <v>120</v>
      </c>
      <c r="AG4870" t="s">
        <v>121</v>
      </c>
    </row>
    <row r="4871" spans="1:33" x14ac:dyDescent="0.25">
      <c r="A4871" t="str">
        <f>"1194702506"</f>
        <v>1194702506</v>
      </c>
      <c r="B4871" t="str">
        <f>"00314085"</f>
        <v>00314085</v>
      </c>
      <c r="C4871" t="s">
        <v>18502</v>
      </c>
      <c r="D4871" t="s">
        <v>18503</v>
      </c>
      <c r="E4871" t="s">
        <v>18504</v>
      </c>
      <c r="G4871" t="s">
        <v>8977</v>
      </c>
      <c r="H4871" t="s">
        <v>3557</v>
      </c>
      <c r="I4871">
        <v>4405</v>
      </c>
      <c r="J4871" t="s">
        <v>8978</v>
      </c>
      <c r="L4871" t="s">
        <v>280</v>
      </c>
      <c r="M4871" t="s">
        <v>199</v>
      </c>
      <c r="R4871" t="s">
        <v>3555</v>
      </c>
      <c r="W4871" t="s">
        <v>18504</v>
      </c>
      <c r="X4871" t="s">
        <v>3559</v>
      </c>
      <c r="Y4871" t="s">
        <v>847</v>
      </c>
      <c r="Z4871" t="s">
        <v>117</v>
      </c>
      <c r="AA4871" t="str">
        <f>"14569-1025"</f>
        <v>14569-1025</v>
      </c>
      <c r="AB4871" t="s">
        <v>979</v>
      </c>
      <c r="AC4871" t="s">
        <v>119</v>
      </c>
      <c r="AD4871" t="s">
        <v>113</v>
      </c>
      <c r="AE4871" t="s">
        <v>120</v>
      </c>
      <c r="AG4871" t="s">
        <v>121</v>
      </c>
    </row>
    <row r="4872" spans="1:33" x14ac:dyDescent="0.25">
      <c r="A4872" t="str">
        <f>"1184016305"</f>
        <v>1184016305</v>
      </c>
      <c r="C4872" t="s">
        <v>24829</v>
      </c>
      <c r="G4872" t="s">
        <v>20732</v>
      </c>
      <c r="H4872" t="s">
        <v>443</v>
      </c>
      <c r="J4872" t="s">
        <v>24156</v>
      </c>
      <c r="K4872" t="s">
        <v>303</v>
      </c>
      <c r="L4872" t="s">
        <v>229</v>
      </c>
      <c r="M4872" t="s">
        <v>113</v>
      </c>
      <c r="R4872" t="s">
        <v>24830</v>
      </c>
      <c r="S4872" t="s">
        <v>409</v>
      </c>
      <c r="T4872" t="s">
        <v>116</v>
      </c>
      <c r="U4872" t="s">
        <v>117</v>
      </c>
      <c r="V4872" t="str">
        <f>"142152814"</f>
        <v>142152814</v>
      </c>
      <c r="AC4872" t="s">
        <v>119</v>
      </c>
      <c r="AD4872" t="s">
        <v>113</v>
      </c>
      <c r="AE4872" t="s">
        <v>306</v>
      </c>
      <c r="AG4872" t="s">
        <v>121</v>
      </c>
    </row>
    <row r="4873" spans="1:33" x14ac:dyDescent="0.25">
      <c r="A4873" t="str">
        <f>"1053484196"</f>
        <v>1053484196</v>
      </c>
      <c r="C4873" t="s">
        <v>24831</v>
      </c>
      <c r="G4873" t="s">
        <v>18939</v>
      </c>
      <c r="H4873" t="s">
        <v>17930</v>
      </c>
      <c r="J4873" t="s">
        <v>24381</v>
      </c>
      <c r="K4873" t="s">
        <v>303</v>
      </c>
      <c r="L4873" t="s">
        <v>229</v>
      </c>
      <c r="M4873" t="s">
        <v>113</v>
      </c>
      <c r="R4873" t="s">
        <v>24832</v>
      </c>
      <c r="S4873" t="s">
        <v>21373</v>
      </c>
      <c r="T4873" t="s">
        <v>1872</v>
      </c>
      <c r="U4873" t="s">
        <v>117</v>
      </c>
      <c r="V4873" t="str">
        <f>"141329014"</f>
        <v>141329014</v>
      </c>
      <c r="AC4873" t="s">
        <v>119</v>
      </c>
      <c r="AD4873" t="s">
        <v>113</v>
      </c>
      <c r="AE4873" t="s">
        <v>306</v>
      </c>
      <c r="AG4873" t="s">
        <v>121</v>
      </c>
    </row>
    <row r="4874" spans="1:33" x14ac:dyDescent="0.25">
      <c r="A4874" t="str">
        <f>"1669760054"</f>
        <v>1669760054</v>
      </c>
      <c r="B4874" t="str">
        <f>"03362094"</f>
        <v>03362094</v>
      </c>
      <c r="C4874" t="s">
        <v>24202</v>
      </c>
      <c r="D4874" t="s">
        <v>24833</v>
      </c>
      <c r="E4874" t="s">
        <v>24834</v>
      </c>
      <c r="G4874" t="s">
        <v>24835</v>
      </c>
      <c r="H4874" t="s">
        <v>744</v>
      </c>
      <c r="L4874" t="s">
        <v>150</v>
      </c>
      <c r="M4874" t="s">
        <v>113</v>
      </c>
      <c r="R4874" t="s">
        <v>24836</v>
      </c>
      <c r="W4874" t="s">
        <v>24837</v>
      </c>
      <c r="X4874" t="s">
        <v>24208</v>
      </c>
      <c r="Y4874" t="s">
        <v>5228</v>
      </c>
      <c r="Z4874" t="s">
        <v>117</v>
      </c>
      <c r="AA4874" t="str">
        <f>"14228-2044"</f>
        <v>14228-2044</v>
      </c>
      <c r="AB4874" t="s">
        <v>118</v>
      </c>
      <c r="AC4874" t="s">
        <v>119</v>
      </c>
      <c r="AD4874" t="s">
        <v>113</v>
      </c>
      <c r="AE4874" t="s">
        <v>120</v>
      </c>
      <c r="AG4874" t="s">
        <v>121</v>
      </c>
    </row>
    <row r="4875" spans="1:33" x14ac:dyDescent="0.25">
      <c r="C4875" t="s">
        <v>24838</v>
      </c>
      <c r="G4875" t="s">
        <v>24839</v>
      </c>
      <c r="J4875" t="s">
        <v>24840</v>
      </c>
      <c r="K4875" t="s">
        <v>303</v>
      </c>
      <c r="L4875" t="s">
        <v>3095</v>
      </c>
      <c r="M4875" t="s">
        <v>113</v>
      </c>
      <c r="AC4875" t="s">
        <v>119</v>
      </c>
      <c r="AD4875" t="s">
        <v>113</v>
      </c>
      <c r="AE4875" t="s">
        <v>3098</v>
      </c>
      <c r="AG4875" t="s">
        <v>121</v>
      </c>
    </row>
    <row r="4876" spans="1:33" x14ac:dyDescent="0.25">
      <c r="C4876" t="s">
        <v>24841</v>
      </c>
      <c r="G4876" t="s">
        <v>24842</v>
      </c>
      <c r="H4876" t="s">
        <v>24843</v>
      </c>
      <c r="J4876" t="s">
        <v>24844</v>
      </c>
      <c r="K4876" t="s">
        <v>303</v>
      </c>
      <c r="L4876" t="s">
        <v>3095</v>
      </c>
      <c r="M4876" t="s">
        <v>113</v>
      </c>
      <c r="AC4876" t="s">
        <v>119</v>
      </c>
      <c r="AD4876" t="s">
        <v>113</v>
      </c>
      <c r="AE4876" t="s">
        <v>3098</v>
      </c>
      <c r="AG4876" t="s">
        <v>121</v>
      </c>
    </row>
    <row r="4877" spans="1:33" x14ac:dyDescent="0.25">
      <c r="A4877" t="str">
        <f>"1790822237"</f>
        <v>1790822237</v>
      </c>
      <c r="C4877" t="s">
        <v>24845</v>
      </c>
      <c r="G4877" t="s">
        <v>24159</v>
      </c>
      <c r="H4877" t="s">
        <v>6328</v>
      </c>
      <c r="J4877" t="s">
        <v>24160</v>
      </c>
      <c r="K4877" t="s">
        <v>303</v>
      </c>
      <c r="L4877" t="s">
        <v>112</v>
      </c>
      <c r="M4877" t="s">
        <v>113</v>
      </c>
      <c r="R4877" t="s">
        <v>24846</v>
      </c>
      <c r="S4877" t="s">
        <v>21597</v>
      </c>
      <c r="T4877" t="s">
        <v>541</v>
      </c>
      <c r="U4877" t="s">
        <v>117</v>
      </c>
      <c r="V4877" t="str">
        <f>"140482137"</f>
        <v>140482137</v>
      </c>
      <c r="AC4877" t="s">
        <v>119</v>
      </c>
      <c r="AD4877" t="s">
        <v>113</v>
      </c>
      <c r="AE4877" t="s">
        <v>306</v>
      </c>
      <c r="AG4877" t="s">
        <v>121</v>
      </c>
    </row>
    <row r="4878" spans="1:33" x14ac:dyDescent="0.25">
      <c r="A4878" t="str">
        <f>"1740669522"</f>
        <v>1740669522</v>
      </c>
      <c r="C4878" t="s">
        <v>24847</v>
      </c>
      <c r="G4878" t="s">
        <v>20732</v>
      </c>
      <c r="H4878" t="s">
        <v>443</v>
      </c>
      <c r="J4878" t="s">
        <v>24156</v>
      </c>
      <c r="K4878" t="s">
        <v>303</v>
      </c>
      <c r="L4878" t="s">
        <v>112</v>
      </c>
      <c r="M4878" t="s">
        <v>113</v>
      </c>
      <c r="R4878" t="s">
        <v>24848</v>
      </c>
      <c r="S4878" t="s">
        <v>409</v>
      </c>
      <c r="T4878" t="s">
        <v>116</v>
      </c>
      <c r="U4878" t="s">
        <v>117</v>
      </c>
      <c r="V4878" t="str">
        <f>"142152814"</f>
        <v>142152814</v>
      </c>
      <c r="AC4878" t="s">
        <v>119</v>
      </c>
      <c r="AD4878" t="s">
        <v>113</v>
      </c>
      <c r="AE4878" t="s">
        <v>306</v>
      </c>
      <c r="AG4878" t="s">
        <v>121</v>
      </c>
    </row>
    <row r="4879" spans="1:33" x14ac:dyDescent="0.25">
      <c r="A4879" t="str">
        <f>"1508158304"</f>
        <v>1508158304</v>
      </c>
      <c r="B4879" t="str">
        <f>"04268668"</f>
        <v>04268668</v>
      </c>
      <c r="C4879" t="s">
        <v>24849</v>
      </c>
      <c r="D4879" t="s">
        <v>24850</v>
      </c>
      <c r="E4879" t="s">
        <v>24851</v>
      </c>
      <c r="G4879" t="s">
        <v>24852</v>
      </c>
      <c r="H4879" t="s">
        <v>1883</v>
      </c>
      <c r="L4879" t="s">
        <v>150</v>
      </c>
      <c r="M4879" t="s">
        <v>113</v>
      </c>
      <c r="R4879" t="s">
        <v>24853</v>
      </c>
      <c r="W4879" t="s">
        <v>24851</v>
      </c>
      <c r="X4879" t="s">
        <v>4765</v>
      </c>
      <c r="Y4879" t="s">
        <v>116</v>
      </c>
      <c r="Z4879" t="s">
        <v>117</v>
      </c>
      <c r="AA4879" t="str">
        <f>"14209-1802"</f>
        <v>14209-1802</v>
      </c>
      <c r="AB4879" t="s">
        <v>118</v>
      </c>
      <c r="AC4879" t="s">
        <v>119</v>
      </c>
      <c r="AD4879" t="s">
        <v>113</v>
      </c>
      <c r="AE4879" t="s">
        <v>120</v>
      </c>
      <c r="AG4879" t="s">
        <v>121</v>
      </c>
    </row>
    <row r="4880" spans="1:33" x14ac:dyDescent="0.25">
      <c r="A4880" t="str">
        <f>"1114001278"</f>
        <v>1114001278</v>
      </c>
      <c r="B4880" t="str">
        <f>"04326463"</f>
        <v>04326463</v>
      </c>
      <c r="C4880" t="s">
        <v>24854</v>
      </c>
      <c r="D4880" t="s">
        <v>24855</v>
      </c>
      <c r="E4880" t="s">
        <v>24856</v>
      </c>
      <c r="G4880" t="s">
        <v>24857</v>
      </c>
      <c r="H4880" t="s">
        <v>13784</v>
      </c>
      <c r="L4880" t="s">
        <v>112</v>
      </c>
      <c r="M4880" t="s">
        <v>113</v>
      </c>
      <c r="R4880" t="s">
        <v>24858</v>
      </c>
      <c r="W4880" t="s">
        <v>24856</v>
      </c>
      <c r="X4880" t="s">
        <v>24859</v>
      </c>
      <c r="Y4880" t="s">
        <v>326</v>
      </c>
      <c r="Z4880" t="s">
        <v>117</v>
      </c>
      <c r="AA4880" t="str">
        <f>"14127-1241"</f>
        <v>14127-1241</v>
      </c>
      <c r="AB4880" t="s">
        <v>118</v>
      </c>
      <c r="AC4880" t="s">
        <v>119</v>
      </c>
      <c r="AD4880" t="s">
        <v>113</v>
      </c>
      <c r="AE4880" t="s">
        <v>120</v>
      </c>
      <c r="AG4880" t="s">
        <v>121</v>
      </c>
    </row>
    <row r="4881" spans="1:33" x14ac:dyDescent="0.25">
      <c r="A4881" t="str">
        <f>"1073936977"</f>
        <v>1073936977</v>
      </c>
      <c r="B4881" t="str">
        <f>"03810482"</f>
        <v>03810482</v>
      </c>
      <c r="C4881" t="s">
        <v>24255</v>
      </c>
      <c r="D4881" t="s">
        <v>24860</v>
      </c>
      <c r="E4881" t="s">
        <v>24861</v>
      </c>
      <c r="G4881" t="s">
        <v>24862</v>
      </c>
      <c r="H4881" t="s">
        <v>10971</v>
      </c>
      <c r="L4881" t="s">
        <v>142</v>
      </c>
      <c r="M4881" t="s">
        <v>113</v>
      </c>
      <c r="R4881" t="s">
        <v>24863</v>
      </c>
      <c r="W4881" t="s">
        <v>24861</v>
      </c>
      <c r="X4881" t="s">
        <v>1054</v>
      </c>
      <c r="Y4881" t="s">
        <v>816</v>
      </c>
      <c r="Z4881" t="s">
        <v>117</v>
      </c>
      <c r="AA4881" t="str">
        <f>"14120-1114"</f>
        <v>14120-1114</v>
      </c>
      <c r="AB4881" t="s">
        <v>118</v>
      </c>
      <c r="AC4881" t="s">
        <v>119</v>
      </c>
      <c r="AD4881" t="s">
        <v>113</v>
      </c>
      <c r="AE4881" t="s">
        <v>120</v>
      </c>
      <c r="AG4881" t="s">
        <v>121</v>
      </c>
    </row>
    <row r="4882" spans="1:33" x14ac:dyDescent="0.25">
      <c r="A4882" t="str">
        <f>"1194748327"</f>
        <v>1194748327</v>
      </c>
      <c r="B4882" t="str">
        <f>"03255025"</f>
        <v>03255025</v>
      </c>
      <c r="C4882" t="s">
        <v>24703</v>
      </c>
      <c r="D4882" t="s">
        <v>24864</v>
      </c>
      <c r="E4882" t="s">
        <v>24865</v>
      </c>
      <c r="G4882" t="s">
        <v>24866</v>
      </c>
      <c r="H4882" t="s">
        <v>20679</v>
      </c>
      <c r="L4882" t="s">
        <v>142</v>
      </c>
      <c r="M4882" t="s">
        <v>113</v>
      </c>
      <c r="R4882" t="s">
        <v>24867</v>
      </c>
      <c r="W4882" t="s">
        <v>24868</v>
      </c>
      <c r="X4882" t="s">
        <v>24869</v>
      </c>
      <c r="Y4882" t="s">
        <v>1545</v>
      </c>
      <c r="Z4882" t="s">
        <v>117</v>
      </c>
      <c r="AA4882" t="str">
        <f>"14218-1156"</f>
        <v>14218-1156</v>
      </c>
      <c r="AB4882" t="s">
        <v>118</v>
      </c>
      <c r="AC4882" t="s">
        <v>119</v>
      </c>
      <c r="AD4882" t="s">
        <v>113</v>
      </c>
      <c r="AE4882" t="s">
        <v>120</v>
      </c>
      <c r="AG4882" t="s">
        <v>121</v>
      </c>
    </row>
    <row r="4883" spans="1:33" x14ac:dyDescent="0.25">
      <c r="A4883" t="str">
        <f>"1174760391"</f>
        <v>1174760391</v>
      </c>
      <c r="C4883" t="s">
        <v>24870</v>
      </c>
      <c r="G4883" t="s">
        <v>20732</v>
      </c>
      <c r="H4883" t="s">
        <v>443</v>
      </c>
      <c r="J4883" t="s">
        <v>24156</v>
      </c>
      <c r="K4883" t="s">
        <v>303</v>
      </c>
      <c r="L4883" t="s">
        <v>229</v>
      </c>
      <c r="M4883" t="s">
        <v>113</v>
      </c>
      <c r="R4883" t="s">
        <v>24871</v>
      </c>
      <c r="S4883" t="s">
        <v>409</v>
      </c>
      <c r="T4883" t="s">
        <v>116</v>
      </c>
      <c r="U4883" t="s">
        <v>117</v>
      </c>
      <c r="V4883" t="str">
        <f>"142152814"</f>
        <v>142152814</v>
      </c>
      <c r="AC4883" t="s">
        <v>119</v>
      </c>
      <c r="AD4883" t="s">
        <v>113</v>
      </c>
      <c r="AE4883" t="s">
        <v>306</v>
      </c>
      <c r="AG4883" t="s">
        <v>121</v>
      </c>
    </row>
    <row r="4884" spans="1:33" x14ac:dyDescent="0.25">
      <c r="A4884" t="str">
        <f>"1043601917"</f>
        <v>1043601917</v>
      </c>
      <c r="C4884" t="s">
        <v>24872</v>
      </c>
      <c r="G4884" t="s">
        <v>20732</v>
      </c>
      <c r="H4884" t="s">
        <v>443</v>
      </c>
      <c r="J4884" t="s">
        <v>24156</v>
      </c>
      <c r="K4884" t="s">
        <v>303</v>
      </c>
      <c r="L4884" t="s">
        <v>112</v>
      </c>
      <c r="M4884" t="s">
        <v>113</v>
      </c>
      <c r="R4884" t="s">
        <v>24873</v>
      </c>
      <c r="S4884" t="s">
        <v>409</v>
      </c>
      <c r="T4884" t="s">
        <v>116</v>
      </c>
      <c r="U4884" t="s">
        <v>117</v>
      </c>
      <c r="V4884" t="str">
        <f>"142152814"</f>
        <v>142152814</v>
      </c>
      <c r="AC4884" t="s">
        <v>119</v>
      </c>
      <c r="AD4884" t="s">
        <v>113</v>
      </c>
      <c r="AE4884" t="s">
        <v>306</v>
      </c>
      <c r="AG4884" t="s">
        <v>121</v>
      </c>
    </row>
    <row r="4885" spans="1:33" x14ac:dyDescent="0.25">
      <c r="A4885" t="str">
        <f>"1386786051"</f>
        <v>1386786051</v>
      </c>
      <c r="B4885" t="str">
        <f>"02951279"</f>
        <v>02951279</v>
      </c>
      <c r="C4885" t="s">
        <v>24255</v>
      </c>
      <c r="D4885" t="s">
        <v>24874</v>
      </c>
      <c r="E4885" t="s">
        <v>24875</v>
      </c>
      <c r="G4885" t="s">
        <v>24876</v>
      </c>
      <c r="H4885" t="s">
        <v>10971</v>
      </c>
      <c r="L4885" t="s">
        <v>142</v>
      </c>
      <c r="M4885" t="s">
        <v>113</v>
      </c>
      <c r="R4885" t="s">
        <v>24877</v>
      </c>
      <c r="W4885" t="s">
        <v>24875</v>
      </c>
      <c r="X4885" t="s">
        <v>1054</v>
      </c>
      <c r="Y4885" t="s">
        <v>816</v>
      </c>
      <c r="Z4885" t="s">
        <v>117</v>
      </c>
      <c r="AA4885" t="str">
        <f>"14120-1114"</f>
        <v>14120-1114</v>
      </c>
      <c r="AB4885" t="s">
        <v>118</v>
      </c>
      <c r="AC4885" t="s">
        <v>119</v>
      </c>
      <c r="AD4885" t="s">
        <v>113</v>
      </c>
      <c r="AE4885" t="s">
        <v>120</v>
      </c>
      <c r="AG4885" t="s">
        <v>121</v>
      </c>
    </row>
    <row r="4886" spans="1:33" x14ac:dyDescent="0.25">
      <c r="A4886" t="str">
        <f>"1447288113"</f>
        <v>1447288113</v>
      </c>
      <c r="B4886" t="str">
        <f>"02775946"</f>
        <v>02775946</v>
      </c>
      <c r="C4886" t="s">
        <v>24202</v>
      </c>
      <c r="D4886" t="s">
        <v>24878</v>
      </c>
      <c r="E4886" t="s">
        <v>24879</v>
      </c>
      <c r="G4886" t="s">
        <v>24880</v>
      </c>
      <c r="H4886" t="s">
        <v>17380</v>
      </c>
      <c r="L4886" t="s">
        <v>150</v>
      </c>
      <c r="M4886" t="s">
        <v>113</v>
      </c>
      <c r="R4886" t="s">
        <v>24881</v>
      </c>
      <c r="W4886" t="s">
        <v>24882</v>
      </c>
      <c r="X4886" t="s">
        <v>24208</v>
      </c>
      <c r="Y4886" t="s">
        <v>5228</v>
      </c>
      <c r="Z4886" t="s">
        <v>117</v>
      </c>
      <c r="AA4886" t="str">
        <f>"14228-2044"</f>
        <v>14228-2044</v>
      </c>
      <c r="AB4886" t="s">
        <v>118</v>
      </c>
      <c r="AC4886" t="s">
        <v>119</v>
      </c>
      <c r="AD4886" t="s">
        <v>113</v>
      </c>
      <c r="AE4886" t="s">
        <v>120</v>
      </c>
      <c r="AG4886" t="s">
        <v>121</v>
      </c>
    </row>
    <row r="4887" spans="1:33" x14ac:dyDescent="0.25">
      <c r="A4887" t="str">
        <f>"1972944080"</f>
        <v>1972944080</v>
      </c>
      <c r="B4887" t="str">
        <f>"03880499"</f>
        <v>03880499</v>
      </c>
      <c r="C4887" t="s">
        <v>24883</v>
      </c>
      <c r="D4887" t="s">
        <v>7985</v>
      </c>
      <c r="E4887" t="s">
        <v>7984</v>
      </c>
      <c r="G4887" t="s">
        <v>24884</v>
      </c>
      <c r="H4887" t="s">
        <v>24885</v>
      </c>
      <c r="J4887" t="s">
        <v>24274</v>
      </c>
      <c r="L4887" t="s">
        <v>1143</v>
      </c>
      <c r="M4887" t="s">
        <v>113</v>
      </c>
      <c r="R4887" t="s">
        <v>7984</v>
      </c>
      <c r="W4887" t="s">
        <v>7984</v>
      </c>
      <c r="X4887" t="s">
        <v>855</v>
      </c>
      <c r="Y4887" t="s">
        <v>116</v>
      </c>
      <c r="Z4887" t="s">
        <v>117</v>
      </c>
      <c r="AA4887" t="str">
        <f>"14213-1573"</f>
        <v>14213-1573</v>
      </c>
      <c r="AB4887" t="s">
        <v>1146</v>
      </c>
      <c r="AC4887" t="s">
        <v>119</v>
      </c>
      <c r="AD4887" t="s">
        <v>113</v>
      </c>
      <c r="AE4887" t="s">
        <v>120</v>
      </c>
      <c r="AG4887" t="s">
        <v>121</v>
      </c>
    </row>
    <row r="4888" spans="1:33" x14ac:dyDescent="0.25">
      <c r="B4888" t="str">
        <f>"02005934"</f>
        <v>02005934</v>
      </c>
      <c r="C4888" t="s">
        <v>24041</v>
      </c>
      <c r="D4888" t="s">
        <v>24042</v>
      </c>
      <c r="E4888" t="s">
        <v>24043</v>
      </c>
      <c r="F4888">
        <v>222316065</v>
      </c>
      <c r="G4888" t="s">
        <v>24044</v>
      </c>
      <c r="H4888" t="s">
        <v>24045</v>
      </c>
      <c r="J4888" t="s">
        <v>24046</v>
      </c>
      <c r="L4888" t="s">
        <v>67</v>
      </c>
      <c r="M4888" t="s">
        <v>113</v>
      </c>
      <c r="W4888" t="s">
        <v>24043</v>
      </c>
      <c r="X4888" t="s">
        <v>24047</v>
      </c>
      <c r="Y4888" t="s">
        <v>116</v>
      </c>
      <c r="Z4888" t="s">
        <v>117</v>
      </c>
      <c r="AA4888" t="str">
        <f>"14214-1384"</f>
        <v>14214-1384</v>
      </c>
      <c r="AB4888" t="s">
        <v>291</v>
      </c>
      <c r="AC4888" t="s">
        <v>119</v>
      </c>
      <c r="AD4888" t="s">
        <v>113</v>
      </c>
      <c r="AE4888" t="s">
        <v>120</v>
      </c>
      <c r="AG4888" t="s">
        <v>121</v>
      </c>
    </row>
    <row r="4889" spans="1:33" x14ac:dyDescent="0.25">
      <c r="A4889" t="str">
        <f>"1225101181"</f>
        <v>1225101181</v>
      </c>
      <c r="C4889" t="s">
        <v>24890</v>
      </c>
      <c r="G4889" t="s">
        <v>18939</v>
      </c>
      <c r="H4889" t="s">
        <v>17930</v>
      </c>
      <c r="J4889" t="s">
        <v>24381</v>
      </c>
      <c r="K4889" t="s">
        <v>303</v>
      </c>
      <c r="L4889" t="s">
        <v>229</v>
      </c>
      <c r="M4889" t="s">
        <v>113</v>
      </c>
      <c r="R4889" t="s">
        <v>24891</v>
      </c>
      <c r="S4889" t="s">
        <v>24892</v>
      </c>
      <c r="T4889" t="s">
        <v>153</v>
      </c>
      <c r="U4889" t="s">
        <v>117</v>
      </c>
      <c r="V4889" t="str">
        <f>"143011156"</f>
        <v>143011156</v>
      </c>
      <c r="AC4889" t="s">
        <v>119</v>
      </c>
      <c r="AD4889" t="s">
        <v>113</v>
      </c>
      <c r="AE4889" t="s">
        <v>306</v>
      </c>
      <c r="AG4889" t="s">
        <v>121</v>
      </c>
    </row>
    <row r="4890" spans="1:33" x14ac:dyDescent="0.25">
      <c r="A4890" t="str">
        <f>"1558748731"</f>
        <v>1558748731</v>
      </c>
      <c r="C4890" t="s">
        <v>24893</v>
      </c>
      <c r="G4890" t="s">
        <v>20732</v>
      </c>
      <c r="H4890" t="s">
        <v>443</v>
      </c>
      <c r="J4890" t="s">
        <v>24156</v>
      </c>
      <c r="K4890" t="s">
        <v>303</v>
      </c>
      <c r="L4890" t="s">
        <v>112</v>
      </c>
      <c r="M4890" t="s">
        <v>113</v>
      </c>
      <c r="R4890" t="s">
        <v>24894</v>
      </c>
      <c r="S4890" t="s">
        <v>409</v>
      </c>
      <c r="T4890" t="s">
        <v>116</v>
      </c>
      <c r="U4890" t="s">
        <v>117</v>
      </c>
      <c r="V4890" t="str">
        <f>"142152814"</f>
        <v>142152814</v>
      </c>
      <c r="AC4890" t="s">
        <v>119</v>
      </c>
      <c r="AD4890" t="s">
        <v>113</v>
      </c>
      <c r="AE4890" t="s">
        <v>306</v>
      </c>
      <c r="AG4890" t="s">
        <v>121</v>
      </c>
    </row>
    <row r="4891" spans="1:33" x14ac:dyDescent="0.25">
      <c r="A4891" t="str">
        <f>"1609978568"</f>
        <v>1609978568</v>
      </c>
      <c r="B4891" t="str">
        <f>"04355226"</f>
        <v>04355226</v>
      </c>
      <c r="C4891" t="s">
        <v>24895</v>
      </c>
      <c r="D4891" t="s">
        <v>24896</v>
      </c>
      <c r="E4891" t="s">
        <v>24897</v>
      </c>
      <c r="G4891" t="s">
        <v>24898</v>
      </c>
      <c r="H4891" t="s">
        <v>2186</v>
      </c>
      <c r="J4891" t="s">
        <v>24899</v>
      </c>
      <c r="L4891" t="s">
        <v>112</v>
      </c>
      <c r="M4891" t="s">
        <v>113</v>
      </c>
      <c r="R4891" t="s">
        <v>24895</v>
      </c>
      <c r="W4891" t="s">
        <v>24897</v>
      </c>
      <c r="X4891" t="s">
        <v>18507</v>
      </c>
      <c r="Y4891" t="s">
        <v>116</v>
      </c>
      <c r="Z4891" t="s">
        <v>117</v>
      </c>
      <c r="AA4891" t="str">
        <f>"14207-1910"</f>
        <v>14207-1910</v>
      </c>
      <c r="AB4891" t="s">
        <v>621</v>
      </c>
      <c r="AC4891" t="s">
        <v>119</v>
      </c>
      <c r="AD4891" t="s">
        <v>113</v>
      </c>
      <c r="AE4891" t="s">
        <v>120</v>
      </c>
      <c r="AG4891" t="s">
        <v>121</v>
      </c>
    </row>
    <row r="4892" spans="1:33" x14ac:dyDescent="0.25">
      <c r="A4892" t="str">
        <f>"1073602017"</f>
        <v>1073602017</v>
      </c>
      <c r="B4892" t="str">
        <f>"00775966"</f>
        <v>00775966</v>
      </c>
      <c r="C4892" t="s">
        <v>24900</v>
      </c>
      <c r="D4892" t="s">
        <v>24901</v>
      </c>
      <c r="E4892" t="s">
        <v>24902</v>
      </c>
      <c r="G4892" t="s">
        <v>24903</v>
      </c>
      <c r="H4892" t="s">
        <v>21479</v>
      </c>
      <c r="J4892" t="s">
        <v>24904</v>
      </c>
      <c r="L4892" t="s">
        <v>20</v>
      </c>
      <c r="M4892" t="s">
        <v>113</v>
      </c>
      <c r="R4892" t="s">
        <v>24900</v>
      </c>
      <c r="W4892" t="s">
        <v>24902</v>
      </c>
      <c r="X4892" t="s">
        <v>24905</v>
      </c>
      <c r="Y4892" t="s">
        <v>4695</v>
      </c>
      <c r="Z4892" t="s">
        <v>117</v>
      </c>
      <c r="AA4892" t="str">
        <f>"14105-9638"</f>
        <v>14105-9638</v>
      </c>
      <c r="AB4892" t="s">
        <v>5777</v>
      </c>
      <c r="AC4892" t="s">
        <v>119</v>
      </c>
      <c r="AD4892" t="s">
        <v>113</v>
      </c>
      <c r="AE4892" t="s">
        <v>120</v>
      </c>
      <c r="AG4892" t="s">
        <v>121</v>
      </c>
    </row>
    <row r="4893" spans="1:33" x14ac:dyDescent="0.25">
      <c r="A4893" t="str">
        <f>"1184766800"</f>
        <v>1184766800</v>
      </c>
      <c r="B4893" t="str">
        <f>"02884857"</f>
        <v>02884857</v>
      </c>
      <c r="C4893" t="s">
        <v>24906</v>
      </c>
      <c r="D4893" t="s">
        <v>24907</v>
      </c>
      <c r="E4893" t="s">
        <v>24908</v>
      </c>
      <c r="G4893" t="s">
        <v>24898</v>
      </c>
      <c r="H4893" t="s">
        <v>2186</v>
      </c>
      <c r="J4893" t="s">
        <v>24899</v>
      </c>
      <c r="L4893" t="s">
        <v>1033</v>
      </c>
      <c r="M4893" t="s">
        <v>113</v>
      </c>
      <c r="R4893" t="s">
        <v>24906</v>
      </c>
      <c r="W4893" t="s">
        <v>24909</v>
      </c>
      <c r="X4893" t="s">
        <v>18507</v>
      </c>
      <c r="Y4893" t="s">
        <v>116</v>
      </c>
      <c r="Z4893" t="s">
        <v>117</v>
      </c>
      <c r="AA4893" t="str">
        <f>"14207-1910"</f>
        <v>14207-1910</v>
      </c>
      <c r="AB4893" t="s">
        <v>621</v>
      </c>
      <c r="AC4893" t="s">
        <v>119</v>
      </c>
      <c r="AD4893" t="s">
        <v>113</v>
      </c>
      <c r="AE4893" t="s">
        <v>120</v>
      </c>
      <c r="AG4893" t="s">
        <v>121</v>
      </c>
    </row>
    <row r="4894" spans="1:33" x14ac:dyDescent="0.25">
      <c r="A4894" t="str">
        <f>"1235338468"</f>
        <v>1235338468</v>
      </c>
      <c r="B4894" t="str">
        <f>"02903602"</f>
        <v>02903602</v>
      </c>
      <c r="C4894" t="s">
        <v>24910</v>
      </c>
      <c r="D4894" t="s">
        <v>24911</v>
      </c>
      <c r="E4894" t="s">
        <v>24912</v>
      </c>
      <c r="G4894" t="s">
        <v>24898</v>
      </c>
      <c r="H4894" t="s">
        <v>2186</v>
      </c>
      <c r="J4894" t="s">
        <v>24899</v>
      </c>
      <c r="L4894" t="s">
        <v>150</v>
      </c>
      <c r="M4894" t="s">
        <v>199</v>
      </c>
      <c r="R4894" t="s">
        <v>24910</v>
      </c>
      <c r="W4894" t="s">
        <v>24912</v>
      </c>
      <c r="X4894" t="s">
        <v>18507</v>
      </c>
      <c r="Y4894" t="s">
        <v>116</v>
      </c>
      <c r="Z4894" t="s">
        <v>117</v>
      </c>
      <c r="AA4894" t="str">
        <f>"14207-1910"</f>
        <v>14207-1910</v>
      </c>
      <c r="AB4894" t="s">
        <v>118</v>
      </c>
      <c r="AC4894" t="s">
        <v>119</v>
      </c>
      <c r="AD4894" t="s">
        <v>113</v>
      </c>
      <c r="AE4894" t="s">
        <v>120</v>
      </c>
      <c r="AG4894" t="s">
        <v>121</v>
      </c>
    </row>
    <row r="4895" spans="1:33" x14ac:dyDescent="0.25">
      <c r="A4895" t="str">
        <f>"1992772834"</f>
        <v>1992772834</v>
      </c>
      <c r="B4895" t="str">
        <f>"02796683"</f>
        <v>02796683</v>
      </c>
      <c r="C4895" t="s">
        <v>24913</v>
      </c>
      <c r="D4895" t="s">
        <v>24914</v>
      </c>
      <c r="E4895" t="s">
        <v>24915</v>
      </c>
      <c r="G4895" t="s">
        <v>24898</v>
      </c>
      <c r="H4895" t="s">
        <v>2186</v>
      </c>
      <c r="J4895" t="s">
        <v>24899</v>
      </c>
      <c r="L4895" t="s">
        <v>1033</v>
      </c>
      <c r="M4895" t="s">
        <v>113</v>
      </c>
      <c r="R4895" t="s">
        <v>24913</v>
      </c>
      <c r="W4895" t="s">
        <v>24916</v>
      </c>
      <c r="X4895" t="s">
        <v>18507</v>
      </c>
      <c r="Y4895" t="s">
        <v>116</v>
      </c>
      <c r="Z4895" t="s">
        <v>117</v>
      </c>
      <c r="AA4895" t="str">
        <f>"14207-1910"</f>
        <v>14207-1910</v>
      </c>
      <c r="AB4895" t="s">
        <v>621</v>
      </c>
      <c r="AC4895" t="s">
        <v>119</v>
      </c>
      <c r="AD4895" t="s">
        <v>113</v>
      </c>
      <c r="AE4895" t="s">
        <v>120</v>
      </c>
      <c r="AG4895" t="s">
        <v>121</v>
      </c>
    </row>
    <row r="4896" spans="1:33" x14ac:dyDescent="0.25">
      <c r="A4896" t="str">
        <f>"1700116993"</f>
        <v>1700116993</v>
      </c>
      <c r="B4896" t="str">
        <f>"04552801"</f>
        <v>04552801</v>
      </c>
      <c r="C4896" t="s">
        <v>24917</v>
      </c>
      <c r="D4896" t="s">
        <v>24918</v>
      </c>
      <c r="E4896" t="s">
        <v>24919</v>
      </c>
      <c r="G4896" t="s">
        <v>24898</v>
      </c>
      <c r="H4896" t="s">
        <v>2186</v>
      </c>
      <c r="J4896" t="s">
        <v>24899</v>
      </c>
      <c r="L4896" t="s">
        <v>112</v>
      </c>
      <c r="M4896" t="s">
        <v>113</v>
      </c>
      <c r="R4896" t="s">
        <v>24917</v>
      </c>
      <c r="W4896" t="s">
        <v>24919</v>
      </c>
      <c r="AB4896" t="s">
        <v>621</v>
      </c>
      <c r="AC4896" t="s">
        <v>119</v>
      </c>
      <c r="AD4896" t="s">
        <v>113</v>
      </c>
      <c r="AE4896" t="s">
        <v>120</v>
      </c>
      <c r="AG4896" t="s">
        <v>121</v>
      </c>
    </row>
    <row r="4897" spans="1:33" x14ac:dyDescent="0.25">
      <c r="A4897" t="str">
        <f>"1033513411"</f>
        <v>1033513411</v>
      </c>
      <c r="B4897" t="str">
        <f>"04075316"</f>
        <v>04075316</v>
      </c>
      <c r="C4897" t="s">
        <v>24920</v>
      </c>
      <c r="D4897" t="s">
        <v>24921</v>
      </c>
      <c r="E4897" t="s">
        <v>24922</v>
      </c>
      <c r="G4897" t="s">
        <v>20732</v>
      </c>
      <c r="H4897" t="s">
        <v>443</v>
      </c>
      <c r="J4897" t="s">
        <v>24156</v>
      </c>
      <c r="L4897" t="s">
        <v>112</v>
      </c>
      <c r="M4897" t="s">
        <v>113</v>
      </c>
      <c r="R4897" t="s">
        <v>24920</v>
      </c>
      <c r="W4897" t="s">
        <v>24922</v>
      </c>
      <c r="X4897" t="s">
        <v>253</v>
      </c>
      <c r="Y4897" t="s">
        <v>116</v>
      </c>
      <c r="Z4897" t="s">
        <v>117</v>
      </c>
      <c r="AA4897" t="str">
        <f>"14215-3021"</f>
        <v>14215-3021</v>
      </c>
      <c r="AB4897" t="s">
        <v>118</v>
      </c>
      <c r="AC4897" t="s">
        <v>119</v>
      </c>
      <c r="AD4897" t="s">
        <v>113</v>
      </c>
      <c r="AE4897" t="s">
        <v>120</v>
      </c>
      <c r="AG4897" t="s">
        <v>121</v>
      </c>
    </row>
    <row r="4898" spans="1:33" x14ac:dyDescent="0.25">
      <c r="A4898" t="str">
        <f>"1740393800"</f>
        <v>1740393800</v>
      </c>
      <c r="B4898" t="str">
        <f>"03359579"</f>
        <v>03359579</v>
      </c>
      <c r="C4898" t="s">
        <v>24923</v>
      </c>
      <c r="D4898" t="s">
        <v>24924</v>
      </c>
      <c r="E4898" t="s">
        <v>24925</v>
      </c>
      <c r="G4898" t="s">
        <v>24926</v>
      </c>
      <c r="H4898" t="s">
        <v>1064</v>
      </c>
      <c r="I4898">
        <v>5343</v>
      </c>
      <c r="J4898" t="s">
        <v>24927</v>
      </c>
      <c r="L4898" t="s">
        <v>142</v>
      </c>
      <c r="M4898" t="s">
        <v>113</v>
      </c>
      <c r="R4898" t="s">
        <v>24923</v>
      </c>
      <c r="W4898" t="s">
        <v>24928</v>
      </c>
      <c r="X4898" t="s">
        <v>7329</v>
      </c>
      <c r="Y4898" t="s">
        <v>153</v>
      </c>
      <c r="Z4898" t="s">
        <v>117</v>
      </c>
      <c r="AA4898" t="str">
        <f>"14305-2466"</f>
        <v>14305-2466</v>
      </c>
      <c r="AB4898" t="s">
        <v>118</v>
      </c>
      <c r="AC4898" t="s">
        <v>119</v>
      </c>
      <c r="AD4898" t="s">
        <v>113</v>
      </c>
      <c r="AE4898" t="s">
        <v>120</v>
      </c>
      <c r="AG4898" t="s">
        <v>121</v>
      </c>
    </row>
    <row r="4899" spans="1:33" x14ac:dyDescent="0.25">
      <c r="A4899" t="str">
        <f>"1881020022"</f>
        <v>1881020022</v>
      </c>
      <c r="B4899" t="str">
        <f>"04641672"</f>
        <v>04641672</v>
      </c>
      <c r="C4899" t="s">
        <v>24929</v>
      </c>
      <c r="D4899" t="s">
        <v>24930</v>
      </c>
      <c r="E4899" t="s">
        <v>24929</v>
      </c>
      <c r="G4899" t="s">
        <v>24898</v>
      </c>
      <c r="H4899" t="s">
        <v>2186</v>
      </c>
      <c r="J4899" t="s">
        <v>24899</v>
      </c>
      <c r="L4899" t="s">
        <v>112</v>
      </c>
      <c r="M4899" t="s">
        <v>113</v>
      </c>
      <c r="R4899" t="s">
        <v>24929</v>
      </c>
      <c r="W4899" t="s">
        <v>24929</v>
      </c>
      <c r="AB4899" t="s">
        <v>621</v>
      </c>
      <c r="AC4899" t="s">
        <v>119</v>
      </c>
      <c r="AD4899" t="s">
        <v>113</v>
      </c>
      <c r="AE4899" t="s">
        <v>120</v>
      </c>
      <c r="AG4899" t="s">
        <v>121</v>
      </c>
    </row>
    <row r="4900" spans="1:33" x14ac:dyDescent="0.25">
      <c r="A4900" t="str">
        <f>"1699954768"</f>
        <v>1699954768</v>
      </c>
      <c r="B4900" t="str">
        <f>"02940449"</f>
        <v>02940449</v>
      </c>
      <c r="C4900" t="s">
        <v>24931</v>
      </c>
      <c r="D4900" t="s">
        <v>24932</v>
      </c>
      <c r="E4900" t="s">
        <v>24933</v>
      </c>
      <c r="L4900" t="s">
        <v>142</v>
      </c>
      <c r="M4900" t="s">
        <v>113</v>
      </c>
      <c r="R4900" t="s">
        <v>24931</v>
      </c>
      <c r="W4900" t="s">
        <v>24934</v>
      </c>
      <c r="X4900" t="s">
        <v>3599</v>
      </c>
      <c r="Y4900" t="s">
        <v>986</v>
      </c>
      <c r="Z4900" t="s">
        <v>117</v>
      </c>
      <c r="AA4900" t="str">
        <f>"14701-7077"</f>
        <v>14701-7077</v>
      </c>
      <c r="AB4900" t="s">
        <v>118</v>
      </c>
      <c r="AC4900" t="s">
        <v>119</v>
      </c>
      <c r="AD4900" t="s">
        <v>113</v>
      </c>
      <c r="AE4900" t="s">
        <v>120</v>
      </c>
      <c r="AG4900" t="s">
        <v>121</v>
      </c>
    </row>
    <row r="4901" spans="1:33" x14ac:dyDescent="0.25">
      <c r="A4901" t="str">
        <f>"1770807331"</f>
        <v>1770807331</v>
      </c>
      <c r="B4901" t="str">
        <f>"04083065"</f>
        <v>04083065</v>
      </c>
      <c r="C4901" t="s">
        <v>24935</v>
      </c>
      <c r="D4901" t="s">
        <v>24936</v>
      </c>
      <c r="E4901" t="s">
        <v>24937</v>
      </c>
      <c r="L4901" t="s">
        <v>112</v>
      </c>
      <c r="M4901" t="s">
        <v>113</v>
      </c>
      <c r="R4901" t="s">
        <v>24935</v>
      </c>
      <c r="W4901" t="s">
        <v>24937</v>
      </c>
      <c r="X4901" t="s">
        <v>176</v>
      </c>
      <c r="Y4901" t="s">
        <v>116</v>
      </c>
      <c r="Z4901" t="s">
        <v>117</v>
      </c>
      <c r="AA4901" t="str">
        <f>"14203-1126"</f>
        <v>14203-1126</v>
      </c>
      <c r="AB4901" t="s">
        <v>118</v>
      </c>
      <c r="AC4901" t="s">
        <v>119</v>
      </c>
      <c r="AD4901" t="s">
        <v>113</v>
      </c>
      <c r="AE4901" t="s">
        <v>120</v>
      </c>
      <c r="AG4901" t="s">
        <v>121</v>
      </c>
    </row>
    <row r="4902" spans="1:33" x14ac:dyDescent="0.25">
      <c r="A4902" t="str">
        <f>"1053638296"</f>
        <v>1053638296</v>
      </c>
      <c r="B4902" t="str">
        <f>"03228273"</f>
        <v>03228273</v>
      </c>
      <c r="C4902" t="s">
        <v>24938</v>
      </c>
      <c r="D4902" t="s">
        <v>24939</v>
      </c>
      <c r="E4902" t="s">
        <v>24940</v>
      </c>
      <c r="L4902" t="s">
        <v>142</v>
      </c>
      <c r="M4902" t="s">
        <v>113</v>
      </c>
      <c r="R4902" t="s">
        <v>24938</v>
      </c>
      <c r="W4902" t="s">
        <v>24940</v>
      </c>
      <c r="X4902" t="s">
        <v>24941</v>
      </c>
      <c r="Y4902" t="s">
        <v>1562</v>
      </c>
      <c r="Z4902" t="s">
        <v>117</v>
      </c>
      <c r="AA4902" t="str">
        <f>"14047-9591"</f>
        <v>14047-9591</v>
      </c>
      <c r="AB4902" t="s">
        <v>118</v>
      </c>
      <c r="AC4902" t="s">
        <v>119</v>
      </c>
      <c r="AD4902" t="s">
        <v>113</v>
      </c>
      <c r="AE4902" t="s">
        <v>120</v>
      </c>
      <c r="AG4902" t="s">
        <v>121</v>
      </c>
    </row>
    <row r="4903" spans="1:33" x14ac:dyDescent="0.25">
      <c r="A4903" t="str">
        <f>"1437109451"</f>
        <v>1437109451</v>
      </c>
      <c r="B4903" t="str">
        <f>"01966701"</f>
        <v>01966701</v>
      </c>
      <c r="C4903" t="s">
        <v>24942</v>
      </c>
      <c r="D4903" t="s">
        <v>24943</v>
      </c>
      <c r="E4903" t="s">
        <v>24944</v>
      </c>
      <c r="L4903" t="s">
        <v>142</v>
      </c>
      <c r="M4903" t="s">
        <v>113</v>
      </c>
      <c r="R4903" t="s">
        <v>24942</v>
      </c>
      <c r="W4903" t="s">
        <v>24944</v>
      </c>
      <c r="X4903" t="s">
        <v>6632</v>
      </c>
      <c r="Y4903" t="s">
        <v>326</v>
      </c>
      <c r="Z4903" t="s">
        <v>117</v>
      </c>
      <c r="AA4903" t="str">
        <f>"14127-4116"</f>
        <v>14127-4116</v>
      </c>
      <c r="AB4903" t="s">
        <v>118</v>
      </c>
      <c r="AC4903" t="s">
        <v>119</v>
      </c>
      <c r="AD4903" t="s">
        <v>113</v>
      </c>
      <c r="AE4903" t="s">
        <v>120</v>
      </c>
      <c r="AG4903" t="s">
        <v>121</v>
      </c>
    </row>
    <row r="4904" spans="1:33" x14ac:dyDescent="0.25">
      <c r="A4904" t="str">
        <f>"1134381437"</f>
        <v>1134381437</v>
      </c>
      <c r="B4904" t="str">
        <f>"03015652"</f>
        <v>03015652</v>
      </c>
      <c r="C4904" t="s">
        <v>24945</v>
      </c>
      <c r="D4904" t="s">
        <v>24946</v>
      </c>
      <c r="E4904" t="s">
        <v>24947</v>
      </c>
      <c r="L4904" t="s">
        <v>142</v>
      </c>
      <c r="M4904" t="s">
        <v>113</v>
      </c>
      <c r="R4904" t="s">
        <v>24945</v>
      </c>
      <c r="W4904" t="s">
        <v>24947</v>
      </c>
      <c r="X4904" t="s">
        <v>24229</v>
      </c>
      <c r="Y4904" t="s">
        <v>116</v>
      </c>
      <c r="Z4904" t="s">
        <v>117</v>
      </c>
      <c r="AA4904" t="str">
        <f>"14201-2398"</f>
        <v>14201-2398</v>
      </c>
      <c r="AB4904" t="s">
        <v>118</v>
      </c>
      <c r="AC4904" t="s">
        <v>119</v>
      </c>
      <c r="AD4904" t="s">
        <v>113</v>
      </c>
      <c r="AE4904" t="s">
        <v>120</v>
      </c>
      <c r="AG4904" t="s">
        <v>121</v>
      </c>
    </row>
    <row r="4905" spans="1:33" x14ac:dyDescent="0.25">
      <c r="A4905" t="str">
        <f>"1508224833"</f>
        <v>1508224833</v>
      </c>
      <c r="B4905" t="str">
        <f>"04401676"</f>
        <v>04401676</v>
      </c>
      <c r="C4905" t="s">
        <v>24948</v>
      </c>
      <c r="D4905" t="s">
        <v>24949</v>
      </c>
      <c r="E4905" t="s">
        <v>24950</v>
      </c>
      <c r="L4905" t="s">
        <v>150</v>
      </c>
      <c r="M4905" t="s">
        <v>113</v>
      </c>
      <c r="R4905" t="s">
        <v>24948</v>
      </c>
      <c r="W4905" t="s">
        <v>24950</v>
      </c>
      <c r="X4905" t="s">
        <v>855</v>
      </c>
      <c r="Y4905" t="s">
        <v>116</v>
      </c>
      <c r="Z4905" t="s">
        <v>117</v>
      </c>
      <c r="AA4905" t="str">
        <f>"14213-1573"</f>
        <v>14213-1573</v>
      </c>
      <c r="AB4905" t="s">
        <v>118</v>
      </c>
      <c r="AC4905" t="s">
        <v>119</v>
      </c>
      <c r="AD4905" t="s">
        <v>113</v>
      </c>
      <c r="AE4905" t="s">
        <v>120</v>
      </c>
      <c r="AG4905" t="s">
        <v>121</v>
      </c>
    </row>
    <row r="4906" spans="1:33" x14ac:dyDescent="0.25">
      <c r="A4906" t="str">
        <f>"1588098909"</f>
        <v>1588098909</v>
      </c>
      <c r="B4906" t="str">
        <f>"04071550"</f>
        <v>04071550</v>
      </c>
      <c r="C4906" t="s">
        <v>24951</v>
      </c>
      <c r="D4906" t="s">
        <v>24952</v>
      </c>
      <c r="E4906" t="s">
        <v>24951</v>
      </c>
      <c r="L4906" t="s">
        <v>142</v>
      </c>
      <c r="M4906" t="s">
        <v>113</v>
      </c>
      <c r="R4906" t="s">
        <v>24951</v>
      </c>
      <c r="W4906" t="s">
        <v>24951</v>
      </c>
      <c r="X4906" t="s">
        <v>855</v>
      </c>
      <c r="Y4906" t="s">
        <v>116</v>
      </c>
      <c r="Z4906" t="s">
        <v>117</v>
      </c>
      <c r="AA4906" t="str">
        <f>"14213-1573"</f>
        <v>14213-1573</v>
      </c>
      <c r="AB4906" t="s">
        <v>118</v>
      </c>
      <c r="AC4906" t="s">
        <v>119</v>
      </c>
      <c r="AD4906" t="s">
        <v>113</v>
      </c>
      <c r="AE4906" t="s">
        <v>120</v>
      </c>
      <c r="AG4906" t="s">
        <v>121</v>
      </c>
    </row>
    <row r="4907" spans="1:33" x14ac:dyDescent="0.25">
      <c r="A4907" t="str">
        <f>"1124368303"</f>
        <v>1124368303</v>
      </c>
      <c r="B4907" t="str">
        <f>"04054555"</f>
        <v>04054555</v>
      </c>
      <c r="C4907" t="s">
        <v>24953</v>
      </c>
      <c r="D4907" t="s">
        <v>24954</v>
      </c>
      <c r="E4907" t="s">
        <v>24955</v>
      </c>
      <c r="G4907" t="s">
        <v>24926</v>
      </c>
      <c r="H4907" t="s">
        <v>1064</v>
      </c>
      <c r="I4907">
        <v>5343</v>
      </c>
      <c r="J4907" t="s">
        <v>24927</v>
      </c>
      <c r="L4907" t="s">
        <v>142</v>
      </c>
      <c r="M4907" t="s">
        <v>113</v>
      </c>
      <c r="R4907" t="s">
        <v>24953</v>
      </c>
      <c r="W4907" t="s">
        <v>24956</v>
      </c>
      <c r="X4907" t="s">
        <v>24957</v>
      </c>
      <c r="Y4907" t="s">
        <v>116</v>
      </c>
      <c r="Z4907" t="s">
        <v>117</v>
      </c>
      <c r="AA4907" t="str">
        <f>"14209-1401"</f>
        <v>14209-1401</v>
      </c>
      <c r="AB4907" t="s">
        <v>118</v>
      </c>
      <c r="AC4907" t="s">
        <v>119</v>
      </c>
      <c r="AD4907" t="s">
        <v>113</v>
      </c>
      <c r="AE4907" t="s">
        <v>120</v>
      </c>
      <c r="AG4907" t="s">
        <v>121</v>
      </c>
    </row>
    <row r="4908" spans="1:33" x14ac:dyDescent="0.25">
      <c r="A4908" t="str">
        <f>"1841211125"</f>
        <v>1841211125</v>
      </c>
      <c r="B4908" t="str">
        <f>"04334323"</f>
        <v>04334323</v>
      </c>
      <c r="C4908" t="s">
        <v>24958</v>
      </c>
      <c r="D4908" t="s">
        <v>24959</v>
      </c>
      <c r="E4908" t="s">
        <v>24960</v>
      </c>
      <c r="L4908" t="s">
        <v>112</v>
      </c>
      <c r="M4908" t="s">
        <v>113</v>
      </c>
      <c r="R4908" t="s">
        <v>24958</v>
      </c>
      <c r="W4908" t="s">
        <v>24960</v>
      </c>
      <c r="X4908" t="s">
        <v>5741</v>
      </c>
      <c r="Y4908" t="s">
        <v>986</v>
      </c>
      <c r="Z4908" t="s">
        <v>117</v>
      </c>
      <c r="AA4908" t="str">
        <f>"14701-3824"</f>
        <v>14701-3824</v>
      </c>
      <c r="AB4908" t="s">
        <v>118</v>
      </c>
      <c r="AC4908" t="s">
        <v>119</v>
      </c>
      <c r="AD4908" t="s">
        <v>113</v>
      </c>
      <c r="AE4908" t="s">
        <v>120</v>
      </c>
      <c r="AG4908" t="s">
        <v>121</v>
      </c>
    </row>
    <row r="4909" spans="1:33" x14ac:dyDescent="0.25">
      <c r="A4909" t="str">
        <f>"1215261649"</f>
        <v>1215261649</v>
      </c>
      <c r="B4909" t="str">
        <f>"03949268"</f>
        <v>03949268</v>
      </c>
      <c r="C4909" t="s">
        <v>24961</v>
      </c>
      <c r="D4909" t="s">
        <v>24962</v>
      </c>
      <c r="E4909" t="s">
        <v>24961</v>
      </c>
      <c r="L4909" t="s">
        <v>1033</v>
      </c>
      <c r="M4909" t="s">
        <v>113</v>
      </c>
      <c r="R4909" t="s">
        <v>24961</v>
      </c>
      <c r="W4909" t="s">
        <v>24961</v>
      </c>
      <c r="X4909" t="s">
        <v>18524</v>
      </c>
      <c r="Y4909" t="s">
        <v>116</v>
      </c>
      <c r="Z4909" t="s">
        <v>117</v>
      </c>
      <c r="AA4909" t="str">
        <f>"14225-2523"</f>
        <v>14225-2523</v>
      </c>
      <c r="AB4909" t="s">
        <v>621</v>
      </c>
      <c r="AC4909" t="s">
        <v>119</v>
      </c>
      <c r="AD4909" t="s">
        <v>113</v>
      </c>
      <c r="AE4909" t="s">
        <v>120</v>
      </c>
      <c r="AG4909" t="s">
        <v>121</v>
      </c>
    </row>
    <row r="4910" spans="1:33" x14ac:dyDescent="0.25">
      <c r="A4910" t="str">
        <f>"1578711685"</f>
        <v>1578711685</v>
      </c>
      <c r="B4910" t="str">
        <f>"03493872"</f>
        <v>03493872</v>
      </c>
      <c r="C4910" t="s">
        <v>24963</v>
      </c>
      <c r="D4910" t="s">
        <v>24964</v>
      </c>
      <c r="E4910" t="s">
        <v>24965</v>
      </c>
      <c r="L4910" t="s">
        <v>112</v>
      </c>
      <c r="M4910" t="s">
        <v>113</v>
      </c>
      <c r="R4910" t="s">
        <v>24963</v>
      </c>
      <c r="W4910" t="s">
        <v>24965</v>
      </c>
      <c r="X4910" t="s">
        <v>24966</v>
      </c>
      <c r="Y4910" t="s">
        <v>116</v>
      </c>
      <c r="Z4910" t="s">
        <v>117</v>
      </c>
      <c r="AA4910" t="str">
        <f>"14202-1007"</f>
        <v>14202-1007</v>
      </c>
      <c r="AB4910" t="s">
        <v>621</v>
      </c>
      <c r="AC4910" t="s">
        <v>119</v>
      </c>
      <c r="AD4910" t="s">
        <v>113</v>
      </c>
      <c r="AE4910" t="s">
        <v>120</v>
      </c>
      <c r="AG4910" t="s">
        <v>121</v>
      </c>
    </row>
    <row r="4911" spans="1:33" x14ac:dyDescent="0.25">
      <c r="A4911" t="str">
        <f>"1629358379"</f>
        <v>1629358379</v>
      </c>
      <c r="B4911" t="str">
        <f>"04326303"</f>
        <v>04326303</v>
      </c>
      <c r="C4911" t="s">
        <v>24967</v>
      </c>
      <c r="D4911" t="s">
        <v>24968</v>
      </c>
      <c r="E4911" t="s">
        <v>24969</v>
      </c>
      <c r="L4911" t="s">
        <v>229</v>
      </c>
      <c r="M4911" t="s">
        <v>113</v>
      </c>
      <c r="R4911" t="s">
        <v>24967</v>
      </c>
      <c r="W4911" t="s">
        <v>24969</v>
      </c>
      <c r="X4911" t="s">
        <v>253</v>
      </c>
      <c r="Y4911" t="s">
        <v>116</v>
      </c>
      <c r="Z4911" t="s">
        <v>117</v>
      </c>
      <c r="AA4911" t="str">
        <f>"14215-3021"</f>
        <v>14215-3021</v>
      </c>
      <c r="AB4911" t="s">
        <v>118</v>
      </c>
      <c r="AC4911" t="s">
        <v>119</v>
      </c>
      <c r="AD4911" t="s">
        <v>113</v>
      </c>
      <c r="AE4911" t="s">
        <v>120</v>
      </c>
      <c r="AG4911" t="s">
        <v>121</v>
      </c>
    </row>
    <row r="4912" spans="1:33" x14ac:dyDescent="0.25">
      <c r="A4912" t="str">
        <f>"1316921554"</f>
        <v>1316921554</v>
      </c>
      <c r="B4912" t="str">
        <f>"03885421"</f>
        <v>03885421</v>
      </c>
      <c r="C4912" t="s">
        <v>24970</v>
      </c>
      <c r="D4912" t="s">
        <v>24971</v>
      </c>
      <c r="E4912" t="s">
        <v>24970</v>
      </c>
      <c r="L4912" t="s">
        <v>1033</v>
      </c>
      <c r="M4912" t="s">
        <v>113</v>
      </c>
      <c r="R4912" t="s">
        <v>24970</v>
      </c>
      <c r="W4912" t="s">
        <v>24970</v>
      </c>
      <c r="X4912" t="s">
        <v>2728</v>
      </c>
      <c r="Y4912" t="s">
        <v>116</v>
      </c>
      <c r="Z4912" t="s">
        <v>117</v>
      </c>
      <c r="AA4912" t="str">
        <f>"14201-2398"</f>
        <v>14201-2398</v>
      </c>
      <c r="AB4912" t="s">
        <v>621</v>
      </c>
      <c r="AC4912" t="s">
        <v>119</v>
      </c>
      <c r="AD4912" t="s">
        <v>113</v>
      </c>
      <c r="AE4912" t="s">
        <v>120</v>
      </c>
      <c r="AG4912" t="s">
        <v>121</v>
      </c>
    </row>
    <row r="4913" spans="1:33" x14ac:dyDescent="0.25">
      <c r="A4913" t="str">
        <f>"1831296896"</f>
        <v>1831296896</v>
      </c>
      <c r="B4913" t="str">
        <f>"02818275"</f>
        <v>02818275</v>
      </c>
      <c r="C4913" t="s">
        <v>24972</v>
      </c>
      <c r="D4913" t="s">
        <v>24973</v>
      </c>
      <c r="E4913" t="s">
        <v>24974</v>
      </c>
      <c r="L4913" t="s">
        <v>1033</v>
      </c>
      <c r="M4913" t="s">
        <v>113</v>
      </c>
      <c r="R4913" t="s">
        <v>24972</v>
      </c>
      <c r="W4913" t="s">
        <v>24974</v>
      </c>
      <c r="X4913" t="s">
        <v>2728</v>
      </c>
      <c r="Y4913" t="s">
        <v>116</v>
      </c>
      <c r="Z4913" t="s">
        <v>117</v>
      </c>
      <c r="AA4913" t="str">
        <f>"14201-2398"</f>
        <v>14201-2398</v>
      </c>
      <c r="AB4913" t="s">
        <v>621</v>
      </c>
      <c r="AC4913" t="s">
        <v>119</v>
      </c>
      <c r="AD4913" t="s">
        <v>113</v>
      </c>
      <c r="AE4913" t="s">
        <v>120</v>
      </c>
      <c r="AG4913" t="s">
        <v>121</v>
      </c>
    </row>
    <row r="4914" spans="1:33" x14ac:dyDescent="0.25">
      <c r="A4914" t="str">
        <f>"1851731392"</f>
        <v>1851731392</v>
      </c>
      <c r="B4914" t="str">
        <f>"04080553"</f>
        <v>04080553</v>
      </c>
      <c r="C4914" t="s">
        <v>24975</v>
      </c>
      <c r="D4914" t="s">
        <v>24976</v>
      </c>
      <c r="E4914" t="s">
        <v>24977</v>
      </c>
      <c r="L4914" t="s">
        <v>112</v>
      </c>
      <c r="M4914" t="s">
        <v>113</v>
      </c>
      <c r="R4914" t="s">
        <v>24975</v>
      </c>
      <c r="W4914" t="s">
        <v>24977</v>
      </c>
      <c r="X4914" t="s">
        <v>2405</v>
      </c>
      <c r="Y4914" t="s">
        <v>116</v>
      </c>
      <c r="Z4914" t="s">
        <v>117</v>
      </c>
      <c r="AA4914" t="str">
        <f>"14215-3021"</f>
        <v>14215-3021</v>
      </c>
      <c r="AB4914" t="s">
        <v>118</v>
      </c>
      <c r="AC4914" t="s">
        <v>119</v>
      </c>
      <c r="AD4914" t="s">
        <v>113</v>
      </c>
      <c r="AE4914" t="s">
        <v>120</v>
      </c>
      <c r="AG4914" t="s">
        <v>121</v>
      </c>
    </row>
    <row r="4915" spans="1:33" x14ac:dyDescent="0.25">
      <c r="A4915" t="str">
        <f>"1689836181"</f>
        <v>1689836181</v>
      </c>
      <c r="B4915" t="str">
        <f>"03457807"</f>
        <v>03457807</v>
      </c>
      <c r="C4915" t="s">
        <v>24978</v>
      </c>
      <c r="D4915" t="s">
        <v>24979</v>
      </c>
      <c r="E4915" t="s">
        <v>24980</v>
      </c>
      <c r="L4915" t="s">
        <v>112</v>
      </c>
      <c r="M4915" t="s">
        <v>113</v>
      </c>
      <c r="R4915" t="s">
        <v>24978</v>
      </c>
      <c r="W4915" t="s">
        <v>24980</v>
      </c>
      <c r="X4915" t="s">
        <v>24981</v>
      </c>
      <c r="Y4915" t="s">
        <v>326</v>
      </c>
      <c r="Z4915" t="s">
        <v>117</v>
      </c>
      <c r="AA4915" t="str">
        <f>"14127-1069"</f>
        <v>14127-1069</v>
      </c>
      <c r="AB4915" t="s">
        <v>118</v>
      </c>
      <c r="AC4915" t="s">
        <v>119</v>
      </c>
      <c r="AD4915" t="s">
        <v>113</v>
      </c>
      <c r="AE4915" t="s">
        <v>120</v>
      </c>
      <c r="AG4915" t="s">
        <v>121</v>
      </c>
    </row>
    <row r="4916" spans="1:33" x14ac:dyDescent="0.25">
      <c r="A4916" t="str">
        <f>"1063873339"</f>
        <v>1063873339</v>
      </c>
      <c r="B4916" t="str">
        <f>"04397375"</f>
        <v>04397375</v>
      </c>
      <c r="C4916" t="s">
        <v>24982</v>
      </c>
      <c r="D4916" t="s">
        <v>24983</v>
      </c>
      <c r="E4916" t="s">
        <v>24984</v>
      </c>
      <c r="L4916" t="s">
        <v>112</v>
      </c>
      <c r="M4916" t="s">
        <v>113</v>
      </c>
      <c r="R4916" t="s">
        <v>24982</v>
      </c>
      <c r="W4916" t="s">
        <v>24984</v>
      </c>
      <c r="X4916" t="s">
        <v>10500</v>
      </c>
      <c r="Y4916" t="s">
        <v>318</v>
      </c>
      <c r="Z4916" t="s">
        <v>117</v>
      </c>
      <c r="AA4916" t="str">
        <f>"14225-2591"</f>
        <v>14225-2591</v>
      </c>
      <c r="AB4916" t="s">
        <v>118</v>
      </c>
      <c r="AC4916" t="s">
        <v>119</v>
      </c>
      <c r="AD4916" t="s">
        <v>113</v>
      </c>
      <c r="AE4916" t="s">
        <v>120</v>
      </c>
      <c r="AG4916" t="s">
        <v>121</v>
      </c>
    </row>
    <row r="4917" spans="1:33" x14ac:dyDescent="0.25">
      <c r="A4917" t="str">
        <f>"1013362698"</f>
        <v>1013362698</v>
      </c>
      <c r="B4917" t="str">
        <f>"04536545"</f>
        <v>04536545</v>
      </c>
      <c r="C4917" t="s">
        <v>24985</v>
      </c>
      <c r="D4917" t="s">
        <v>24986</v>
      </c>
      <c r="E4917" t="s">
        <v>24987</v>
      </c>
      <c r="L4917" t="s">
        <v>229</v>
      </c>
      <c r="M4917" t="s">
        <v>113</v>
      </c>
      <c r="R4917" t="s">
        <v>24985</v>
      </c>
      <c r="W4917" t="s">
        <v>24987</v>
      </c>
      <c r="AB4917" t="s">
        <v>118</v>
      </c>
      <c r="AC4917" t="s">
        <v>119</v>
      </c>
      <c r="AD4917" t="s">
        <v>113</v>
      </c>
      <c r="AE4917" t="s">
        <v>120</v>
      </c>
      <c r="AG4917" t="s">
        <v>121</v>
      </c>
    </row>
    <row r="4918" spans="1:33" x14ac:dyDescent="0.25">
      <c r="A4918" t="str">
        <f>"1841393055"</f>
        <v>1841393055</v>
      </c>
      <c r="B4918" t="str">
        <f>"02629743"</f>
        <v>02629743</v>
      </c>
      <c r="C4918" t="s">
        <v>24988</v>
      </c>
      <c r="D4918" t="s">
        <v>24989</v>
      </c>
      <c r="E4918" t="s">
        <v>24990</v>
      </c>
      <c r="L4918" t="s">
        <v>142</v>
      </c>
      <c r="M4918" t="s">
        <v>113</v>
      </c>
      <c r="R4918" t="s">
        <v>24988</v>
      </c>
      <c r="W4918" t="s">
        <v>24991</v>
      </c>
      <c r="X4918" t="s">
        <v>16293</v>
      </c>
      <c r="Y4918" t="s">
        <v>116</v>
      </c>
      <c r="Z4918" t="s">
        <v>117</v>
      </c>
      <c r="AA4918" t="str">
        <f>"14217-1039"</f>
        <v>14217-1039</v>
      </c>
      <c r="AB4918" t="s">
        <v>118</v>
      </c>
      <c r="AC4918" t="s">
        <v>119</v>
      </c>
      <c r="AD4918" t="s">
        <v>113</v>
      </c>
      <c r="AE4918" t="s">
        <v>120</v>
      </c>
      <c r="AG4918" t="s">
        <v>121</v>
      </c>
    </row>
    <row r="4919" spans="1:33" x14ac:dyDescent="0.25">
      <c r="A4919" t="str">
        <f>"1336229731"</f>
        <v>1336229731</v>
      </c>
      <c r="B4919" t="str">
        <f>"02937653"</f>
        <v>02937653</v>
      </c>
      <c r="C4919" t="s">
        <v>24992</v>
      </c>
      <c r="D4919" t="s">
        <v>24993</v>
      </c>
      <c r="E4919" t="s">
        <v>24992</v>
      </c>
      <c r="L4919" t="s">
        <v>7480</v>
      </c>
      <c r="M4919" t="s">
        <v>113</v>
      </c>
      <c r="R4919" t="s">
        <v>24992</v>
      </c>
      <c r="W4919" t="s">
        <v>24994</v>
      </c>
      <c r="X4919" t="s">
        <v>253</v>
      </c>
      <c r="Y4919" t="s">
        <v>116</v>
      </c>
      <c r="Z4919" t="s">
        <v>117</v>
      </c>
      <c r="AA4919" t="str">
        <f>"14215-3021"</f>
        <v>14215-3021</v>
      </c>
      <c r="AB4919" t="s">
        <v>621</v>
      </c>
      <c r="AC4919" t="s">
        <v>119</v>
      </c>
      <c r="AD4919" t="s">
        <v>113</v>
      </c>
      <c r="AE4919" t="s">
        <v>120</v>
      </c>
      <c r="AG4919" t="s">
        <v>121</v>
      </c>
    </row>
    <row r="4920" spans="1:33" x14ac:dyDescent="0.25">
      <c r="A4920" t="str">
        <f>"1073871091"</f>
        <v>1073871091</v>
      </c>
      <c r="B4920" t="str">
        <f>"03817741"</f>
        <v>03817741</v>
      </c>
      <c r="C4920" t="s">
        <v>24995</v>
      </c>
      <c r="D4920" t="s">
        <v>24996</v>
      </c>
      <c r="E4920" t="s">
        <v>24997</v>
      </c>
      <c r="G4920" t="s">
        <v>24926</v>
      </c>
      <c r="H4920" t="s">
        <v>1064</v>
      </c>
      <c r="I4920">
        <v>5343</v>
      </c>
      <c r="J4920" t="s">
        <v>24927</v>
      </c>
      <c r="L4920" t="s">
        <v>112</v>
      </c>
      <c r="M4920" t="s">
        <v>113</v>
      </c>
      <c r="R4920" t="s">
        <v>24995</v>
      </c>
      <c r="W4920" t="s">
        <v>24997</v>
      </c>
      <c r="X4920" t="s">
        <v>24998</v>
      </c>
      <c r="Y4920" t="s">
        <v>663</v>
      </c>
      <c r="Z4920" t="s">
        <v>117</v>
      </c>
      <c r="AA4920" t="str">
        <f>"14094-5376"</f>
        <v>14094-5376</v>
      </c>
      <c r="AB4920" t="s">
        <v>634</v>
      </c>
      <c r="AC4920" t="s">
        <v>119</v>
      </c>
      <c r="AD4920" t="s">
        <v>113</v>
      </c>
      <c r="AE4920" t="s">
        <v>120</v>
      </c>
      <c r="AG4920" t="s">
        <v>121</v>
      </c>
    </row>
    <row r="4921" spans="1:33" x14ac:dyDescent="0.25">
      <c r="A4921" t="str">
        <f>"1346302049"</f>
        <v>1346302049</v>
      </c>
      <c r="B4921" t="str">
        <f>"02806559"</f>
        <v>02806559</v>
      </c>
      <c r="C4921" t="s">
        <v>24999</v>
      </c>
      <c r="D4921" t="s">
        <v>25000</v>
      </c>
      <c r="E4921" t="s">
        <v>25001</v>
      </c>
      <c r="G4921" t="s">
        <v>24926</v>
      </c>
      <c r="H4921" t="s">
        <v>1064</v>
      </c>
      <c r="I4921">
        <v>5343</v>
      </c>
      <c r="J4921" t="s">
        <v>24927</v>
      </c>
      <c r="L4921" t="s">
        <v>112</v>
      </c>
      <c r="M4921" t="s">
        <v>113</v>
      </c>
      <c r="R4921" t="s">
        <v>24999</v>
      </c>
      <c r="W4921" t="s">
        <v>25002</v>
      </c>
      <c r="X4921" t="s">
        <v>25003</v>
      </c>
      <c r="Y4921" t="s">
        <v>663</v>
      </c>
      <c r="Z4921" t="s">
        <v>117</v>
      </c>
      <c r="AA4921" t="str">
        <f>"14094-6340"</f>
        <v>14094-6340</v>
      </c>
      <c r="AB4921" t="s">
        <v>634</v>
      </c>
      <c r="AC4921" t="s">
        <v>119</v>
      </c>
      <c r="AD4921" t="s">
        <v>113</v>
      </c>
      <c r="AE4921" t="s">
        <v>120</v>
      </c>
      <c r="AG4921" t="s">
        <v>121</v>
      </c>
    </row>
    <row r="4922" spans="1:33" x14ac:dyDescent="0.25">
      <c r="A4922" t="str">
        <f>"1619095726"</f>
        <v>1619095726</v>
      </c>
      <c r="B4922" t="str">
        <f>"02851774"</f>
        <v>02851774</v>
      </c>
      <c r="C4922" t="s">
        <v>25004</v>
      </c>
      <c r="D4922" t="s">
        <v>25005</v>
      </c>
      <c r="E4922" t="s">
        <v>25006</v>
      </c>
      <c r="G4922" t="s">
        <v>24926</v>
      </c>
      <c r="H4922" t="s">
        <v>1064</v>
      </c>
      <c r="I4922">
        <v>5343</v>
      </c>
      <c r="J4922" t="s">
        <v>24927</v>
      </c>
      <c r="L4922" t="s">
        <v>112</v>
      </c>
      <c r="M4922" t="s">
        <v>113</v>
      </c>
      <c r="R4922" t="s">
        <v>25004</v>
      </c>
      <c r="W4922" t="s">
        <v>25006</v>
      </c>
      <c r="X4922" t="s">
        <v>25007</v>
      </c>
      <c r="Y4922" t="s">
        <v>116</v>
      </c>
      <c r="Z4922" t="s">
        <v>117</v>
      </c>
      <c r="AA4922" t="str">
        <f>"14226-4707"</f>
        <v>14226-4707</v>
      </c>
      <c r="AB4922" t="s">
        <v>634</v>
      </c>
      <c r="AC4922" t="s">
        <v>119</v>
      </c>
      <c r="AD4922" t="s">
        <v>113</v>
      </c>
      <c r="AE4922" t="s">
        <v>120</v>
      </c>
      <c r="AG4922" t="s">
        <v>121</v>
      </c>
    </row>
    <row r="4923" spans="1:33" x14ac:dyDescent="0.25">
      <c r="A4923" t="str">
        <f>"1275891046"</f>
        <v>1275891046</v>
      </c>
      <c r="B4923" t="str">
        <f>"04347884"</f>
        <v>04347884</v>
      </c>
      <c r="C4923" t="s">
        <v>25008</v>
      </c>
      <c r="D4923" t="s">
        <v>25009</v>
      </c>
      <c r="E4923" t="s">
        <v>25008</v>
      </c>
      <c r="L4923" t="s">
        <v>112</v>
      </c>
      <c r="M4923" t="s">
        <v>113</v>
      </c>
      <c r="R4923" t="s">
        <v>25008</v>
      </c>
      <c r="W4923" t="s">
        <v>25008</v>
      </c>
      <c r="X4923" t="s">
        <v>18669</v>
      </c>
      <c r="Y4923" t="s">
        <v>116</v>
      </c>
      <c r="Z4923" t="s">
        <v>117</v>
      </c>
      <c r="AA4923" t="str">
        <f>"14202-1126"</f>
        <v>14202-1126</v>
      </c>
      <c r="AB4923" t="s">
        <v>118</v>
      </c>
      <c r="AC4923" t="s">
        <v>119</v>
      </c>
      <c r="AD4923" t="s">
        <v>113</v>
      </c>
      <c r="AE4923" t="s">
        <v>120</v>
      </c>
      <c r="AG4923" t="s">
        <v>121</v>
      </c>
    </row>
    <row r="4924" spans="1:33" x14ac:dyDescent="0.25">
      <c r="A4924" t="str">
        <f>"1184007510"</f>
        <v>1184007510</v>
      </c>
      <c r="B4924" t="str">
        <f>"04308605"</f>
        <v>04308605</v>
      </c>
      <c r="C4924" t="s">
        <v>25010</v>
      </c>
      <c r="D4924" t="s">
        <v>25011</v>
      </c>
      <c r="E4924" t="s">
        <v>25012</v>
      </c>
      <c r="L4924" t="s">
        <v>112</v>
      </c>
      <c r="M4924" t="s">
        <v>113</v>
      </c>
      <c r="R4924" t="s">
        <v>25010</v>
      </c>
      <c r="W4924" t="s">
        <v>25012</v>
      </c>
      <c r="X4924" t="s">
        <v>216</v>
      </c>
      <c r="Y4924" t="s">
        <v>116</v>
      </c>
      <c r="Z4924" t="s">
        <v>117</v>
      </c>
      <c r="AA4924" t="str">
        <f>"14222-2006"</f>
        <v>14222-2006</v>
      </c>
      <c r="AB4924" t="s">
        <v>2359</v>
      </c>
      <c r="AC4924" t="s">
        <v>119</v>
      </c>
      <c r="AD4924" t="s">
        <v>113</v>
      </c>
      <c r="AE4924" t="s">
        <v>120</v>
      </c>
      <c r="AG4924" t="s">
        <v>121</v>
      </c>
    </row>
    <row r="4925" spans="1:33" x14ac:dyDescent="0.25">
      <c r="A4925" t="str">
        <f>"1477693034"</f>
        <v>1477693034</v>
      </c>
      <c r="B4925" t="str">
        <f>"02774761"</f>
        <v>02774761</v>
      </c>
      <c r="C4925" t="s">
        <v>25013</v>
      </c>
      <c r="D4925" t="s">
        <v>25014</v>
      </c>
      <c r="E4925" t="s">
        <v>25015</v>
      </c>
      <c r="L4925" t="s">
        <v>112</v>
      </c>
      <c r="M4925" t="s">
        <v>113</v>
      </c>
      <c r="R4925" t="s">
        <v>25013</v>
      </c>
      <c r="W4925" t="s">
        <v>25015</v>
      </c>
      <c r="X4925" t="s">
        <v>25016</v>
      </c>
      <c r="Y4925" t="s">
        <v>116</v>
      </c>
      <c r="Z4925" t="s">
        <v>117</v>
      </c>
      <c r="AA4925" t="str">
        <f>"14209"</f>
        <v>14209</v>
      </c>
      <c r="AB4925" t="s">
        <v>621</v>
      </c>
      <c r="AC4925" t="s">
        <v>119</v>
      </c>
      <c r="AD4925" t="s">
        <v>113</v>
      </c>
      <c r="AE4925" t="s">
        <v>120</v>
      </c>
      <c r="AG4925" t="s">
        <v>121</v>
      </c>
    </row>
    <row r="4926" spans="1:33" x14ac:dyDescent="0.25">
      <c r="A4926" t="str">
        <f>"1750720538"</f>
        <v>1750720538</v>
      </c>
      <c r="B4926" t="str">
        <f>"04496888"</f>
        <v>04496888</v>
      </c>
      <c r="C4926" t="s">
        <v>25017</v>
      </c>
      <c r="D4926" t="s">
        <v>25018</v>
      </c>
      <c r="E4926" t="s">
        <v>25019</v>
      </c>
      <c r="L4926" t="s">
        <v>229</v>
      </c>
      <c r="M4926" t="s">
        <v>113</v>
      </c>
      <c r="R4926" t="s">
        <v>25017</v>
      </c>
      <c r="W4926" t="s">
        <v>25019</v>
      </c>
      <c r="AB4926" t="s">
        <v>118</v>
      </c>
      <c r="AC4926" t="s">
        <v>119</v>
      </c>
      <c r="AD4926" t="s">
        <v>113</v>
      </c>
      <c r="AE4926" t="s">
        <v>120</v>
      </c>
      <c r="AG4926" t="s">
        <v>121</v>
      </c>
    </row>
    <row r="4927" spans="1:33" x14ac:dyDescent="0.25">
      <c r="A4927" t="str">
        <f>"1053734145"</f>
        <v>1053734145</v>
      </c>
      <c r="B4927" t="str">
        <f>"04501204"</f>
        <v>04501204</v>
      </c>
      <c r="C4927" t="s">
        <v>25020</v>
      </c>
      <c r="D4927" t="s">
        <v>25021</v>
      </c>
      <c r="E4927" t="s">
        <v>25020</v>
      </c>
      <c r="L4927" t="s">
        <v>229</v>
      </c>
      <c r="M4927" t="s">
        <v>113</v>
      </c>
      <c r="R4927" t="s">
        <v>25020</v>
      </c>
      <c r="W4927" t="s">
        <v>25022</v>
      </c>
      <c r="AB4927" t="s">
        <v>621</v>
      </c>
      <c r="AC4927" t="s">
        <v>119</v>
      </c>
      <c r="AD4927" t="s">
        <v>113</v>
      </c>
      <c r="AE4927" t="s">
        <v>120</v>
      </c>
      <c r="AG4927" t="s">
        <v>121</v>
      </c>
    </row>
    <row r="4928" spans="1:33" x14ac:dyDescent="0.25">
      <c r="A4928" t="str">
        <f>"1669866125"</f>
        <v>1669866125</v>
      </c>
      <c r="B4928" t="str">
        <f>"04292384"</f>
        <v>04292384</v>
      </c>
      <c r="C4928" t="s">
        <v>25023</v>
      </c>
      <c r="D4928" t="s">
        <v>25024</v>
      </c>
      <c r="E4928" t="s">
        <v>25025</v>
      </c>
      <c r="L4928" t="s">
        <v>112</v>
      </c>
      <c r="M4928" t="s">
        <v>113</v>
      </c>
      <c r="R4928" t="s">
        <v>25023</v>
      </c>
      <c r="W4928" t="s">
        <v>25025</v>
      </c>
      <c r="X4928" t="s">
        <v>25026</v>
      </c>
      <c r="Y4928" t="s">
        <v>153</v>
      </c>
      <c r="Z4928" t="s">
        <v>117</v>
      </c>
      <c r="AA4928" t="str">
        <f>"14304-3022"</f>
        <v>14304-3022</v>
      </c>
      <c r="AB4928" t="s">
        <v>118</v>
      </c>
      <c r="AC4928" t="s">
        <v>119</v>
      </c>
      <c r="AD4928" t="s">
        <v>113</v>
      </c>
      <c r="AE4928" t="s">
        <v>120</v>
      </c>
      <c r="AG4928" t="s">
        <v>121</v>
      </c>
    </row>
    <row r="4929" spans="1:33" x14ac:dyDescent="0.25">
      <c r="A4929" t="str">
        <f>"1154362424"</f>
        <v>1154362424</v>
      </c>
      <c r="B4929" t="str">
        <f>"02429014"</f>
        <v>02429014</v>
      </c>
      <c r="C4929" t="s">
        <v>25027</v>
      </c>
      <c r="D4929" t="s">
        <v>25028</v>
      </c>
      <c r="E4929" t="s">
        <v>25029</v>
      </c>
      <c r="L4929" t="s">
        <v>150</v>
      </c>
      <c r="M4929" t="s">
        <v>113</v>
      </c>
      <c r="R4929" t="s">
        <v>25027</v>
      </c>
      <c r="W4929" t="s">
        <v>25029</v>
      </c>
      <c r="X4929" t="s">
        <v>16747</v>
      </c>
      <c r="Y4929" t="s">
        <v>153</v>
      </c>
      <c r="Z4929" t="s">
        <v>117</v>
      </c>
      <c r="AA4929" t="str">
        <f>"14301-1800"</f>
        <v>14301-1800</v>
      </c>
      <c r="AB4929" t="s">
        <v>118</v>
      </c>
      <c r="AC4929" t="s">
        <v>119</v>
      </c>
      <c r="AD4929" t="s">
        <v>113</v>
      </c>
      <c r="AE4929" t="s">
        <v>120</v>
      </c>
      <c r="AG4929" t="s">
        <v>121</v>
      </c>
    </row>
    <row r="4930" spans="1:33" x14ac:dyDescent="0.25">
      <c r="A4930" t="str">
        <f>"1568724888"</f>
        <v>1568724888</v>
      </c>
      <c r="B4930" t="str">
        <f>"04273630"</f>
        <v>04273630</v>
      </c>
      <c r="C4930" t="s">
        <v>25030</v>
      </c>
      <c r="D4930" t="s">
        <v>25031</v>
      </c>
      <c r="E4930" t="s">
        <v>25030</v>
      </c>
      <c r="L4930" t="s">
        <v>150</v>
      </c>
      <c r="M4930" t="s">
        <v>113</v>
      </c>
      <c r="R4930" t="s">
        <v>25030</v>
      </c>
      <c r="W4930" t="s">
        <v>25030</v>
      </c>
      <c r="X4930" t="s">
        <v>460</v>
      </c>
      <c r="Y4930" t="s">
        <v>116</v>
      </c>
      <c r="Z4930" t="s">
        <v>117</v>
      </c>
      <c r="AA4930" t="str">
        <f>"14216-2611"</f>
        <v>14216-2611</v>
      </c>
      <c r="AB4930" t="s">
        <v>118</v>
      </c>
      <c r="AC4930" t="s">
        <v>119</v>
      </c>
      <c r="AD4930" t="s">
        <v>113</v>
      </c>
      <c r="AE4930" t="s">
        <v>120</v>
      </c>
      <c r="AG4930" t="s">
        <v>121</v>
      </c>
    </row>
    <row r="4931" spans="1:33" x14ac:dyDescent="0.25">
      <c r="A4931" t="str">
        <f>"1881606416"</f>
        <v>1881606416</v>
      </c>
      <c r="B4931" t="str">
        <f>"02564092"</f>
        <v>02564092</v>
      </c>
      <c r="C4931" t="s">
        <v>25032</v>
      </c>
      <c r="D4931" t="s">
        <v>25033</v>
      </c>
      <c r="E4931" t="s">
        <v>25034</v>
      </c>
      <c r="L4931" t="s">
        <v>112</v>
      </c>
      <c r="M4931" t="s">
        <v>113</v>
      </c>
      <c r="R4931" t="s">
        <v>25032</v>
      </c>
      <c r="W4931" t="s">
        <v>25034</v>
      </c>
      <c r="X4931" t="s">
        <v>25035</v>
      </c>
      <c r="Y4931" t="s">
        <v>240</v>
      </c>
      <c r="Z4931" t="s">
        <v>117</v>
      </c>
      <c r="AA4931" t="str">
        <f>"14221-8245"</f>
        <v>14221-8245</v>
      </c>
      <c r="AB4931" t="s">
        <v>118</v>
      </c>
      <c r="AC4931" t="s">
        <v>119</v>
      </c>
      <c r="AD4931" t="s">
        <v>113</v>
      </c>
      <c r="AE4931" t="s">
        <v>120</v>
      </c>
      <c r="AG4931" t="s">
        <v>121</v>
      </c>
    </row>
    <row r="4932" spans="1:33" x14ac:dyDescent="0.25">
      <c r="A4932" t="str">
        <f>"1588955967"</f>
        <v>1588955967</v>
      </c>
      <c r="B4932" t="str">
        <f>"04273869"</f>
        <v>04273869</v>
      </c>
      <c r="C4932" t="s">
        <v>25036</v>
      </c>
      <c r="D4932" t="s">
        <v>25037</v>
      </c>
      <c r="E4932" t="s">
        <v>25038</v>
      </c>
      <c r="L4932" t="s">
        <v>142</v>
      </c>
      <c r="M4932" t="s">
        <v>113</v>
      </c>
      <c r="R4932" t="s">
        <v>25036</v>
      </c>
      <c r="W4932" t="s">
        <v>25038</v>
      </c>
      <c r="X4932" t="s">
        <v>1986</v>
      </c>
      <c r="Y4932" t="s">
        <v>116</v>
      </c>
      <c r="Z4932" t="s">
        <v>117</v>
      </c>
      <c r="AA4932" t="str">
        <f>"14207-1816"</f>
        <v>14207-1816</v>
      </c>
      <c r="AB4932" t="s">
        <v>118</v>
      </c>
      <c r="AC4932" t="s">
        <v>119</v>
      </c>
      <c r="AD4932" t="s">
        <v>113</v>
      </c>
      <c r="AE4932" t="s">
        <v>120</v>
      </c>
      <c r="AG4932" t="s">
        <v>121</v>
      </c>
    </row>
    <row r="4933" spans="1:33" x14ac:dyDescent="0.25">
      <c r="A4933" t="str">
        <f>"1316496839"</f>
        <v>1316496839</v>
      </c>
      <c r="B4933" t="str">
        <f>"04625623"</f>
        <v>04625623</v>
      </c>
      <c r="C4933" t="s">
        <v>25039</v>
      </c>
      <c r="D4933" t="s">
        <v>25040</v>
      </c>
      <c r="E4933" t="s">
        <v>25041</v>
      </c>
      <c r="L4933" t="s">
        <v>229</v>
      </c>
      <c r="M4933" t="s">
        <v>113</v>
      </c>
      <c r="R4933" t="s">
        <v>25039</v>
      </c>
      <c r="W4933" t="s">
        <v>25041</v>
      </c>
      <c r="AB4933" t="s">
        <v>621</v>
      </c>
      <c r="AC4933" t="s">
        <v>119</v>
      </c>
      <c r="AD4933" t="s">
        <v>113</v>
      </c>
      <c r="AE4933" t="s">
        <v>120</v>
      </c>
      <c r="AG4933" t="s">
        <v>121</v>
      </c>
    </row>
    <row r="4934" spans="1:33" x14ac:dyDescent="0.25">
      <c r="A4934" t="str">
        <f>"1417377540"</f>
        <v>1417377540</v>
      </c>
      <c r="B4934" t="str">
        <f>"03873374"</f>
        <v>03873374</v>
      </c>
      <c r="C4934" t="s">
        <v>25042</v>
      </c>
      <c r="D4934" t="s">
        <v>25043</v>
      </c>
      <c r="E4934" t="s">
        <v>25042</v>
      </c>
      <c r="L4934" t="s">
        <v>142</v>
      </c>
      <c r="M4934" t="s">
        <v>113</v>
      </c>
      <c r="R4934" t="s">
        <v>25042</v>
      </c>
      <c r="W4934" t="s">
        <v>25044</v>
      </c>
      <c r="X4934" t="s">
        <v>966</v>
      </c>
      <c r="Y4934" t="s">
        <v>116</v>
      </c>
      <c r="Z4934" t="s">
        <v>117</v>
      </c>
      <c r="AA4934" t="str">
        <f>"14207-1816"</f>
        <v>14207-1816</v>
      </c>
      <c r="AB4934" t="s">
        <v>118</v>
      </c>
      <c r="AC4934" t="s">
        <v>119</v>
      </c>
      <c r="AD4934" t="s">
        <v>113</v>
      </c>
      <c r="AE4934" t="s">
        <v>120</v>
      </c>
      <c r="AG4934" t="s">
        <v>121</v>
      </c>
    </row>
    <row r="4935" spans="1:33" x14ac:dyDescent="0.25">
      <c r="A4935" t="str">
        <f>"1578924528"</f>
        <v>1578924528</v>
      </c>
      <c r="B4935" t="str">
        <f>"04538381"</f>
        <v>04538381</v>
      </c>
      <c r="C4935" t="s">
        <v>25045</v>
      </c>
      <c r="D4935" t="s">
        <v>25046</v>
      </c>
      <c r="E4935" t="s">
        <v>25047</v>
      </c>
      <c r="L4935" t="s">
        <v>112</v>
      </c>
      <c r="M4935" t="s">
        <v>113</v>
      </c>
      <c r="R4935" t="s">
        <v>25045</v>
      </c>
      <c r="W4935" t="s">
        <v>25047</v>
      </c>
      <c r="AB4935" t="s">
        <v>621</v>
      </c>
      <c r="AC4935" t="s">
        <v>119</v>
      </c>
      <c r="AD4935" t="s">
        <v>113</v>
      </c>
      <c r="AE4935" t="s">
        <v>120</v>
      </c>
      <c r="AG4935" t="s">
        <v>121</v>
      </c>
    </row>
    <row r="4936" spans="1:33" x14ac:dyDescent="0.25">
      <c r="A4936" t="str">
        <f>"1023170719"</f>
        <v>1023170719</v>
      </c>
      <c r="B4936" t="str">
        <f>"00945377"</f>
        <v>00945377</v>
      </c>
      <c r="C4936" t="s">
        <v>25048</v>
      </c>
      <c r="D4936" t="s">
        <v>25049</v>
      </c>
      <c r="E4936" t="s">
        <v>25050</v>
      </c>
      <c r="L4936" t="s">
        <v>142</v>
      </c>
      <c r="M4936" t="s">
        <v>113</v>
      </c>
      <c r="R4936" t="s">
        <v>25048</v>
      </c>
      <c r="W4936" t="s">
        <v>25051</v>
      </c>
      <c r="X4936" t="s">
        <v>25052</v>
      </c>
      <c r="Y4936" t="s">
        <v>116</v>
      </c>
      <c r="Z4936" t="s">
        <v>117</v>
      </c>
      <c r="AA4936" t="str">
        <f>"14223-2861"</f>
        <v>14223-2861</v>
      </c>
      <c r="AB4936" t="s">
        <v>1755</v>
      </c>
      <c r="AC4936" t="s">
        <v>119</v>
      </c>
      <c r="AD4936" t="s">
        <v>113</v>
      </c>
      <c r="AE4936" t="s">
        <v>120</v>
      </c>
      <c r="AG4936" t="s">
        <v>121</v>
      </c>
    </row>
    <row r="4937" spans="1:33" x14ac:dyDescent="0.25">
      <c r="A4937" t="str">
        <f>"1962546812"</f>
        <v>1962546812</v>
      </c>
      <c r="B4937" t="str">
        <f>"03205543"</f>
        <v>03205543</v>
      </c>
      <c r="C4937" t="s">
        <v>25053</v>
      </c>
      <c r="D4937" t="s">
        <v>25054</v>
      </c>
      <c r="E4937" t="s">
        <v>25055</v>
      </c>
      <c r="L4937" t="s">
        <v>112</v>
      </c>
      <c r="M4937" t="s">
        <v>113</v>
      </c>
      <c r="R4937" t="s">
        <v>25053</v>
      </c>
      <c r="W4937" t="s">
        <v>25055</v>
      </c>
      <c r="X4937" t="s">
        <v>216</v>
      </c>
      <c r="Y4937" t="s">
        <v>116</v>
      </c>
      <c r="Z4937" t="s">
        <v>117</v>
      </c>
      <c r="AA4937" t="str">
        <f>"14222-2006"</f>
        <v>14222-2006</v>
      </c>
      <c r="AB4937" t="s">
        <v>118</v>
      </c>
      <c r="AC4937" t="s">
        <v>119</v>
      </c>
      <c r="AD4937" t="s">
        <v>113</v>
      </c>
      <c r="AE4937" t="s">
        <v>120</v>
      </c>
      <c r="AG4937" t="s">
        <v>121</v>
      </c>
    </row>
    <row r="4938" spans="1:33" x14ac:dyDescent="0.25">
      <c r="A4938" t="str">
        <f>"1023410461"</f>
        <v>1023410461</v>
      </c>
      <c r="B4938" t="str">
        <f>"03989475"</f>
        <v>03989475</v>
      </c>
      <c r="C4938" t="s">
        <v>25056</v>
      </c>
      <c r="D4938" t="s">
        <v>25057</v>
      </c>
      <c r="E4938" t="s">
        <v>25058</v>
      </c>
      <c r="L4938" t="s">
        <v>142</v>
      </c>
      <c r="M4938" t="s">
        <v>113</v>
      </c>
      <c r="R4938" t="s">
        <v>25056</v>
      </c>
      <c r="W4938" t="s">
        <v>25058</v>
      </c>
      <c r="AB4938" t="s">
        <v>118</v>
      </c>
      <c r="AC4938" t="s">
        <v>119</v>
      </c>
      <c r="AD4938" t="s">
        <v>113</v>
      </c>
      <c r="AE4938" t="s">
        <v>120</v>
      </c>
      <c r="AG4938" t="s">
        <v>121</v>
      </c>
    </row>
    <row r="4939" spans="1:33" x14ac:dyDescent="0.25">
      <c r="A4939" t="str">
        <f>"1568467876"</f>
        <v>1568467876</v>
      </c>
      <c r="B4939" t="str">
        <f>"00841350"</f>
        <v>00841350</v>
      </c>
      <c r="C4939" t="s">
        <v>25059</v>
      </c>
      <c r="D4939" t="s">
        <v>25060</v>
      </c>
      <c r="E4939" t="s">
        <v>25061</v>
      </c>
      <c r="L4939" t="s">
        <v>150</v>
      </c>
      <c r="M4939" t="s">
        <v>113</v>
      </c>
      <c r="R4939" t="s">
        <v>25059</v>
      </c>
      <c r="W4939" t="s">
        <v>25061</v>
      </c>
      <c r="X4939" t="s">
        <v>25062</v>
      </c>
      <c r="Y4939" t="s">
        <v>512</v>
      </c>
      <c r="Z4939" t="s">
        <v>117</v>
      </c>
      <c r="AA4939" t="str">
        <f>"14092-2149"</f>
        <v>14092-2149</v>
      </c>
      <c r="AB4939" t="s">
        <v>118</v>
      </c>
      <c r="AC4939" t="s">
        <v>119</v>
      </c>
      <c r="AD4939" t="s">
        <v>113</v>
      </c>
      <c r="AE4939" t="s">
        <v>120</v>
      </c>
      <c r="AG4939" t="s">
        <v>121</v>
      </c>
    </row>
    <row r="4940" spans="1:33" x14ac:dyDescent="0.25">
      <c r="A4940" t="str">
        <f>"1154408136"</f>
        <v>1154408136</v>
      </c>
      <c r="B4940" t="str">
        <f>"02202239"</f>
        <v>02202239</v>
      </c>
      <c r="C4940" t="s">
        <v>25063</v>
      </c>
      <c r="D4940" t="s">
        <v>25064</v>
      </c>
      <c r="E4940" t="s">
        <v>25065</v>
      </c>
      <c r="L4940" t="s">
        <v>150</v>
      </c>
      <c r="M4940" t="s">
        <v>113</v>
      </c>
      <c r="R4940" t="s">
        <v>25063</v>
      </c>
      <c r="W4940" t="s">
        <v>25065</v>
      </c>
      <c r="X4940" t="s">
        <v>25066</v>
      </c>
      <c r="Y4940" t="s">
        <v>25067</v>
      </c>
      <c r="Z4940" t="s">
        <v>117</v>
      </c>
      <c r="AA4940" t="str">
        <f>"14080-9711"</f>
        <v>14080-9711</v>
      </c>
      <c r="AB4940" t="s">
        <v>118</v>
      </c>
      <c r="AC4940" t="s">
        <v>119</v>
      </c>
      <c r="AD4940" t="s">
        <v>113</v>
      </c>
      <c r="AE4940" t="s">
        <v>120</v>
      </c>
      <c r="AG4940" t="s">
        <v>121</v>
      </c>
    </row>
    <row r="4941" spans="1:33" x14ac:dyDescent="0.25">
      <c r="A4941" t="str">
        <f>"1801281753"</f>
        <v>1801281753</v>
      </c>
      <c r="B4941" t="str">
        <f>"04148752"</f>
        <v>04148752</v>
      </c>
      <c r="C4941" t="s">
        <v>25068</v>
      </c>
      <c r="D4941" t="s">
        <v>25069</v>
      </c>
      <c r="E4941" t="s">
        <v>25070</v>
      </c>
      <c r="L4941" t="s">
        <v>112</v>
      </c>
      <c r="M4941" t="s">
        <v>113</v>
      </c>
      <c r="R4941" t="s">
        <v>25068</v>
      </c>
      <c r="W4941" t="s">
        <v>25070</v>
      </c>
      <c r="X4941" t="s">
        <v>5741</v>
      </c>
      <c r="Y4941" t="s">
        <v>986</v>
      </c>
      <c r="Z4941" t="s">
        <v>117</v>
      </c>
      <c r="AA4941" t="str">
        <f>"14701-3824"</f>
        <v>14701-3824</v>
      </c>
      <c r="AB4941" t="s">
        <v>621</v>
      </c>
      <c r="AC4941" t="s">
        <v>119</v>
      </c>
      <c r="AD4941" t="s">
        <v>113</v>
      </c>
      <c r="AE4941" t="s">
        <v>120</v>
      </c>
      <c r="AG4941" t="s">
        <v>121</v>
      </c>
    </row>
    <row r="4942" spans="1:33" x14ac:dyDescent="0.25">
      <c r="A4942" t="str">
        <f>"1063595114"</f>
        <v>1063595114</v>
      </c>
      <c r="B4942" t="str">
        <f>"00718772"</f>
        <v>00718772</v>
      </c>
      <c r="C4942" t="s">
        <v>25071</v>
      </c>
      <c r="D4942" t="s">
        <v>25072</v>
      </c>
      <c r="E4942" t="s">
        <v>25073</v>
      </c>
      <c r="L4942" t="s">
        <v>150</v>
      </c>
      <c r="M4942" t="s">
        <v>113</v>
      </c>
      <c r="R4942" t="s">
        <v>25071</v>
      </c>
      <c r="W4942" t="s">
        <v>25073</v>
      </c>
      <c r="X4942" t="s">
        <v>25074</v>
      </c>
      <c r="Y4942" t="s">
        <v>986</v>
      </c>
      <c r="Z4942" t="s">
        <v>117</v>
      </c>
      <c r="AA4942" t="str">
        <f>"14701-6820"</f>
        <v>14701-6820</v>
      </c>
      <c r="AB4942" t="s">
        <v>118</v>
      </c>
      <c r="AC4942" t="s">
        <v>119</v>
      </c>
      <c r="AD4942" t="s">
        <v>113</v>
      </c>
      <c r="AE4942" t="s">
        <v>120</v>
      </c>
      <c r="AG4942" t="s">
        <v>121</v>
      </c>
    </row>
    <row r="4943" spans="1:33" x14ac:dyDescent="0.25">
      <c r="A4943" t="str">
        <f>"1265736565"</f>
        <v>1265736565</v>
      </c>
      <c r="B4943" t="str">
        <f>"03324518"</f>
        <v>03324518</v>
      </c>
      <c r="C4943" t="s">
        <v>25075</v>
      </c>
      <c r="D4943" t="s">
        <v>25076</v>
      </c>
      <c r="E4943" t="s">
        <v>25077</v>
      </c>
      <c r="L4943" t="s">
        <v>142</v>
      </c>
      <c r="M4943" t="s">
        <v>113</v>
      </c>
      <c r="R4943" t="s">
        <v>25075</v>
      </c>
      <c r="W4943" t="s">
        <v>25077</v>
      </c>
      <c r="X4943" t="s">
        <v>4483</v>
      </c>
      <c r="Y4943" t="s">
        <v>116</v>
      </c>
      <c r="Z4943" t="s">
        <v>117</v>
      </c>
      <c r="AA4943" t="str">
        <f>"14208-2102"</f>
        <v>14208-2102</v>
      </c>
      <c r="AB4943" t="s">
        <v>10399</v>
      </c>
      <c r="AC4943" t="s">
        <v>119</v>
      </c>
      <c r="AD4943" t="s">
        <v>113</v>
      </c>
      <c r="AE4943" t="s">
        <v>120</v>
      </c>
      <c r="AG4943" t="s">
        <v>121</v>
      </c>
    </row>
    <row r="4944" spans="1:33" x14ac:dyDescent="0.25">
      <c r="A4944" t="str">
        <f>"1891131439"</f>
        <v>1891131439</v>
      </c>
      <c r="B4944" t="str">
        <f>"04504129"</f>
        <v>04504129</v>
      </c>
      <c r="C4944" t="s">
        <v>25078</v>
      </c>
      <c r="D4944" t="s">
        <v>25079</v>
      </c>
      <c r="E4944" t="s">
        <v>25080</v>
      </c>
      <c r="L4944" t="s">
        <v>229</v>
      </c>
      <c r="M4944" t="s">
        <v>113</v>
      </c>
      <c r="R4944" t="s">
        <v>25078</v>
      </c>
      <c r="W4944" t="s">
        <v>25080</v>
      </c>
      <c r="AB4944" t="s">
        <v>118</v>
      </c>
      <c r="AC4944" t="s">
        <v>119</v>
      </c>
      <c r="AD4944" t="s">
        <v>113</v>
      </c>
      <c r="AE4944" t="s">
        <v>120</v>
      </c>
      <c r="AG4944" t="s">
        <v>121</v>
      </c>
    </row>
    <row r="4945" spans="1:33" x14ac:dyDescent="0.25">
      <c r="A4945" t="str">
        <f>"1013901966"</f>
        <v>1013901966</v>
      </c>
      <c r="B4945" t="str">
        <f>"02498268"</f>
        <v>02498268</v>
      </c>
      <c r="C4945" t="s">
        <v>25081</v>
      </c>
      <c r="D4945" t="s">
        <v>25082</v>
      </c>
      <c r="E4945" t="s">
        <v>25083</v>
      </c>
      <c r="L4945" t="s">
        <v>112</v>
      </c>
      <c r="M4945" t="s">
        <v>113</v>
      </c>
      <c r="R4945" t="s">
        <v>25081</v>
      </c>
      <c r="W4945" t="s">
        <v>25083</v>
      </c>
      <c r="X4945" t="s">
        <v>11786</v>
      </c>
      <c r="Y4945" t="s">
        <v>116</v>
      </c>
      <c r="Z4945" t="s">
        <v>117</v>
      </c>
      <c r="AA4945" t="str">
        <f>"14201-2135"</f>
        <v>14201-2135</v>
      </c>
      <c r="AB4945" t="s">
        <v>118</v>
      </c>
      <c r="AC4945" t="s">
        <v>119</v>
      </c>
      <c r="AD4945" t="s">
        <v>113</v>
      </c>
      <c r="AE4945" t="s">
        <v>120</v>
      </c>
      <c r="AG4945" t="s">
        <v>121</v>
      </c>
    </row>
    <row r="4946" spans="1:33" x14ac:dyDescent="0.25">
      <c r="A4946" t="str">
        <f>"1366470486"</f>
        <v>1366470486</v>
      </c>
      <c r="B4946" t="str">
        <f>"04625527"</f>
        <v>04625527</v>
      </c>
      <c r="C4946" t="s">
        <v>25084</v>
      </c>
      <c r="D4946" t="s">
        <v>25085</v>
      </c>
      <c r="E4946" t="s">
        <v>25086</v>
      </c>
      <c r="L4946" t="s">
        <v>112</v>
      </c>
      <c r="M4946" t="s">
        <v>113</v>
      </c>
      <c r="R4946" t="s">
        <v>25084</v>
      </c>
      <c r="W4946" t="s">
        <v>25086</v>
      </c>
      <c r="AB4946" t="s">
        <v>118</v>
      </c>
      <c r="AC4946" t="s">
        <v>119</v>
      </c>
      <c r="AD4946" t="s">
        <v>113</v>
      </c>
      <c r="AE4946" t="s">
        <v>120</v>
      </c>
      <c r="AG4946" t="s">
        <v>121</v>
      </c>
    </row>
    <row r="4947" spans="1:33" x14ac:dyDescent="0.25">
      <c r="A4947" t="str">
        <f>"1538112164"</f>
        <v>1538112164</v>
      </c>
      <c r="B4947" t="str">
        <f>"00930589"</f>
        <v>00930589</v>
      </c>
      <c r="C4947" t="s">
        <v>25087</v>
      </c>
      <c r="D4947" t="s">
        <v>25088</v>
      </c>
      <c r="E4947" t="s">
        <v>25089</v>
      </c>
      <c r="L4947" t="s">
        <v>1033</v>
      </c>
      <c r="M4947" t="s">
        <v>113</v>
      </c>
      <c r="R4947" t="s">
        <v>25087</v>
      </c>
      <c r="W4947" t="s">
        <v>25089</v>
      </c>
      <c r="X4947" t="s">
        <v>25090</v>
      </c>
      <c r="Y4947" t="s">
        <v>240</v>
      </c>
      <c r="Z4947" t="s">
        <v>117</v>
      </c>
      <c r="AA4947" t="str">
        <f>"14221-3625"</f>
        <v>14221-3625</v>
      </c>
      <c r="AB4947" t="s">
        <v>2359</v>
      </c>
      <c r="AC4947" t="s">
        <v>119</v>
      </c>
      <c r="AD4947" t="s">
        <v>113</v>
      </c>
      <c r="AE4947" t="s">
        <v>120</v>
      </c>
      <c r="AG4947" t="s">
        <v>121</v>
      </c>
    </row>
    <row r="4948" spans="1:33" x14ac:dyDescent="0.25">
      <c r="A4948" t="str">
        <f>"1346676392"</f>
        <v>1346676392</v>
      </c>
      <c r="B4948" t="str">
        <f>"03767993"</f>
        <v>03767993</v>
      </c>
      <c r="C4948" t="s">
        <v>25091</v>
      </c>
      <c r="D4948" t="s">
        <v>25092</v>
      </c>
      <c r="E4948" t="s">
        <v>25093</v>
      </c>
      <c r="L4948" t="s">
        <v>142</v>
      </c>
      <c r="M4948" t="s">
        <v>113</v>
      </c>
      <c r="R4948" t="s">
        <v>25091</v>
      </c>
      <c r="W4948" t="s">
        <v>25094</v>
      </c>
      <c r="X4948" t="s">
        <v>1098</v>
      </c>
      <c r="Y4948" t="s">
        <v>305</v>
      </c>
      <c r="Z4948" t="s">
        <v>117</v>
      </c>
      <c r="AA4948" t="str">
        <f>"14760-1513"</f>
        <v>14760-1513</v>
      </c>
      <c r="AB4948" t="s">
        <v>118</v>
      </c>
      <c r="AC4948" t="s">
        <v>119</v>
      </c>
      <c r="AD4948" t="s">
        <v>113</v>
      </c>
      <c r="AE4948" t="s">
        <v>120</v>
      </c>
      <c r="AG4948" t="s">
        <v>121</v>
      </c>
    </row>
    <row r="4949" spans="1:33" x14ac:dyDescent="0.25">
      <c r="A4949" t="str">
        <f>"1316919152"</f>
        <v>1316919152</v>
      </c>
      <c r="B4949" t="str">
        <f>"01765966"</f>
        <v>01765966</v>
      </c>
      <c r="C4949" t="s">
        <v>25095</v>
      </c>
      <c r="D4949" t="s">
        <v>25096</v>
      </c>
      <c r="E4949" t="s">
        <v>25097</v>
      </c>
      <c r="L4949" t="s">
        <v>142</v>
      </c>
      <c r="M4949" t="s">
        <v>113</v>
      </c>
      <c r="R4949" t="s">
        <v>25095</v>
      </c>
      <c r="W4949" t="s">
        <v>25097</v>
      </c>
      <c r="X4949" t="s">
        <v>25098</v>
      </c>
      <c r="Y4949" t="s">
        <v>305</v>
      </c>
      <c r="Z4949" t="s">
        <v>117</v>
      </c>
      <c r="AA4949" t="str">
        <f>"14760-1598"</f>
        <v>14760-1598</v>
      </c>
      <c r="AB4949" t="s">
        <v>118</v>
      </c>
      <c r="AC4949" t="s">
        <v>119</v>
      </c>
      <c r="AD4949" t="s">
        <v>113</v>
      </c>
      <c r="AE4949" t="s">
        <v>120</v>
      </c>
      <c r="AG4949" t="s">
        <v>121</v>
      </c>
    </row>
    <row r="4950" spans="1:33" x14ac:dyDescent="0.25">
      <c r="A4950" t="str">
        <f>"1346296456"</f>
        <v>1346296456</v>
      </c>
      <c r="B4950" t="str">
        <f>"01349013"</f>
        <v>01349013</v>
      </c>
      <c r="C4950" t="s">
        <v>25099</v>
      </c>
      <c r="D4950" t="s">
        <v>25100</v>
      </c>
      <c r="E4950" t="s">
        <v>25101</v>
      </c>
      <c r="L4950" t="s">
        <v>150</v>
      </c>
      <c r="M4950" t="s">
        <v>113</v>
      </c>
      <c r="R4950" t="s">
        <v>25099</v>
      </c>
      <c r="W4950" t="s">
        <v>25101</v>
      </c>
      <c r="X4950" t="s">
        <v>25102</v>
      </c>
      <c r="Y4950" t="s">
        <v>25103</v>
      </c>
      <c r="Z4950" t="s">
        <v>117</v>
      </c>
      <c r="AA4950" t="str">
        <f>"13045-1206"</f>
        <v>13045-1206</v>
      </c>
      <c r="AB4950" t="s">
        <v>118</v>
      </c>
      <c r="AC4950" t="s">
        <v>119</v>
      </c>
      <c r="AD4950" t="s">
        <v>113</v>
      </c>
      <c r="AE4950" t="s">
        <v>120</v>
      </c>
      <c r="AG4950" t="s">
        <v>121</v>
      </c>
    </row>
    <row r="4951" spans="1:33" x14ac:dyDescent="0.25">
      <c r="A4951" t="str">
        <f>"1649518655"</f>
        <v>1649518655</v>
      </c>
      <c r="B4951" t="str">
        <f>"03618004"</f>
        <v>03618004</v>
      </c>
      <c r="C4951" t="s">
        <v>25104</v>
      </c>
      <c r="D4951" t="s">
        <v>25105</v>
      </c>
      <c r="E4951" t="s">
        <v>25106</v>
      </c>
      <c r="L4951" t="s">
        <v>1033</v>
      </c>
      <c r="M4951" t="s">
        <v>113</v>
      </c>
      <c r="R4951" t="s">
        <v>25104</v>
      </c>
      <c r="W4951" t="s">
        <v>25106</v>
      </c>
      <c r="X4951" t="s">
        <v>25107</v>
      </c>
      <c r="Y4951" t="s">
        <v>10987</v>
      </c>
      <c r="Z4951" t="s">
        <v>117</v>
      </c>
      <c r="AA4951" t="str">
        <f>"14750-2000"</f>
        <v>14750-2000</v>
      </c>
      <c r="AB4951" t="s">
        <v>621</v>
      </c>
      <c r="AC4951" t="s">
        <v>119</v>
      </c>
      <c r="AD4951" t="s">
        <v>113</v>
      </c>
      <c r="AE4951" t="s">
        <v>120</v>
      </c>
      <c r="AG4951" t="s">
        <v>121</v>
      </c>
    </row>
    <row r="4952" spans="1:33" x14ac:dyDescent="0.25">
      <c r="A4952" t="str">
        <f>"1124380936"</f>
        <v>1124380936</v>
      </c>
      <c r="B4952" t="str">
        <f>"04502434"</f>
        <v>04502434</v>
      </c>
      <c r="C4952" t="s">
        <v>25108</v>
      </c>
      <c r="D4952" t="s">
        <v>25109</v>
      </c>
      <c r="E4952" t="s">
        <v>25108</v>
      </c>
      <c r="L4952" t="s">
        <v>229</v>
      </c>
      <c r="M4952" t="s">
        <v>113</v>
      </c>
      <c r="R4952" t="s">
        <v>25108</v>
      </c>
      <c r="W4952" t="s">
        <v>25110</v>
      </c>
      <c r="AB4952" t="s">
        <v>118</v>
      </c>
      <c r="AC4952" t="s">
        <v>119</v>
      </c>
      <c r="AD4952" t="s">
        <v>113</v>
      </c>
      <c r="AE4952" t="s">
        <v>120</v>
      </c>
      <c r="AG4952" t="s">
        <v>121</v>
      </c>
    </row>
    <row r="4953" spans="1:33" x14ac:dyDescent="0.25">
      <c r="A4953" t="str">
        <f>"1548491004"</f>
        <v>1548491004</v>
      </c>
      <c r="B4953" t="str">
        <f>"04524163"</f>
        <v>04524163</v>
      </c>
      <c r="C4953" t="s">
        <v>25111</v>
      </c>
      <c r="D4953" t="s">
        <v>25112</v>
      </c>
      <c r="E4953" t="s">
        <v>25113</v>
      </c>
      <c r="G4953" t="s">
        <v>21727</v>
      </c>
      <c r="H4953" t="s">
        <v>17263</v>
      </c>
      <c r="J4953" t="s">
        <v>17264</v>
      </c>
      <c r="L4953" t="s">
        <v>229</v>
      </c>
      <c r="M4953" t="s">
        <v>113</v>
      </c>
      <c r="R4953" t="s">
        <v>25111</v>
      </c>
      <c r="W4953" t="s">
        <v>25113</v>
      </c>
      <c r="AB4953" t="s">
        <v>118</v>
      </c>
      <c r="AC4953" t="s">
        <v>119</v>
      </c>
      <c r="AD4953" t="s">
        <v>113</v>
      </c>
      <c r="AE4953" t="s">
        <v>120</v>
      </c>
      <c r="AG4953" t="s">
        <v>121</v>
      </c>
    </row>
    <row r="4954" spans="1:33" x14ac:dyDescent="0.25">
      <c r="A4954" t="str">
        <f>"1023342458"</f>
        <v>1023342458</v>
      </c>
      <c r="B4954" t="str">
        <f>"04355157"</f>
        <v>04355157</v>
      </c>
      <c r="C4954" t="s">
        <v>25114</v>
      </c>
      <c r="D4954" t="s">
        <v>25115</v>
      </c>
      <c r="E4954" t="s">
        <v>25116</v>
      </c>
      <c r="L4954" t="s">
        <v>1033</v>
      </c>
      <c r="M4954" t="s">
        <v>113</v>
      </c>
      <c r="R4954" t="s">
        <v>25114</v>
      </c>
      <c r="W4954" t="s">
        <v>25116</v>
      </c>
      <c r="X4954" t="s">
        <v>3024</v>
      </c>
      <c r="Y4954" t="s">
        <v>305</v>
      </c>
      <c r="Z4954" t="s">
        <v>117</v>
      </c>
      <c r="AA4954" t="str">
        <f>"14760-2736"</f>
        <v>14760-2736</v>
      </c>
      <c r="AB4954" t="s">
        <v>2359</v>
      </c>
      <c r="AC4954" t="s">
        <v>119</v>
      </c>
      <c r="AD4954" t="s">
        <v>113</v>
      </c>
      <c r="AE4954" t="s">
        <v>120</v>
      </c>
      <c r="AG4954" t="s">
        <v>121</v>
      </c>
    </row>
    <row r="4955" spans="1:33" x14ac:dyDescent="0.25">
      <c r="A4955" t="str">
        <f>"1811030141"</f>
        <v>1811030141</v>
      </c>
      <c r="B4955" t="str">
        <f>"01051321"</f>
        <v>01051321</v>
      </c>
      <c r="C4955" t="s">
        <v>25117</v>
      </c>
      <c r="D4955" t="s">
        <v>25118</v>
      </c>
      <c r="E4955" t="s">
        <v>25119</v>
      </c>
      <c r="L4955" t="s">
        <v>112</v>
      </c>
      <c r="M4955" t="s">
        <v>199</v>
      </c>
      <c r="R4955" t="s">
        <v>25117</v>
      </c>
      <c r="W4955" t="s">
        <v>25120</v>
      </c>
      <c r="X4955" t="s">
        <v>25121</v>
      </c>
      <c r="Y4955" t="s">
        <v>25122</v>
      </c>
      <c r="Z4955" t="s">
        <v>117</v>
      </c>
      <c r="AA4955" t="str">
        <f>"14456-2119"</f>
        <v>14456-2119</v>
      </c>
      <c r="AB4955" t="s">
        <v>634</v>
      </c>
      <c r="AC4955" t="s">
        <v>119</v>
      </c>
      <c r="AD4955" t="s">
        <v>113</v>
      </c>
      <c r="AE4955" t="s">
        <v>120</v>
      </c>
      <c r="AG4955" t="s">
        <v>121</v>
      </c>
    </row>
    <row r="4956" spans="1:33" x14ac:dyDescent="0.25">
      <c r="A4956" t="str">
        <f>"1285864637"</f>
        <v>1285864637</v>
      </c>
      <c r="B4956" t="str">
        <f>"02420386"</f>
        <v>02420386</v>
      </c>
      <c r="C4956" t="s">
        <v>25123</v>
      </c>
      <c r="D4956" t="s">
        <v>25124</v>
      </c>
      <c r="E4956" t="s">
        <v>25125</v>
      </c>
      <c r="L4956" t="s">
        <v>229</v>
      </c>
      <c r="M4956" t="s">
        <v>113</v>
      </c>
      <c r="R4956" t="s">
        <v>25123</v>
      </c>
      <c r="W4956" t="s">
        <v>25125</v>
      </c>
      <c r="X4956" t="s">
        <v>22761</v>
      </c>
      <c r="Y4956" t="s">
        <v>958</v>
      </c>
      <c r="Z4956" t="s">
        <v>117</v>
      </c>
      <c r="AA4956" t="str">
        <f>"14228-2783"</f>
        <v>14228-2783</v>
      </c>
      <c r="AB4956" t="s">
        <v>118</v>
      </c>
      <c r="AC4956" t="s">
        <v>119</v>
      </c>
      <c r="AD4956" t="s">
        <v>113</v>
      </c>
      <c r="AE4956" t="s">
        <v>120</v>
      </c>
      <c r="AG4956" t="s">
        <v>121</v>
      </c>
    </row>
    <row r="4957" spans="1:33" x14ac:dyDescent="0.25">
      <c r="A4957" t="str">
        <f>"1407241680"</f>
        <v>1407241680</v>
      </c>
      <c r="B4957" t="str">
        <f>"04398445"</f>
        <v>04398445</v>
      </c>
      <c r="C4957" t="s">
        <v>25126</v>
      </c>
      <c r="D4957" t="s">
        <v>25127</v>
      </c>
      <c r="E4957" t="s">
        <v>25126</v>
      </c>
      <c r="L4957" t="s">
        <v>112</v>
      </c>
      <c r="M4957" t="s">
        <v>113</v>
      </c>
      <c r="R4957" t="s">
        <v>25126</v>
      </c>
      <c r="W4957" t="s">
        <v>25126</v>
      </c>
      <c r="X4957" t="s">
        <v>17971</v>
      </c>
      <c r="Y4957" t="s">
        <v>268</v>
      </c>
      <c r="Z4957" t="s">
        <v>117</v>
      </c>
      <c r="AA4957" t="str">
        <f>"14150-9407"</f>
        <v>14150-9407</v>
      </c>
      <c r="AB4957" t="s">
        <v>118</v>
      </c>
      <c r="AC4957" t="s">
        <v>119</v>
      </c>
      <c r="AD4957" t="s">
        <v>113</v>
      </c>
      <c r="AE4957" t="s">
        <v>120</v>
      </c>
      <c r="AG4957" t="s">
        <v>121</v>
      </c>
    </row>
    <row r="4958" spans="1:33" x14ac:dyDescent="0.25">
      <c r="A4958" t="str">
        <f>"1982780268"</f>
        <v>1982780268</v>
      </c>
      <c r="B4958" t="str">
        <f>"02278820"</f>
        <v>02278820</v>
      </c>
      <c r="C4958" t="s">
        <v>25128</v>
      </c>
      <c r="D4958" t="s">
        <v>25129</v>
      </c>
      <c r="E4958" t="s">
        <v>25130</v>
      </c>
      <c r="L4958" t="s">
        <v>112</v>
      </c>
      <c r="M4958" t="s">
        <v>113</v>
      </c>
      <c r="R4958" t="s">
        <v>25128</v>
      </c>
      <c r="W4958" t="s">
        <v>25131</v>
      </c>
      <c r="X4958" t="s">
        <v>22761</v>
      </c>
      <c r="Y4958" t="s">
        <v>958</v>
      </c>
      <c r="Z4958" t="s">
        <v>117</v>
      </c>
      <c r="AA4958" t="str">
        <f>"14228-2783"</f>
        <v>14228-2783</v>
      </c>
      <c r="AB4958" t="s">
        <v>118</v>
      </c>
      <c r="AC4958" t="s">
        <v>119</v>
      </c>
      <c r="AD4958" t="s">
        <v>113</v>
      </c>
      <c r="AE4958" t="s">
        <v>120</v>
      </c>
      <c r="AG4958" t="s">
        <v>121</v>
      </c>
    </row>
    <row r="4959" spans="1:33" x14ac:dyDescent="0.25">
      <c r="A4959" t="str">
        <f>"1851769368"</f>
        <v>1851769368</v>
      </c>
      <c r="B4959" t="str">
        <f>"04528790"</f>
        <v>04528790</v>
      </c>
      <c r="C4959" t="s">
        <v>25132</v>
      </c>
      <c r="D4959" t="s">
        <v>25133</v>
      </c>
      <c r="E4959" t="s">
        <v>25132</v>
      </c>
      <c r="L4959" t="s">
        <v>229</v>
      </c>
      <c r="M4959" t="s">
        <v>113</v>
      </c>
      <c r="R4959" t="s">
        <v>25132</v>
      </c>
      <c r="W4959" t="s">
        <v>25132</v>
      </c>
      <c r="AB4959" t="s">
        <v>118</v>
      </c>
      <c r="AC4959" t="s">
        <v>119</v>
      </c>
      <c r="AD4959" t="s">
        <v>113</v>
      </c>
      <c r="AE4959" t="s">
        <v>120</v>
      </c>
      <c r="AG4959" t="s">
        <v>121</v>
      </c>
    </row>
    <row r="4960" spans="1:33" x14ac:dyDescent="0.25">
      <c r="A4960" t="str">
        <f>"1558722611"</f>
        <v>1558722611</v>
      </c>
      <c r="B4960" t="str">
        <f>"04398463"</f>
        <v>04398463</v>
      </c>
      <c r="C4960" t="s">
        <v>25134</v>
      </c>
      <c r="D4960" t="s">
        <v>25135</v>
      </c>
      <c r="E4960" t="s">
        <v>25136</v>
      </c>
      <c r="L4960" t="s">
        <v>112</v>
      </c>
      <c r="M4960" t="s">
        <v>113</v>
      </c>
      <c r="R4960" t="s">
        <v>25134</v>
      </c>
      <c r="W4960" t="s">
        <v>25136</v>
      </c>
      <c r="X4960" t="s">
        <v>9170</v>
      </c>
      <c r="Y4960" t="s">
        <v>153</v>
      </c>
      <c r="Z4960" t="s">
        <v>117</v>
      </c>
      <c r="AA4960" t="str">
        <f>"14301-1841"</f>
        <v>14301-1841</v>
      </c>
      <c r="AB4960" t="s">
        <v>118</v>
      </c>
      <c r="AC4960" t="s">
        <v>119</v>
      </c>
      <c r="AD4960" t="s">
        <v>113</v>
      </c>
      <c r="AE4960" t="s">
        <v>120</v>
      </c>
      <c r="AG4960" t="s">
        <v>121</v>
      </c>
    </row>
    <row r="4961" spans="1:33" x14ac:dyDescent="0.25">
      <c r="C4961" t="s">
        <v>25137</v>
      </c>
      <c r="G4961" t="s">
        <v>25138</v>
      </c>
      <c r="H4961" t="s">
        <v>25139</v>
      </c>
      <c r="J4961" t="s">
        <v>25140</v>
      </c>
      <c r="K4961" t="s">
        <v>25141</v>
      </c>
      <c r="L4961" t="s">
        <v>3095</v>
      </c>
      <c r="M4961" t="s">
        <v>113</v>
      </c>
      <c r="N4961" t="s">
        <v>25142</v>
      </c>
      <c r="O4961" t="s">
        <v>19907</v>
      </c>
      <c r="P4961" t="s">
        <v>117</v>
      </c>
      <c r="Q4961" t="str">
        <f>"14569"</f>
        <v>14569</v>
      </c>
      <c r="AC4961" t="s">
        <v>119</v>
      </c>
      <c r="AD4961" t="s">
        <v>113</v>
      </c>
      <c r="AE4961" t="s">
        <v>3098</v>
      </c>
      <c r="AG4961" t="s">
        <v>121</v>
      </c>
    </row>
    <row r="4962" spans="1:33" x14ac:dyDescent="0.25">
      <c r="C4962" t="s">
        <v>25143</v>
      </c>
      <c r="G4962" t="s">
        <v>25144</v>
      </c>
      <c r="H4962" t="s">
        <v>25145</v>
      </c>
      <c r="J4962" t="s">
        <v>25146</v>
      </c>
      <c r="K4962" t="s">
        <v>24061</v>
      </c>
      <c r="L4962" t="s">
        <v>3095</v>
      </c>
      <c r="M4962" t="s">
        <v>113</v>
      </c>
      <c r="N4962" t="s">
        <v>25147</v>
      </c>
      <c r="O4962" t="s">
        <v>3097</v>
      </c>
      <c r="P4962" t="s">
        <v>117</v>
      </c>
      <c r="Q4962" t="str">
        <f>"14204"</f>
        <v>14204</v>
      </c>
      <c r="AC4962" t="s">
        <v>119</v>
      </c>
      <c r="AD4962" t="s">
        <v>113</v>
      </c>
      <c r="AE4962" t="s">
        <v>3098</v>
      </c>
      <c r="AG4962" t="s">
        <v>121</v>
      </c>
    </row>
    <row r="4963" spans="1:33" x14ac:dyDescent="0.25">
      <c r="C4963" t="s">
        <v>25148</v>
      </c>
      <c r="G4963" t="s">
        <v>25149</v>
      </c>
      <c r="H4963" t="s">
        <v>25150</v>
      </c>
      <c r="J4963" t="s">
        <v>25151</v>
      </c>
      <c r="K4963" t="s">
        <v>22518</v>
      </c>
      <c r="L4963" t="s">
        <v>3095</v>
      </c>
      <c r="M4963" t="s">
        <v>113</v>
      </c>
      <c r="N4963" t="s">
        <v>25152</v>
      </c>
      <c r="O4963" t="s">
        <v>18812</v>
      </c>
      <c r="P4963" t="s">
        <v>117</v>
      </c>
      <c r="Q4963" t="str">
        <f>"14221-____"</f>
        <v>14221-____</v>
      </c>
      <c r="AC4963" t="s">
        <v>119</v>
      </c>
      <c r="AD4963" t="s">
        <v>113</v>
      </c>
      <c r="AE4963" t="s">
        <v>3098</v>
      </c>
      <c r="AG4963" t="s">
        <v>121</v>
      </c>
    </row>
    <row r="4964" spans="1:33" x14ac:dyDescent="0.25">
      <c r="A4964" t="str">
        <f>"1639156045"</f>
        <v>1639156045</v>
      </c>
      <c r="B4964" t="str">
        <f>"03000800"</f>
        <v>03000800</v>
      </c>
      <c r="C4964" t="s">
        <v>14796</v>
      </c>
      <c r="D4964" t="s">
        <v>8975</v>
      </c>
      <c r="E4964" t="s">
        <v>8976</v>
      </c>
      <c r="G4964" t="s">
        <v>8977</v>
      </c>
      <c r="H4964" t="s">
        <v>3557</v>
      </c>
      <c r="I4964">
        <v>4403</v>
      </c>
      <c r="J4964" t="s">
        <v>8978</v>
      </c>
      <c r="L4964" t="s">
        <v>8979</v>
      </c>
      <c r="M4964" t="s">
        <v>199</v>
      </c>
      <c r="R4964" t="s">
        <v>3555</v>
      </c>
      <c r="W4964" t="s">
        <v>8976</v>
      </c>
      <c r="X4964" t="s">
        <v>3559</v>
      </c>
      <c r="Y4964" t="s">
        <v>847</v>
      </c>
      <c r="Z4964" t="s">
        <v>117</v>
      </c>
      <c r="AA4964" t="str">
        <f>"14569-1025"</f>
        <v>14569-1025</v>
      </c>
      <c r="AB4964" t="s">
        <v>979</v>
      </c>
      <c r="AC4964" t="s">
        <v>119</v>
      </c>
      <c r="AD4964" t="s">
        <v>113</v>
      </c>
      <c r="AE4964" t="s">
        <v>120</v>
      </c>
      <c r="AG4964" t="s">
        <v>121</v>
      </c>
    </row>
    <row r="4965" spans="1:33" x14ac:dyDescent="0.25">
      <c r="A4965" t="str">
        <f>"1740653583"</f>
        <v>1740653583</v>
      </c>
      <c r="B4965" t="str">
        <f>"04306649"</f>
        <v>04306649</v>
      </c>
      <c r="C4965" t="s">
        <v>25155</v>
      </c>
      <c r="D4965" t="s">
        <v>25156</v>
      </c>
      <c r="E4965" t="s">
        <v>25157</v>
      </c>
      <c r="L4965" t="s">
        <v>112</v>
      </c>
      <c r="M4965" t="s">
        <v>113</v>
      </c>
      <c r="R4965" t="s">
        <v>25155</v>
      </c>
      <c r="W4965" t="s">
        <v>25157</v>
      </c>
      <c r="X4965" t="s">
        <v>2728</v>
      </c>
      <c r="Y4965" t="s">
        <v>116</v>
      </c>
      <c r="Z4965" t="s">
        <v>117</v>
      </c>
      <c r="AA4965" t="str">
        <f>"14201-2398"</f>
        <v>14201-2398</v>
      </c>
      <c r="AB4965" t="s">
        <v>118</v>
      </c>
      <c r="AC4965" t="s">
        <v>119</v>
      </c>
      <c r="AD4965" t="s">
        <v>113</v>
      </c>
      <c r="AE4965" t="s">
        <v>120</v>
      </c>
      <c r="AG4965" t="s">
        <v>121</v>
      </c>
    </row>
    <row r="4966" spans="1:33" x14ac:dyDescent="0.25">
      <c r="A4966" t="str">
        <f>"1982044038"</f>
        <v>1982044038</v>
      </c>
      <c r="B4966" t="str">
        <f>"04572721"</f>
        <v>04572721</v>
      </c>
      <c r="C4966" t="s">
        <v>25158</v>
      </c>
      <c r="D4966" t="s">
        <v>25159</v>
      </c>
      <c r="E4966" t="s">
        <v>25160</v>
      </c>
      <c r="L4966" t="s">
        <v>229</v>
      </c>
      <c r="M4966" t="s">
        <v>113</v>
      </c>
      <c r="R4966" t="s">
        <v>25158</v>
      </c>
      <c r="W4966" t="s">
        <v>25160</v>
      </c>
      <c r="AB4966" t="s">
        <v>118</v>
      </c>
      <c r="AC4966" t="s">
        <v>119</v>
      </c>
      <c r="AD4966" t="s">
        <v>113</v>
      </c>
      <c r="AE4966" t="s">
        <v>120</v>
      </c>
      <c r="AG4966" t="s">
        <v>121</v>
      </c>
    </row>
    <row r="4967" spans="1:33" x14ac:dyDescent="0.25">
      <c r="A4967" t="str">
        <f>"1538353495"</f>
        <v>1538353495</v>
      </c>
      <c r="B4967" t="str">
        <f>"02952734"</f>
        <v>02952734</v>
      </c>
      <c r="C4967" t="s">
        <v>25161</v>
      </c>
      <c r="D4967" t="s">
        <v>25162</v>
      </c>
      <c r="E4967" t="s">
        <v>25163</v>
      </c>
      <c r="L4967" t="s">
        <v>112</v>
      </c>
      <c r="M4967" t="s">
        <v>113</v>
      </c>
      <c r="R4967" t="s">
        <v>25161</v>
      </c>
      <c r="W4967" t="s">
        <v>25163</v>
      </c>
      <c r="X4967" t="s">
        <v>25164</v>
      </c>
      <c r="Y4967" t="s">
        <v>145</v>
      </c>
      <c r="Z4967" t="s">
        <v>117</v>
      </c>
      <c r="AA4967" t="str">
        <f>"14051-2611"</f>
        <v>14051-2611</v>
      </c>
      <c r="AB4967" t="s">
        <v>118</v>
      </c>
      <c r="AC4967" t="s">
        <v>119</v>
      </c>
      <c r="AD4967" t="s">
        <v>113</v>
      </c>
      <c r="AE4967" t="s">
        <v>120</v>
      </c>
      <c r="AG4967" t="s">
        <v>121</v>
      </c>
    </row>
    <row r="4968" spans="1:33" x14ac:dyDescent="0.25">
      <c r="A4968" t="str">
        <f>"1568603124"</f>
        <v>1568603124</v>
      </c>
      <c r="B4968" t="str">
        <f>"03124623"</f>
        <v>03124623</v>
      </c>
      <c r="C4968" t="s">
        <v>25165</v>
      </c>
      <c r="D4968" t="s">
        <v>25166</v>
      </c>
      <c r="E4968" t="s">
        <v>25165</v>
      </c>
      <c r="G4968" t="s">
        <v>25167</v>
      </c>
      <c r="H4968" t="s">
        <v>25168</v>
      </c>
      <c r="J4968" t="s">
        <v>25169</v>
      </c>
      <c r="L4968" t="s">
        <v>20</v>
      </c>
      <c r="M4968" t="s">
        <v>113</v>
      </c>
      <c r="R4968" t="s">
        <v>25165</v>
      </c>
      <c r="W4968" t="s">
        <v>25165</v>
      </c>
      <c r="X4968" t="s">
        <v>25170</v>
      </c>
      <c r="Y4968" t="s">
        <v>318</v>
      </c>
      <c r="Z4968" t="s">
        <v>117</v>
      </c>
      <c r="AA4968" t="str">
        <f>"14225-4751"</f>
        <v>14225-4751</v>
      </c>
      <c r="AB4968" t="s">
        <v>5777</v>
      </c>
      <c r="AC4968" t="s">
        <v>119</v>
      </c>
      <c r="AD4968" t="s">
        <v>113</v>
      </c>
      <c r="AE4968" t="s">
        <v>120</v>
      </c>
      <c r="AG4968" t="s">
        <v>121</v>
      </c>
    </row>
    <row r="4969" spans="1:33" x14ac:dyDescent="0.25">
      <c r="A4969" t="str">
        <f>"1144271164"</f>
        <v>1144271164</v>
      </c>
      <c r="B4969" t="str">
        <f>"02341362"</f>
        <v>02341362</v>
      </c>
      <c r="C4969" t="s">
        <v>25171</v>
      </c>
      <c r="D4969" t="s">
        <v>25172</v>
      </c>
      <c r="E4969" t="s">
        <v>25173</v>
      </c>
      <c r="L4969" t="s">
        <v>112</v>
      </c>
      <c r="M4969" t="s">
        <v>113</v>
      </c>
      <c r="R4969" t="s">
        <v>25171</v>
      </c>
      <c r="W4969" t="s">
        <v>25174</v>
      </c>
      <c r="X4969" t="s">
        <v>25175</v>
      </c>
      <c r="Y4969" t="s">
        <v>9511</v>
      </c>
      <c r="Z4969" t="s">
        <v>117</v>
      </c>
      <c r="AA4969" t="str">
        <f>"14420-1229"</f>
        <v>14420-1229</v>
      </c>
      <c r="AB4969" t="s">
        <v>118</v>
      </c>
      <c r="AC4969" t="s">
        <v>119</v>
      </c>
      <c r="AD4969" t="s">
        <v>113</v>
      </c>
      <c r="AE4969" t="s">
        <v>120</v>
      </c>
      <c r="AG4969" t="s">
        <v>121</v>
      </c>
    </row>
    <row r="4970" spans="1:33" x14ac:dyDescent="0.25">
      <c r="A4970" t="str">
        <f>"1174505580"</f>
        <v>1174505580</v>
      </c>
      <c r="B4970" t="str">
        <f>"03325519"</f>
        <v>03325519</v>
      </c>
      <c r="C4970" t="s">
        <v>25176</v>
      </c>
      <c r="D4970" t="s">
        <v>25177</v>
      </c>
      <c r="E4970" t="s">
        <v>25178</v>
      </c>
      <c r="L4970" t="s">
        <v>112</v>
      </c>
      <c r="M4970" t="s">
        <v>113</v>
      </c>
      <c r="R4970" t="s">
        <v>25176</v>
      </c>
      <c r="W4970" t="s">
        <v>25178</v>
      </c>
      <c r="X4970" t="s">
        <v>20690</v>
      </c>
      <c r="Y4970" t="s">
        <v>11200</v>
      </c>
      <c r="Z4970" t="s">
        <v>117</v>
      </c>
      <c r="AA4970" t="str">
        <f>"14432-1122"</f>
        <v>14432-1122</v>
      </c>
      <c r="AB4970" t="s">
        <v>118</v>
      </c>
      <c r="AC4970" t="s">
        <v>119</v>
      </c>
      <c r="AD4970" t="s">
        <v>113</v>
      </c>
      <c r="AE4970" t="s">
        <v>120</v>
      </c>
      <c r="AG4970" t="s">
        <v>121</v>
      </c>
    </row>
    <row r="4971" spans="1:33" x14ac:dyDescent="0.25">
      <c r="A4971" t="str">
        <f>"1922042225"</f>
        <v>1922042225</v>
      </c>
      <c r="B4971" t="str">
        <f>"01487365"</f>
        <v>01487365</v>
      </c>
      <c r="C4971" t="s">
        <v>25179</v>
      </c>
      <c r="D4971" t="s">
        <v>25180</v>
      </c>
      <c r="E4971" t="s">
        <v>25181</v>
      </c>
      <c r="L4971" t="s">
        <v>150</v>
      </c>
      <c r="M4971" t="s">
        <v>113</v>
      </c>
      <c r="R4971" t="s">
        <v>25179</v>
      </c>
      <c r="W4971" t="s">
        <v>25181</v>
      </c>
      <c r="X4971" t="s">
        <v>25182</v>
      </c>
      <c r="Y4971" t="s">
        <v>25183</v>
      </c>
      <c r="Z4971" t="s">
        <v>117</v>
      </c>
      <c r="AA4971" t="str">
        <f>"14551"</f>
        <v>14551</v>
      </c>
      <c r="AB4971" t="s">
        <v>118</v>
      </c>
      <c r="AC4971" t="s">
        <v>119</v>
      </c>
      <c r="AD4971" t="s">
        <v>113</v>
      </c>
      <c r="AE4971" t="s">
        <v>120</v>
      </c>
      <c r="AG4971" t="s">
        <v>121</v>
      </c>
    </row>
    <row r="4972" spans="1:33" x14ac:dyDescent="0.25">
      <c r="A4972" t="str">
        <f>"1821017237"</f>
        <v>1821017237</v>
      </c>
      <c r="B4972" t="str">
        <f>"01401234"</f>
        <v>01401234</v>
      </c>
      <c r="C4972" t="s">
        <v>25184</v>
      </c>
      <c r="D4972" t="s">
        <v>25185</v>
      </c>
      <c r="E4972" t="s">
        <v>25186</v>
      </c>
      <c r="L4972" t="s">
        <v>112</v>
      </c>
      <c r="M4972" t="s">
        <v>113</v>
      </c>
      <c r="R4972" t="s">
        <v>25184</v>
      </c>
      <c r="W4972" t="s">
        <v>25186</v>
      </c>
      <c r="X4972" t="s">
        <v>25187</v>
      </c>
      <c r="Y4972" t="s">
        <v>9661</v>
      </c>
      <c r="Z4972" t="s">
        <v>117</v>
      </c>
      <c r="AA4972" t="str">
        <f>"11238-4266"</f>
        <v>11238-4266</v>
      </c>
      <c r="AB4972" t="s">
        <v>118</v>
      </c>
      <c r="AC4972" t="s">
        <v>119</v>
      </c>
      <c r="AD4972" t="s">
        <v>113</v>
      </c>
      <c r="AE4972" t="s">
        <v>120</v>
      </c>
      <c r="AG4972" t="s">
        <v>121</v>
      </c>
    </row>
    <row r="4973" spans="1:33" x14ac:dyDescent="0.25">
      <c r="A4973" t="str">
        <f>"1750380960"</f>
        <v>1750380960</v>
      </c>
      <c r="B4973" t="str">
        <f>"02289150"</f>
        <v>02289150</v>
      </c>
      <c r="C4973" t="s">
        <v>25188</v>
      </c>
      <c r="D4973" t="s">
        <v>25189</v>
      </c>
      <c r="E4973" t="s">
        <v>25190</v>
      </c>
      <c r="L4973" t="s">
        <v>112</v>
      </c>
      <c r="M4973" t="s">
        <v>113</v>
      </c>
      <c r="R4973" t="s">
        <v>25188</v>
      </c>
      <c r="W4973" t="s">
        <v>25190</v>
      </c>
      <c r="X4973" t="s">
        <v>3599</v>
      </c>
      <c r="Y4973" t="s">
        <v>986</v>
      </c>
      <c r="Z4973" t="s">
        <v>117</v>
      </c>
      <c r="AA4973" t="str">
        <f>"14701-7077"</f>
        <v>14701-7077</v>
      </c>
      <c r="AB4973" t="s">
        <v>118</v>
      </c>
      <c r="AC4973" t="s">
        <v>119</v>
      </c>
      <c r="AD4973" t="s">
        <v>113</v>
      </c>
      <c r="AE4973" t="s">
        <v>120</v>
      </c>
      <c r="AG4973" t="s">
        <v>121</v>
      </c>
    </row>
    <row r="4974" spans="1:33" x14ac:dyDescent="0.25">
      <c r="A4974" t="str">
        <f>"1467450833"</f>
        <v>1467450833</v>
      </c>
      <c r="B4974" t="str">
        <f>"01342167"</f>
        <v>01342167</v>
      </c>
      <c r="C4974" t="s">
        <v>25191</v>
      </c>
      <c r="D4974" t="s">
        <v>25192</v>
      </c>
      <c r="E4974" t="s">
        <v>25193</v>
      </c>
      <c r="L4974" t="s">
        <v>142</v>
      </c>
      <c r="M4974" t="s">
        <v>113</v>
      </c>
      <c r="R4974" t="s">
        <v>25191</v>
      </c>
      <c r="W4974" t="s">
        <v>25193</v>
      </c>
      <c r="X4974" t="s">
        <v>511</v>
      </c>
      <c r="Y4974" t="s">
        <v>512</v>
      </c>
      <c r="Z4974" t="s">
        <v>117</v>
      </c>
      <c r="AA4974" t="str">
        <f>"14092-1903"</f>
        <v>14092-1903</v>
      </c>
      <c r="AB4974" t="s">
        <v>118</v>
      </c>
      <c r="AC4974" t="s">
        <v>119</v>
      </c>
      <c r="AD4974" t="s">
        <v>113</v>
      </c>
      <c r="AE4974" t="s">
        <v>120</v>
      </c>
      <c r="AG4974" t="s">
        <v>121</v>
      </c>
    </row>
    <row r="4975" spans="1:33" x14ac:dyDescent="0.25">
      <c r="A4975" t="str">
        <f>"1558516591"</f>
        <v>1558516591</v>
      </c>
      <c r="B4975" t="str">
        <f>"03082762"</f>
        <v>03082762</v>
      </c>
      <c r="C4975" t="s">
        <v>25194</v>
      </c>
      <c r="D4975" t="s">
        <v>25195</v>
      </c>
      <c r="E4975" t="s">
        <v>25196</v>
      </c>
      <c r="L4975" t="s">
        <v>728</v>
      </c>
      <c r="M4975" t="s">
        <v>113</v>
      </c>
      <c r="R4975" t="s">
        <v>25194</v>
      </c>
      <c r="W4975" t="s">
        <v>25197</v>
      </c>
      <c r="X4975" t="s">
        <v>11095</v>
      </c>
      <c r="Y4975" t="s">
        <v>922</v>
      </c>
      <c r="Z4975" t="s">
        <v>117</v>
      </c>
      <c r="AA4975" t="str">
        <f>"14895-1150"</f>
        <v>14895-1150</v>
      </c>
      <c r="AB4975" t="s">
        <v>118</v>
      </c>
      <c r="AC4975" t="s">
        <v>119</v>
      </c>
      <c r="AD4975" t="s">
        <v>113</v>
      </c>
      <c r="AE4975" t="s">
        <v>120</v>
      </c>
      <c r="AG4975" t="s">
        <v>121</v>
      </c>
    </row>
    <row r="4976" spans="1:33" x14ac:dyDescent="0.25">
      <c r="A4976" t="str">
        <f>"1518301449"</f>
        <v>1518301449</v>
      </c>
      <c r="B4976" t="str">
        <f>"04575673"</f>
        <v>04575673</v>
      </c>
      <c r="C4976" t="s">
        <v>25198</v>
      </c>
      <c r="D4976" t="s">
        <v>25199</v>
      </c>
      <c r="E4976" t="s">
        <v>25200</v>
      </c>
      <c r="L4976" t="s">
        <v>229</v>
      </c>
      <c r="M4976" t="s">
        <v>113</v>
      </c>
      <c r="R4976" t="s">
        <v>25198</v>
      </c>
      <c r="W4976" t="s">
        <v>25200</v>
      </c>
      <c r="AB4976" t="s">
        <v>118</v>
      </c>
      <c r="AC4976" t="s">
        <v>119</v>
      </c>
      <c r="AD4976" t="s">
        <v>113</v>
      </c>
      <c r="AE4976" t="s">
        <v>120</v>
      </c>
      <c r="AG4976" t="s">
        <v>121</v>
      </c>
    </row>
    <row r="4977" spans="1:33" x14ac:dyDescent="0.25">
      <c r="A4977" t="str">
        <f>"1063434314"</f>
        <v>1063434314</v>
      </c>
      <c r="B4977" t="str">
        <f>"03807150"</f>
        <v>03807150</v>
      </c>
      <c r="C4977" t="s">
        <v>25201</v>
      </c>
      <c r="D4977" t="s">
        <v>25202</v>
      </c>
      <c r="E4977" t="s">
        <v>25203</v>
      </c>
      <c r="L4977" t="s">
        <v>112</v>
      </c>
      <c r="M4977" t="s">
        <v>113</v>
      </c>
      <c r="R4977" t="s">
        <v>25201</v>
      </c>
      <c r="W4977" t="s">
        <v>25203</v>
      </c>
      <c r="X4977" t="s">
        <v>25204</v>
      </c>
      <c r="Y4977" t="s">
        <v>25205</v>
      </c>
      <c r="Z4977" t="s">
        <v>117</v>
      </c>
      <c r="AA4977" t="str">
        <f>"13440-2844"</f>
        <v>13440-2844</v>
      </c>
      <c r="AB4977" t="s">
        <v>118</v>
      </c>
      <c r="AC4977" t="s">
        <v>119</v>
      </c>
      <c r="AD4977" t="s">
        <v>113</v>
      </c>
      <c r="AE4977" t="s">
        <v>120</v>
      </c>
      <c r="AG4977" t="s">
        <v>121</v>
      </c>
    </row>
    <row r="4978" spans="1:33" x14ac:dyDescent="0.25">
      <c r="A4978" t="str">
        <f>"1972916757"</f>
        <v>1972916757</v>
      </c>
      <c r="C4978" t="s">
        <v>25206</v>
      </c>
      <c r="K4978" t="s">
        <v>25207</v>
      </c>
      <c r="L4978" t="s">
        <v>229</v>
      </c>
      <c r="M4978" t="s">
        <v>113</v>
      </c>
      <c r="R4978" t="s">
        <v>25206</v>
      </c>
      <c r="S4978" t="s">
        <v>25208</v>
      </c>
      <c r="T4978" t="s">
        <v>116</v>
      </c>
      <c r="U4978" t="s">
        <v>117</v>
      </c>
      <c r="V4978" t="str">
        <f>"14215"</f>
        <v>14215</v>
      </c>
      <c r="AC4978" t="s">
        <v>119</v>
      </c>
      <c r="AD4978" t="s">
        <v>113</v>
      </c>
      <c r="AE4978" t="s">
        <v>306</v>
      </c>
      <c r="AG4978" t="s">
        <v>121</v>
      </c>
    </row>
    <row r="4979" spans="1:33" x14ac:dyDescent="0.25">
      <c r="A4979" t="str">
        <f>"1831586742"</f>
        <v>1831586742</v>
      </c>
      <c r="C4979" t="s">
        <v>25209</v>
      </c>
      <c r="K4979" t="s">
        <v>25207</v>
      </c>
      <c r="L4979" t="s">
        <v>229</v>
      </c>
      <c r="M4979" t="s">
        <v>113</v>
      </c>
      <c r="R4979" t="s">
        <v>25209</v>
      </c>
      <c r="AC4979" t="s">
        <v>119</v>
      </c>
      <c r="AD4979" t="s">
        <v>113</v>
      </c>
      <c r="AE4979" t="s">
        <v>306</v>
      </c>
      <c r="AG4979" t="s">
        <v>121</v>
      </c>
    </row>
    <row r="4980" spans="1:33" x14ac:dyDescent="0.25">
      <c r="A4980" t="str">
        <f>"1689038838"</f>
        <v>1689038838</v>
      </c>
      <c r="C4980" t="s">
        <v>25210</v>
      </c>
      <c r="K4980" t="s">
        <v>25207</v>
      </c>
      <c r="L4980" t="s">
        <v>229</v>
      </c>
      <c r="M4980" t="s">
        <v>113</v>
      </c>
      <c r="R4980" t="s">
        <v>25210</v>
      </c>
      <c r="S4980" t="s">
        <v>25211</v>
      </c>
      <c r="T4980" t="s">
        <v>116</v>
      </c>
      <c r="U4980" t="s">
        <v>117</v>
      </c>
      <c r="V4980" t="str">
        <f>"14203"</f>
        <v>14203</v>
      </c>
      <c r="AC4980" t="s">
        <v>119</v>
      </c>
      <c r="AD4980" t="s">
        <v>113</v>
      </c>
      <c r="AE4980" t="s">
        <v>306</v>
      </c>
      <c r="AG4980" t="s">
        <v>121</v>
      </c>
    </row>
    <row r="4981" spans="1:33" x14ac:dyDescent="0.25">
      <c r="A4981" t="str">
        <f>"1891105748"</f>
        <v>1891105748</v>
      </c>
      <c r="C4981" t="s">
        <v>25212</v>
      </c>
      <c r="K4981" t="s">
        <v>25207</v>
      </c>
      <c r="L4981" t="s">
        <v>229</v>
      </c>
      <c r="M4981" t="s">
        <v>113</v>
      </c>
      <c r="R4981" t="s">
        <v>25212</v>
      </c>
      <c r="S4981" t="s">
        <v>25213</v>
      </c>
      <c r="T4981" t="s">
        <v>116</v>
      </c>
      <c r="U4981" t="s">
        <v>117</v>
      </c>
      <c r="V4981" t="str">
        <f>"142031243"</f>
        <v>142031243</v>
      </c>
      <c r="AC4981" t="s">
        <v>119</v>
      </c>
      <c r="AD4981" t="s">
        <v>113</v>
      </c>
      <c r="AE4981" t="s">
        <v>306</v>
      </c>
      <c r="AG4981" t="s">
        <v>121</v>
      </c>
    </row>
    <row r="4982" spans="1:33" x14ac:dyDescent="0.25">
      <c r="A4982" t="str">
        <f>"1750737110"</f>
        <v>1750737110</v>
      </c>
      <c r="C4982" t="s">
        <v>25214</v>
      </c>
      <c r="K4982" t="s">
        <v>25207</v>
      </c>
      <c r="L4982" t="s">
        <v>229</v>
      </c>
      <c r="M4982" t="s">
        <v>113</v>
      </c>
      <c r="R4982" t="s">
        <v>25214</v>
      </c>
      <c r="S4982" t="s">
        <v>25215</v>
      </c>
      <c r="T4982" t="s">
        <v>116</v>
      </c>
      <c r="U4982" t="s">
        <v>117</v>
      </c>
      <c r="V4982" t="str">
        <f>"142031243"</f>
        <v>142031243</v>
      </c>
      <c r="AC4982" t="s">
        <v>119</v>
      </c>
      <c r="AD4982" t="s">
        <v>113</v>
      </c>
      <c r="AE4982" t="s">
        <v>306</v>
      </c>
      <c r="AG4982" t="s">
        <v>121</v>
      </c>
    </row>
    <row r="4983" spans="1:33" x14ac:dyDescent="0.25">
      <c r="A4983" t="str">
        <f>"1164809661"</f>
        <v>1164809661</v>
      </c>
      <c r="C4983" t="s">
        <v>25216</v>
      </c>
      <c r="K4983" t="s">
        <v>25207</v>
      </c>
      <c r="L4983" t="s">
        <v>229</v>
      </c>
      <c r="M4983" t="s">
        <v>113</v>
      </c>
      <c r="R4983" t="s">
        <v>25216</v>
      </c>
      <c r="S4983" t="s">
        <v>25217</v>
      </c>
      <c r="T4983" t="s">
        <v>116</v>
      </c>
      <c r="U4983" t="s">
        <v>117</v>
      </c>
      <c r="V4983" t="str">
        <f>"142031243"</f>
        <v>142031243</v>
      </c>
      <c r="AC4983" t="s">
        <v>119</v>
      </c>
      <c r="AD4983" t="s">
        <v>113</v>
      </c>
      <c r="AE4983" t="s">
        <v>306</v>
      </c>
      <c r="AG4983" t="s">
        <v>121</v>
      </c>
    </row>
    <row r="4984" spans="1:33" x14ac:dyDescent="0.25">
      <c r="A4984" t="str">
        <f>"1578959300"</f>
        <v>1578959300</v>
      </c>
      <c r="C4984" t="s">
        <v>25218</v>
      </c>
      <c r="K4984" t="s">
        <v>25207</v>
      </c>
      <c r="L4984" t="s">
        <v>229</v>
      </c>
      <c r="M4984" t="s">
        <v>113</v>
      </c>
      <c r="R4984" t="s">
        <v>25218</v>
      </c>
      <c r="S4984" t="s">
        <v>253</v>
      </c>
      <c r="T4984" t="s">
        <v>116</v>
      </c>
      <c r="U4984" t="s">
        <v>117</v>
      </c>
      <c r="V4984" t="str">
        <f>"142153021"</f>
        <v>142153021</v>
      </c>
      <c r="AC4984" t="s">
        <v>119</v>
      </c>
      <c r="AD4984" t="s">
        <v>113</v>
      </c>
      <c r="AE4984" t="s">
        <v>306</v>
      </c>
      <c r="AG4984" t="s">
        <v>121</v>
      </c>
    </row>
    <row r="4985" spans="1:33" x14ac:dyDescent="0.25">
      <c r="A4985" t="str">
        <f>"1992115604"</f>
        <v>1992115604</v>
      </c>
      <c r="C4985" t="s">
        <v>25219</v>
      </c>
      <c r="K4985" t="s">
        <v>25207</v>
      </c>
      <c r="L4985" t="s">
        <v>229</v>
      </c>
      <c r="M4985" t="s">
        <v>113</v>
      </c>
      <c r="R4985" t="s">
        <v>25219</v>
      </c>
      <c r="S4985" t="s">
        <v>25213</v>
      </c>
      <c r="T4985" t="s">
        <v>116</v>
      </c>
      <c r="U4985" t="s">
        <v>117</v>
      </c>
      <c r="V4985" t="str">
        <f>"142031243"</f>
        <v>142031243</v>
      </c>
      <c r="AC4985" t="s">
        <v>119</v>
      </c>
      <c r="AD4985" t="s">
        <v>113</v>
      </c>
      <c r="AE4985" t="s">
        <v>306</v>
      </c>
      <c r="AG4985" t="s">
        <v>121</v>
      </c>
    </row>
    <row r="4986" spans="1:33" x14ac:dyDescent="0.25">
      <c r="A4986" t="str">
        <f>"1710331293"</f>
        <v>1710331293</v>
      </c>
      <c r="C4986" t="s">
        <v>25220</v>
      </c>
      <c r="K4986" t="s">
        <v>25207</v>
      </c>
      <c r="L4986" t="s">
        <v>229</v>
      </c>
      <c r="M4986" t="s">
        <v>113</v>
      </c>
      <c r="R4986" t="s">
        <v>25220</v>
      </c>
      <c r="S4986" t="s">
        <v>25221</v>
      </c>
      <c r="T4986" t="s">
        <v>116</v>
      </c>
      <c r="U4986" t="s">
        <v>117</v>
      </c>
      <c r="V4986" t="str">
        <f>"14203"</f>
        <v>14203</v>
      </c>
      <c r="AC4986" t="s">
        <v>119</v>
      </c>
      <c r="AD4986" t="s">
        <v>113</v>
      </c>
      <c r="AE4986" t="s">
        <v>306</v>
      </c>
      <c r="AG4986" t="s">
        <v>121</v>
      </c>
    </row>
    <row r="4987" spans="1:33" x14ac:dyDescent="0.25">
      <c r="A4987" t="str">
        <f>"1104270461"</f>
        <v>1104270461</v>
      </c>
      <c r="C4987" t="s">
        <v>25222</v>
      </c>
      <c r="K4987" t="s">
        <v>25207</v>
      </c>
      <c r="L4987" t="s">
        <v>229</v>
      </c>
      <c r="M4987" t="s">
        <v>113</v>
      </c>
      <c r="R4987" t="s">
        <v>25222</v>
      </c>
      <c r="S4987" t="s">
        <v>2474</v>
      </c>
      <c r="T4987" t="s">
        <v>116</v>
      </c>
      <c r="U4987" t="s">
        <v>117</v>
      </c>
      <c r="V4987" t="str">
        <f>"14215"</f>
        <v>14215</v>
      </c>
      <c r="AC4987" t="s">
        <v>119</v>
      </c>
      <c r="AD4987" t="s">
        <v>113</v>
      </c>
      <c r="AE4987" t="s">
        <v>306</v>
      </c>
      <c r="AG4987" t="s">
        <v>121</v>
      </c>
    </row>
    <row r="4988" spans="1:33" x14ac:dyDescent="0.25">
      <c r="A4988" t="str">
        <f>"1336595008"</f>
        <v>1336595008</v>
      </c>
      <c r="C4988" t="s">
        <v>25223</v>
      </c>
      <c r="K4988" t="s">
        <v>25207</v>
      </c>
      <c r="L4988" t="s">
        <v>229</v>
      </c>
      <c r="M4988" t="s">
        <v>113</v>
      </c>
      <c r="R4988" t="s">
        <v>25223</v>
      </c>
      <c r="S4988" t="s">
        <v>25221</v>
      </c>
      <c r="T4988" t="s">
        <v>116</v>
      </c>
      <c r="U4988" t="s">
        <v>117</v>
      </c>
      <c r="V4988" t="str">
        <f>"14203"</f>
        <v>14203</v>
      </c>
      <c r="AC4988" t="s">
        <v>119</v>
      </c>
      <c r="AD4988" t="s">
        <v>113</v>
      </c>
      <c r="AE4988" t="s">
        <v>306</v>
      </c>
      <c r="AG4988" t="s">
        <v>121</v>
      </c>
    </row>
    <row r="4989" spans="1:33" x14ac:dyDescent="0.25">
      <c r="A4989" t="str">
        <f>"1245650308"</f>
        <v>1245650308</v>
      </c>
      <c r="C4989" t="s">
        <v>25224</v>
      </c>
      <c r="K4989" t="s">
        <v>25207</v>
      </c>
      <c r="L4989" t="s">
        <v>229</v>
      </c>
      <c r="M4989" t="s">
        <v>113</v>
      </c>
      <c r="R4989" t="s">
        <v>25224</v>
      </c>
      <c r="S4989" t="s">
        <v>25225</v>
      </c>
      <c r="T4989" t="s">
        <v>116</v>
      </c>
      <c r="U4989" t="s">
        <v>117</v>
      </c>
      <c r="V4989" t="str">
        <f>"142031243"</f>
        <v>142031243</v>
      </c>
      <c r="AC4989" t="s">
        <v>119</v>
      </c>
      <c r="AD4989" t="s">
        <v>113</v>
      </c>
      <c r="AE4989" t="s">
        <v>306</v>
      </c>
      <c r="AG4989" t="s">
        <v>121</v>
      </c>
    </row>
    <row r="4990" spans="1:33" x14ac:dyDescent="0.25">
      <c r="A4990" t="str">
        <f>"1447637780"</f>
        <v>1447637780</v>
      </c>
      <c r="C4990" t="s">
        <v>25226</v>
      </c>
      <c r="K4990" t="s">
        <v>25207</v>
      </c>
      <c r="L4990" t="s">
        <v>229</v>
      </c>
      <c r="M4990" t="s">
        <v>113</v>
      </c>
      <c r="R4990" t="s">
        <v>25226</v>
      </c>
      <c r="S4990" t="s">
        <v>3440</v>
      </c>
      <c r="T4990" t="s">
        <v>116</v>
      </c>
      <c r="U4990" t="s">
        <v>117</v>
      </c>
      <c r="V4990" t="str">
        <f>"142151436"</f>
        <v>142151436</v>
      </c>
      <c r="AC4990" t="s">
        <v>119</v>
      </c>
      <c r="AD4990" t="s">
        <v>113</v>
      </c>
      <c r="AE4990" t="s">
        <v>306</v>
      </c>
      <c r="AG4990" t="s">
        <v>121</v>
      </c>
    </row>
    <row r="4991" spans="1:33" x14ac:dyDescent="0.25">
      <c r="A4991" t="str">
        <f>"1144616194"</f>
        <v>1144616194</v>
      </c>
      <c r="C4991" t="s">
        <v>25227</v>
      </c>
      <c r="K4991" t="s">
        <v>25207</v>
      </c>
      <c r="L4991" t="s">
        <v>229</v>
      </c>
      <c r="M4991" t="s">
        <v>113</v>
      </c>
      <c r="R4991" t="s">
        <v>25227</v>
      </c>
      <c r="S4991" t="s">
        <v>25217</v>
      </c>
      <c r="T4991" t="s">
        <v>116</v>
      </c>
      <c r="U4991" t="s">
        <v>117</v>
      </c>
      <c r="V4991" t="str">
        <f>"142031243"</f>
        <v>142031243</v>
      </c>
      <c r="AC4991" t="s">
        <v>119</v>
      </c>
      <c r="AD4991" t="s">
        <v>113</v>
      </c>
      <c r="AE4991" t="s">
        <v>306</v>
      </c>
      <c r="AG4991" t="s">
        <v>121</v>
      </c>
    </row>
    <row r="4992" spans="1:33" x14ac:dyDescent="0.25">
      <c r="A4992" t="str">
        <f>"1437562006"</f>
        <v>1437562006</v>
      </c>
      <c r="C4992" t="s">
        <v>25228</v>
      </c>
      <c r="K4992" t="s">
        <v>25207</v>
      </c>
      <c r="L4992" t="s">
        <v>229</v>
      </c>
      <c r="M4992" t="s">
        <v>113</v>
      </c>
      <c r="R4992" t="s">
        <v>25228</v>
      </c>
      <c r="S4992" t="s">
        <v>25221</v>
      </c>
      <c r="T4992" t="s">
        <v>116</v>
      </c>
      <c r="U4992" t="s">
        <v>117</v>
      </c>
      <c r="V4992" t="str">
        <f>"14203"</f>
        <v>14203</v>
      </c>
      <c r="AC4992" t="s">
        <v>119</v>
      </c>
      <c r="AD4992" t="s">
        <v>113</v>
      </c>
      <c r="AE4992" t="s">
        <v>306</v>
      </c>
      <c r="AG4992" t="s">
        <v>121</v>
      </c>
    </row>
    <row r="4993" spans="1:35" x14ac:dyDescent="0.25">
      <c r="A4993" t="str">
        <f>"1952653974"</f>
        <v>1952653974</v>
      </c>
      <c r="C4993" t="s">
        <v>25229</v>
      </c>
      <c r="K4993" t="s">
        <v>25230</v>
      </c>
      <c r="L4993" t="s">
        <v>112</v>
      </c>
      <c r="M4993" t="s">
        <v>113</v>
      </c>
      <c r="R4993" t="s">
        <v>25229</v>
      </c>
      <c r="S4993" t="s">
        <v>25231</v>
      </c>
      <c r="T4993" t="s">
        <v>116</v>
      </c>
      <c r="U4993" t="s">
        <v>117</v>
      </c>
      <c r="V4993" t="str">
        <f>"14201"</f>
        <v>14201</v>
      </c>
      <c r="AC4993" t="s">
        <v>119</v>
      </c>
      <c r="AD4993" t="s">
        <v>113</v>
      </c>
      <c r="AE4993" t="s">
        <v>306</v>
      </c>
      <c r="AG4993" t="s">
        <v>121</v>
      </c>
    </row>
    <row r="4994" spans="1:35" x14ac:dyDescent="0.25">
      <c r="A4994" t="str">
        <f>"1821177528"</f>
        <v>1821177528</v>
      </c>
      <c r="B4994" t="str">
        <f>"03002164"</f>
        <v>03002164</v>
      </c>
      <c r="C4994" t="s">
        <v>15441</v>
      </c>
      <c r="D4994" t="s">
        <v>15442</v>
      </c>
      <c r="E4994" t="s">
        <v>15443</v>
      </c>
      <c r="H4994" t="s">
        <v>1866</v>
      </c>
      <c r="L4994" t="s">
        <v>5113</v>
      </c>
      <c r="M4994" t="s">
        <v>113</v>
      </c>
      <c r="R4994" t="s">
        <v>15441</v>
      </c>
      <c r="W4994" t="s">
        <v>15443</v>
      </c>
      <c r="X4994" t="s">
        <v>15444</v>
      </c>
      <c r="Y4994" t="s">
        <v>15445</v>
      </c>
      <c r="Z4994" t="s">
        <v>117</v>
      </c>
      <c r="AA4994" t="str">
        <f>"14550-9704"</f>
        <v>14550-9704</v>
      </c>
      <c r="AB4994" t="s">
        <v>291</v>
      </c>
      <c r="AC4994" t="s">
        <v>119</v>
      </c>
      <c r="AD4994" t="s">
        <v>113</v>
      </c>
      <c r="AE4994" t="s">
        <v>120</v>
      </c>
      <c r="AG4994" t="s">
        <v>121</v>
      </c>
    </row>
    <row r="4995" spans="1:35" x14ac:dyDescent="0.25">
      <c r="A4995" t="str">
        <f>"1750572574"</f>
        <v>1750572574</v>
      </c>
      <c r="B4995" t="str">
        <f>"03079343"</f>
        <v>03079343</v>
      </c>
      <c r="C4995" t="s">
        <v>25237</v>
      </c>
      <c r="D4995" t="s">
        <v>25238</v>
      </c>
      <c r="E4995" t="s">
        <v>25239</v>
      </c>
      <c r="L4995" t="s">
        <v>112</v>
      </c>
      <c r="M4995" t="s">
        <v>113</v>
      </c>
      <c r="R4995" t="s">
        <v>25237</v>
      </c>
      <c r="W4995" t="s">
        <v>25240</v>
      </c>
      <c r="X4995" t="s">
        <v>25241</v>
      </c>
      <c r="Y4995" t="s">
        <v>25242</v>
      </c>
      <c r="Z4995" t="s">
        <v>1535</v>
      </c>
      <c r="AA4995" t="str">
        <f>"16550-0002"</f>
        <v>16550-0002</v>
      </c>
      <c r="AB4995" t="s">
        <v>118</v>
      </c>
      <c r="AC4995" t="s">
        <v>119</v>
      </c>
      <c r="AD4995" t="s">
        <v>113</v>
      </c>
      <c r="AE4995" t="s">
        <v>120</v>
      </c>
      <c r="AG4995" t="s">
        <v>121</v>
      </c>
    </row>
    <row r="4996" spans="1:35" x14ac:dyDescent="0.25">
      <c r="A4996" t="str">
        <f>"1235186222"</f>
        <v>1235186222</v>
      </c>
      <c r="B4996" t="str">
        <f>"02505131"</f>
        <v>02505131</v>
      </c>
      <c r="C4996" t="s">
        <v>25243</v>
      </c>
      <c r="D4996" t="s">
        <v>25244</v>
      </c>
      <c r="E4996" t="s">
        <v>25245</v>
      </c>
      <c r="L4996" t="s">
        <v>112</v>
      </c>
      <c r="M4996" t="s">
        <v>113</v>
      </c>
      <c r="R4996" t="s">
        <v>25243</v>
      </c>
      <c r="W4996" t="s">
        <v>25245</v>
      </c>
      <c r="X4996" t="s">
        <v>1304</v>
      </c>
      <c r="Y4996" t="s">
        <v>116</v>
      </c>
      <c r="Z4996" t="s">
        <v>117</v>
      </c>
      <c r="AA4996" t="str">
        <f>"14220-2039"</f>
        <v>14220-2039</v>
      </c>
      <c r="AB4996" t="s">
        <v>118</v>
      </c>
      <c r="AC4996" t="s">
        <v>119</v>
      </c>
      <c r="AD4996" t="s">
        <v>113</v>
      </c>
      <c r="AE4996" t="s">
        <v>120</v>
      </c>
      <c r="AG4996" t="s">
        <v>121</v>
      </c>
    </row>
    <row r="4997" spans="1:35" x14ac:dyDescent="0.25">
      <c r="A4997" t="str">
        <f>"1003159054"</f>
        <v>1003159054</v>
      </c>
      <c r="C4997" t="s">
        <v>25246</v>
      </c>
      <c r="K4997" t="s">
        <v>25207</v>
      </c>
      <c r="L4997" t="s">
        <v>229</v>
      </c>
      <c r="M4997" t="s">
        <v>113</v>
      </c>
      <c r="R4997" t="s">
        <v>25246</v>
      </c>
      <c r="S4997" t="s">
        <v>1318</v>
      </c>
      <c r="T4997" t="s">
        <v>1319</v>
      </c>
      <c r="U4997" t="s">
        <v>117</v>
      </c>
      <c r="V4997" t="str">
        <f>"113731329"</f>
        <v>113731329</v>
      </c>
      <c r="AC4997" t="s">
        <v>119</v>
      </c>
      <c r="AD4997" t="s">
        <v>113</v>
      </c>
      <c r="AE4997" t="s">
        <v>306</v>
      </c>
      <c r="AG4997" t="s">
        <v>121</v>
      </c>
    </row>
    <row r="4998" spans="1:35" x14ac:dyDescent="0.25">
      <c r="C4998" t="s">
        <v>25247</v>
      </c>
      <c r="G4998" t="s">
        <v>21727</v>
      </c>
      <c r="H4998" t="s">
        <v>25248</v>
      </c>
      <c r="J4998" t="s">
        <v>25249</v>
      </c>
      <c r="K4998" t="s">
        <v>303</v>
      </c>
      <c r="L4998" t="s">
        <v>3095</v>
      </c>
      <c r="M4998" t="s">
        <v>113</v>
      </c>
      <c r="AC4998" t="s">
        <v>119</v>
      </c>
      <c r="AD4998" t="s">
        <v>113</v>
      </c>
      <c r="AE4998" t="s">
        <v>3098</v>
      </c>
      <c r="AG4998" t="s">
        <v>121</v>
      </c>
      <c r="AI4998" t="s">
        <v>25250</v>
      </c>
    </row>
    <row r="4999" spans="1:35" x14ac:dyDescent="0.25">
      <c r="C4999" t="s">
        <v>25251</v>
      </c>
      <c r="G4999" t="s">
        <v>21727</v>
      </c>
      <c r="H4999" t="s">
        <v>25248</v>
      </c>
      <c r="J4999" t="s">
        <v>25249</v>
      </c>
      <c r="K4999" t="s">
        <v>303</v>
      </c>
      <c r="L4999" t="s">
        <v>3095</v>
      </c>
      <c r="M4999" t="s">
        <v>113</v>
      </c>
      <c r="AC4999" t="s">
        <v>119</v>
      </c>
      <c r="AD4999" t="s">
        <v>113</v>
      </c>
      <c r="AE4999" t="s">
        <v>3098</v>
      </c>
      <c r="AG4999" t="s">
        <v>121</v>
      </c>
      <c r="AI4999" t="s">
        <v>25250</v>
      </c>
    </row>
    <row r="5000" spans="1:35" x14ac:dyDescent="0.25">
      <c r="C5000" t="s">
        <v>25252</v>
      </c>
      <c r="G5000" t="s">
        <v>21727</v>
      </c>
      <c r="H5000" t="s">
        <v>25248</v>
      </c>
      <c r="J5000" t="s">
        <v>25249</v>
      </c>
      <c r="K5000" t="s">
        <v>303</v>
      </c>
      <c r="L5000" t="s">
        <v>3095</v>
      </c>
      <c r="M5000" t="s">
        <v>113</v>
      </c>
      <c r="AC5000" t="s">
        <v>119</v>
      </c>
      <c r="AD5000" t="s">
        <v>113</v>
      </c>
      <c r="AE5000" t="s">
        <v>3098</v>
      </c>
      <c r="AG5000" t="s">
        <v>121</v>
      </c>
      <c r="AI5000" t="s">
        <v>25250</v>
      </c>
    </row>
  </sheetData>
  <autoFilter ref="A1:AI500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83D30BDB8E6A4EB88D5F77D930DF05" ma:contentTypeVersion="6" ma:contentTypeDescription="Create a new document." ma:contentTypeScope="" ma:versionID="050f20fdf5bd5e2969b19453c0c00dde">
  <xsd:schema xmlns:xsd="http://www.w3.org/2001/XMLSchema" xmlns:xs="http://www.w3.org/2001/XMLSchema" xmlns:p="http://schemas.microsoft.com/office/2006/metadata/properties" xmlns:ns2="1bcbb5c4-2717-4d5b-993b-7bd4a745ac9d" xmlns:ns3="f83610df-71de-4ed6-adf6-3b4d26a92137" targetNamespace="http://schemas.microsoft.com/office/2006/metadata/properties" ma:root="true" ma:fieldsID="8e11145deffb6f490f3be65d7e243b2f" ns2:_="" ns3:_="">
    <xsd:import namespace="1bcbb5c4-2717-4d5b-993b-7bd4a745ac9d"/>
    <xsd:import namespace="f83610df-71de-4ed6-adf6-3b4d26a921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cbb5c4-2717-4d5b-993b-7bd4a745ac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3610df-71de-4ed6-adf6-3b4d26a9213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83610df-71de-4ed6-adf6-3b4d26a92137">
      <UserInfo>
        <DisplayName>Rozana Melandinidis, CPA</DisplayName>
        <AccountId>42</AccountId>
        <AccountType/>
      </UserInfo>
      <UserInfo>
        <DisplayName>Kathrine Panzarella, CPA</DisplayName>
        <AccountId>37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33F6AA2-D019-4EBB-B399-40264862B1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E0B6E5-F460-4AC0-8884-4FFE8A9E73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cbb5c4-2717-4d5b-993b-7bd4a745ac9d"/>
    <ds:schemaRef ds:uri="f83610df-71de-4ed6-adf6-3b4d26a921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DD4444-DC99-4CBD-BAAC-07DD76ACD351}">
  <ds:schemaRefs>
    <ds:schemaRef ds:uri="f83610df-71de-4ed6-adf6-3b4d26a92137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bcbb5c4-2717-4d5b-993b-7bd4a745ac9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Funds Flow Summary</vt:lpstr>
      <vt:lpstr>Funds Flow - Partner Detail</vt:lpstr>
      <vt:lpstr>2nd Tier Funds Flow</vt:lpstr>
      <vt:lpstr>Partner Engagement</vt:lpstr>
      <vt:lpstr>Millennium Perf Network 032017</vt:lpstr>
      <vt:lpstr>'2nd Tier Funds Flow'!Print_Area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III, Joseph</dc:creator>
  <cp:keywords/>
  <dc:description/>
  <cp:lastModifiedBy>Kim Fraim</cp:lastModifiedBy>
  <cp:revision/>
  <dcterms:created xsi:type="dcterms:W3CDTF">2017-03-24T14:24:06Z</dcterms:created>
  <dcterms:modified xsi:type="dcterms:W3CDTF">2017-10-30T17:47:39Z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0x010100DE83D30BDB8E6A4EB88D5F77D930DF05</vt:lpwstr>
  </property>
</Properties>
</file>